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e054080\Downloads\"/>
    </mc:Choice>
  </mc:AlternateContent>
  <xr:revisionPtr revIDLastSave="0" documentId="8_{8724D853-3427-4AD7-8F59-43F1113B8A46}" xr6:coauthVersionLast="47" xr6:coauthVersionMax="47" xr10:uidLastSave="{00000000-0000-0000-0000-000000000000}"/>
  <bookViews>
    <workbookView xWindow="-110" yWindow="-110" windowWidth="19420" windowHeight="11500" firstSheet="1" activeTab="1" xr2:uid="{0BE87524-7B29-441D-B630-B1AE300A6C00}"/>
  </bookViews>
  <sheets>
    <sheet name="Nombres" sheetId="1" state="hidden" r:id="rId1"/>
    <sheet name="INDICE" sheetId="2" r:id="rId2"/>
    <sheet name="Cuenta de Resultados" sheetId="3" r:id="rId3"/>
    <sheet name="Balance" sheetId="4" r:id="rId4"/>
    <sheet name="España" sheetId="5" r:id="rId5"/>
    <sheet name="Mexico" sheetId="6" r:id="rId6"/>
    <sheet name="Turquia" sheetId="7" r:id="rId7"/>
    <sheet name="AdS" sheetId="8" r:id="rId8"/>
    <sheet name="Argentina" sheetId="9" r:id="rId9"/>
    <sheet name="Chile" sheetId="10" r:id="rId10"/>
    <sheet name="Colombia" sheetId="11" r:id="rId11"/>
    <sheet name="Peru" sheetId="12" r:id="rId12"/>
    <sheet name="Resto de Negocios" sheetId="13" r:id="rId13"/>
    <sheet name="Centro Corporativo" sheetId="14" r:id="rId14"/>
    <sheet name="Corporate &amp; Investment Banking" sheetId="15" r:id="rId15"/>
    <sheet name="Eficiencia" sheetId="16" r:id="rId16"/>
    <sheet name="RORWA" sheetId="17" r:id="rId17"/>
    <sheet name="Mora,cobertura,coste de riesgo" sheetId="18" r:id="rId18"/>
    <sheet name="Empleados, oficinas y cajeros" sheetId="19" r:id="rId19"/>
    <sheet name="Tipos de Cambio" sheetId="20" r:id="rId20"/>
    <sheet name="Diferenciales" sheetId="21" r:id="rId21"/>
    <sheet name="APRs" sheetId="22" r:id="rId22"/>
    <sheet name="Inversion" sheetId="23" r:id="rId23"/>
    <sheet name="Recursos" sheetId="24" r:id="rId24"/>
    <sheet name="ALCO" sheetId="25" r:id="rId25"/>
  </sheets>
  <definedNames>
    <definedName name="__123Graph_ACURRENT" hidden="1">#N/A</definedName>
    <definedName name="__123Graph_BCURRENT" hidden="1">#N/A</definedName>
    <definedName name="__123Graph_CCURRENT" hidden="1">#N/A</definedName>
    <definedName name="__123Graph_DCURRENT" hidden="1">#N/A</definedName>
    <definedName name="__123Graph_ECURRENT" hidden="1">#N/A</definedName>
    <definedName name="__123Graph_FCURRENT" hidden="1">#N/A</definedName>
    <definedName name="_13__123Graph_ACHART_3" localSheetId="3" hidden="1">#REF!</definedName>
    <definedName name="_13__123Graph_ACHART_3" localSheetId="13" hidden="1">#REF!</definedName>
    <definedName name="_13__123Graph_ACHART_3" localSheetId="14" hidden="1">#REF!</definedName>
    <definedName name="_13__123Graph_ACHART_3" localSheetId="22" hidden="1">#REF!</definedName>
    <definedName name="_13__123Graph_ACHART_3" localSheetId="23" hidden="1">#REF!</definedName>
    <definedName name="_13__123Graph_ACHART_3" localSheetId="16" hidden="1">#REF!</definedName>
    <definedName name="_13__123Graph_ACHART_3" hidden="1">#REF!</definedName>
    <definedName name="_26__123Graph_ACHART_4" localSheetId="3" hidden="1">#REF!</definedName>
    <definedName name="_26__123Graph_ACHART_4" localSheetId="13" hidden="1">#REF!</definedName>
    <definedName name="_26__123Graph_ACHART_4" localSheetId="14" hidden="1">#REF!</definedName>
    <definedName name="_26__123Graph_ACHART_4" localSheetId="22" hidden="1">#REF!</definedName>
    <definedName name="_26__123Graph_ACHART_4" localSheetId="23" hidden="1">#REF!</definedName>
    <definedName name="_26__123Graph_ACHART_4" localSheetId="16" hidden="1">#REF!</definedName>
    <definedName name="_26__123Graph_ACHART_4" hidden="1">#REF!</definedName>
    <definedName name="_39__123Graph_BCHART_4" localSheetId="3" hidden="1">#REF!</definedName>
    <definedName name="_39__123Graph_BCHART_4" localSheetId="13" hidden="1">#REF!</definedName>
    <definedName name="_39__123Graph_BCHART_4" localSheetId="14" hidden="1">#REF!</definedName>
    <definedName name="_39__123Graph_BCHART_4" localSheetId="22" hidden="1">#REF!</definedName>
    <definedName name="_39__123Graph_BCHART_4" localSheetId="23" hidden="1">#REF!</definedName>
    <definedName name="_39__123Graph_BCHART_4" localSheetId="16" hidden="1">#REF!</definedName>
    <definedName name="_39__123Graph_BCHART_4" hidden="1">#REF!</definedName>
    <definedName name="_52__123Graph_CCHART_3" localSheetId="3" hidden="1">#REF!</definedName>
    <definedName name="_52__123Graph_CCHART_3" localSheetId="13" hidden="1">#REF!</definedName>
    <definedName name="_52__123Graph_CCHART_3" localSheetId="14" hidden="1">#REF!</definedName>
    <definedName name="_52__123Graph_CCHART_3" localSheetId="22" hidden="1">#REF!</definedName>
    <definedName name="_52__123Graph_CCHART_3" localSheetId="23" hidden="1">#REF!</definedName>
    <definedName name="_52__123Graph_CCHART_3" localSheetId="16" hidden="1">#REF!</definedName>
    <definedName name="_52__123Graph_CCHART_3" hidden="1">#REF!</definedName>
    <definedName name="_65__123Graph_CCHART_4" localSheetId="3" hidden="1">#REF!</definedName>
    <definedName name="_65__123Graph_CCHART_4" localSheetId="13" hidden="1">#REF!</definedName>
    <definedName name="_65__123Graph_CCHART_4" localSheetId="14" hidden="1">#REF!</definedName>
    <definedName name="_65__123Graph_CCHART_4" localSheetId="22" hidden="1">#REF!</definedName>
    <definedName name="_65__123Graph_CCHART_4" localSheetId="23" hidden="1">#REF!</definedName>
    <definedName name="_65__123Graph_CCHART_4" localSheetId="16" hidden="1">#REF!</definedName>
    <definedName name="_65__123Graph_CCHART_4" hidden="1">#REF!</definedName>
    <definedName name="_Fill" localSheetId="7" hidden="1">#REF!</definedName>
    <definedName name="_Fill" localSheetId="21" hidden="1">#REF!</definedName>
    <definedName name="_Fill" localSheetId="8" hidden="1">#REF!</definedName>
    <definedName name="_Fill" localSheetId="3" hidden="1">#REF!</definedName>
    <definedName name="_Fill" localSheetId="13" hidden="1">#REF!</definedName>
    <definedName name="_Fill" localSheetId="9" hidden="1">#REF!</definedName>
    <definedName name="_Fill" localSheetId="10" hidden="1">#REF!</definedName>
    <definedName name="_Fill" localSheetId="14" hidden="1">#REF!</definedName>
    <definedName name="_Fill" localSheetId="2" hidden="1">#REF!</definedName>
    <definedName name="_Fill" localSheetId="20" hidden="1">#REF!</definedName>
    <definedName name="_Fill" localSheetId="15" hidden="1">#REF!</definedName>
    <definedName name="_Fill" localSheetId="4" hidden="1">#REF!</definedName>
    <definedName name="_Fill" localSheetId="1" hidden="1">#REF!</definedName>
    <definedName name="_Fill" localSheetId="22" hidden="1">#REF!</definedName>
    <definedName name="_Fill" localSheetId="5" hidden="1">#REF!</definedName>
    <definedName name="_Fill" localSheetId="17" hidden="1">#REF!</definedName>
    <definedName name="_Fill" localSheetId="11" hidden="1">#REF!</definedName>
    <definedName name="_Fill" localSheetId="23" hidden="1">#REF!</definedName>
    <definedName name="_Fill" localSheetId="12" hidden="1">#REF!</definedName>
    <definedName name="_Fill" localSheetId="16" hidden="1">#REF!</definedName>
    <definedName name="_Fill" localSheetId="6" hidden="1">#REF!</definedName>
    <definedName name="_Fill" hidden="1">#REF!</definedName>
    <definedName name="_xlnm._FilterDatabase" hidden="1">#REF!</definedName>
    <definedName name="_Key1" localSheetId="3" hidden="1">#REF!</definedName>
    <definedName name="_Key1" localSheetId="13" hidden="1">#REF!</definedName>
    <definedName name="_Key1" localSheetId="14" hidden="1">#REF!</definedName>
    <definedName name="_Key1" localSheetId="22" hidden="1">#REF!</definedName>
    <definedName name="_Key1" localSheetId="23" hidden="1">#REF!</definedName>
    <definedName name="_Key1" localSheetId="16" hidden="1">#REF!</definedName>
    <definedName name="_Key1" hidden="1">#REF!</definedName>
    <definedName name="_Order1" hidden="1">255</definedName>
    <definedName name="_Order2" hidden="1">255</definedName>
    <definedName name="_r">#REF!</definedName>
    <definedName name="_Regression_Out" localSheetId="3" hidden="1">#REF!</definedName>
    <definedName name="_Regression_Out" localSheetId="13" hidden="1">#REF!</definedName>
    <definedName name="_Regression_Out" localSheetId="14" hidden="1">#REF!</definedName>
    <definedName name="_Regression_Out" localSheetId="22" hidden="1">#REF!</definedName>
    <definedName name="_Regression_Out" localSheetId="23" hidden="1">#REF!</definedName>
    <definedName name="_Regression_Out" localSheetId="16" hidden="1">#REF!</definedName>
    <definedName name="_Regression_Out" hidden="1">#REF!</definedName>
    <definedName name="_Regression_X" localSheetId="3" hidden="1">#REF!</definedName>
    <definedName name="_Regression_X" localSheetId="13" hidden="1">#REF!</definedName>
    <definedName name="_Regression_X" localSheetId="14" hidden="1">#REF!</definedName>
    <definedName name="_Regression_X" localSheetId="22" hidden="1">#REF!</definedName>
    <definedName name="_Regression_X" localSheetId="23" hidden="1">#REF!</definedName>
    <definedName name="_Regression_X" localSheetId="16" hidden="1">#REF!</definedName>
    <definedName name="_Regression_X" hidden="1">#REF!</definedName>
    <definedName name="_Sort" localSheetId="3" hidden="1">#REF!</definedName>
    <definedName name="_Sort" localSheetId="13" hidden="1">#REF!</definedName>
    <definedName name="_Sort" localSheetId="14" hidden="1">#REF!</definedName>
    <definedName name="_Sort" localSheetId="22" hidden="1">#REF!</definedName>
    <definedName name="_Sort" localSheetId="23" hidden="1">#REF!</definedName>
    <definedName name="_Sort" localSheetId="16" hidden="1">#REF!</definedName>
    <definedName name="_Sort" hidden="1">#REF!</definedName>
    <definedName name="AS2DocOpenMode" hidden="1">"AS2DocumentEdit"</definedName>
    <definedName name="AS2HasNoAutoHeaderFooter" hidden="1">" "</definedName>
    <definedName name="_xlnm.Database">#REF!</definedName>
    <definedName name="BLPH10001" localSheetId="21" hidden="1">#REF!</definedName>
    <definedName name="BLPH10001" localSheetId="20" hidden="1">#REF!</definedName>
    <definedName name="BLPH10001" localSheetId="15" hidden="1">#REF!</definedName>
    <definedName name="BLPH10001" localSheetId="1" hidden="1">#REF!</definedName>
    <definedName name="BLPH10001" localSheetId="22" hidden="1">#REF!</definedName>
    <definedName name="BLPH10001" localSheetId="17" hidden="1">#REF!</definedName>
    <definedName name="BLPH10001" localSheetId="23" hidden="1">#REF!</definedName>
    <definedName name="BLPH10001" localSheetId="16" hidden="1">#REF!</definedName>
    <definedName name="BLPH10001" hidden="1">#REF!</definedName>
    <definedName name="BLPH10002" localSheetId="21" hidden="1">#REF!</definedName>
    <definedName name="BLPH10002" localSheetId="20" hidden="1">#REF!</definedName>
    <definedName name="BLPH10002" localSheetId="15" hidden="1">#REF!</definedName>
    <definedName name="BLPH10002" localSheetId="1" hidden="1">#REF!</definedName>
    <definedName name="BLPH10002" localSheetId="22" hidden="1">#REF!</definedName>
    <definedName name="BLPH10002" localSheetId="17" hidden="1">#REF!</definedName>
    <definedName name="BLPH10002" localSheetId="23" hidden="1">#REF!</definedName>
    <definedName name="BLPH10002" localSheetId="16" hidden="1">#REF!</definedName>
    <definedName name="BLPH10002" hidden="1">#REF!</definedName>
    <definedName name="BLPH10003" localSheetId="21" hidden="1">#REF!</definedName>
    <definedName name="BLPH10003" localSheetId="20" hidden="1">#REF!</definedName>
    <definedName name="BLPH10003" localSheetId="15" hidden="1">#REF!</definedName>
    <definedName name="BLPH10003" localSheetId="1" hidden="1">#REF!</definedName>
    <definedName name="BLPH10003" localSheetId="22" hidden="1">#REF!</definedName>
    <definedName name="BLPH10003" localSheetId="17" hidden="1">#REF!</definedName>
    <definedName name="BLPH10003" localSheetId="23" hidden="1">#REF!</definedName>
    <definedName name="BLPH10003" localSheetId="16" hidden="1">#REF!</definedName>
    <definedName name="BLPH10003" hidden="1">#REF!</definedName>
    <definedName name="BLPH10004" localSheetId="21" hidden="1">#REF!</definedName>
    <definedName name="BLPH10004" localSheetId="20" hidden="1">#REF!</definedName>
    <definedName name="BLPH10004" localSheetId="15" hidden="1">#REF!</definedName>
    <definedName name="BLPH10004" localSheetId="1" hidden="1">#REF!</definedName>
    <definedName name="BLPH10004" localSheetId="22" hidden="1">#REF!</definedName>
    <definedName name="BLPH10004" localSheetId="17" hidden="1">#REF!</definedName>
    <definedName name="BLPH10004" localSheetId="23" hidden="1">#REF!</definedName>
    <definedName name="BLPH10004" localSheetId="16" hidden="1">#REF!</definedName>
    <definedName name="BLPH10004" hidden="1">#REF!</definedName>
    <definedName name="BLPH10005" localSheetId="21" hidden="1">#REF!</definedName>
    <definedName name="BLPH10005" localSheetId="20" hidden="1">#REF!</definedName>
    <definedName name="BLPH10005" localSheetId="15" hidden="1">#REF!</definedName>
    <definedName name="BLPH10005" localSheetId="1" hidden="1">#REF!</definedName>
    <definedName name="BLPH10005" localSheetId="22" hidden="1">#REF!</definedName>
    <definedName name="BLPH10005" localSheetId="17" hidden="1">#REF!</definedName>
    <definedName name="BLPH10005" localSheetId="23" hidden="1">#REF!</definedName>
    <definedName name="BLPH10005" localSheetId="16" hidden="1">#REF!</definedName>
    <definedName name="BLPH10005" hidden="1">#REF!</definedName>
    <definedName name="BLPH10006" localSheetId="21" hidden="1">#REF!</definedName>
    <definedName name="BLPH10006" localSheetId="20" hidden="1">#REF!</definedName>
    <definedName name="BLPH10006" localSheetId="15" hidden="1">#REF!</definedName>
    <definedName name="BLPH10006" localSheetId="1" hidden="1">#REF!</definedName>
    <definedName name="BLPH10006" localSheetId="22" hidden="1">#REF!</definedName>
    <definedName name="BLPH10006" localSheetId="17" hidden="1">#REF!</definedName>
    <definedName name="BLPH10006" localSheetId="23" hidden="1">#REF!</definedName>
    <definedName name="BLPH10006" localSheetId="16" hidden="1">#REF!</definedName>
    <definedName name="BLPH10006" hidden="1">#REF!</definedName>
    <definedName name="BLPH10007" localSheetId="21" hidden="1">#REF!</definedName>
    <definedName name="BLPH10007" localSheetId="20" hidden="1">#REF!</definedName>
    <definedName name="BLPH10007" localSheetId="15" hidden="1">#REF!</definedName>
    <definedName name="BLPH10007" localSheetId="1" hidden="1">#REF!</definedName>
    <definedName name="BLPH10007" localSheetId="22" hidden="1">#REF!</definedName>
    <definedName name="BLPH10007" localSheetId="17" hidden="1">#REF!</definedName>
    <definedName name="BLPH10007" localSheetId="23" hidden="1">#REF!</definedName>
    <definedName name="BLPH10007" localSheetId="16" hidden="1">#REF!</definedName>
    <definedName name="BLPH10007" hidden="1">#REF!</definedName>
    <definedName name="BLPH10008" localSheetId="21" hidden="1">#REF!</definedName>
    <definedName name="BLPH10008" localSheetId="20" hidden="1">#REF!</definedName>
    <definedName name="BLPH10008" localSheetId="15" hidden="1">#REF!</definedName>
    <definedName name="BLPH10008" localSheetId="1" hidden="1">#REF!</definedName>
    <definedName name="BLPH10008" localSheetId="22" hidden="1">#REF!</definedName>
    <definedName name="BLPH10008" localSheetId="17" hidden="1">#REF!</definedName>
    <definedName name="BLPH10008" localSheetId="23" hidden="1">#REF!</definedName>
    <definedName name="BLPH10008" localSheetId="16" hidden="1">#REF!</definedName>
    <definedName name="BLPH10008" hidden="1">#REF!</definedName>
    <definedName name="BLPH10009" localSheetId="21" hidden="1">#REF!</definedName>
    <definedName name="BLPH10009" localSheetId="20" hidden="1">#REF!</definedName>
    <definedName name="BLPH10009" localSheetId="15" hidden="1">#REF!</definedName>
    <definedName name="BLPH10009" localSheetId="1" hidden="1">#REF!</definedName>
    <definedName name="BLPH10009" localSheetId="22" hidden="1">#REF!</definedName>
    <definedName name="BLPH10009" localSheetId="17" hidden="1">#REF!</definedName>
    <definedName name="BLPH10009" localSheetId="23" hidden="1">#REF!</definedName>
    <definedName name="BLPH10009" localSheetId="16" hidden="1">#REF!</definedName>
    <definedName name="BLPH10009" hidden="1">#REF!</definedName>
    <definedName name="BLPH10010" localSheetId="21" hidden="1">#REF!</definedName>
    <definedName name="BLPH10010" localSheetId="20" hidden="1">#REF!</definedName>
    <definedName name="BLPH10010" localSheetId="15" hidden="1">#REF!</definedName>
    <definedName name="BLPH10010" localSheetId="1" hidden="1">#REF!</definedName>
    <definedName name="BLPH10010" localSheetId="22" hidden="1">#REF!</definedName>
    <definedName name="BLPH10010" localSheetId="17" hidden="1">#REF!</definedName>
    <definedName name="BLPH10010" localSheetId="23" hidden="1">#REF!</definedName>
    <definedName name="BLPH10010" localSheetId="16" hidden="1">#REF!</definedName>
    <definedName name="BLPH10010" hidden="1">#REF!</definedName>
    <definedName name="cambio_base">#REF!</definedName>
    <definedName name="cd" hidden="1">{#N/A,#N/A,FALSE,"EDO. DE RESULTADOS";#N/A,#N/A,FALSE,"CAMBIOS";#N/A,#N/A,FALSE,"COM - VTA";#N/A,#N/A,FALSE,"DIVIDENDOS";#N/A,#N/A,FALSE,"OTROS ING. DE OP.";#N/A,#N/A,FALSE,"GASTOS DE PERSONAL";#N/A,#N/A,FALSE,"RENTAS";#N/A,#N/A,FALSE,"OTROS GASTOS";#N/A,#N/A,FALSE,"DEP. Y AMO.";#N/A,#N/A,FALSE,"OTROS PROD."}</definedName>
    <definedName name="cd_1" hidden="1">{#N/A,#N/A,FALSE,"EDO. DE RESULTADOS";#N/A,#N/A,FALSE,"CAMBIOS";#N/A,#N/A,FALSE,"COM - VTA";#N/A,#N/A,FALSE,"DIVIDENDOS";#N/A,#N/A,FALSE,"OTROS ING. DE OP.";#N/A,#N/A,FALSE,"GASTOS DE PERSONAL";#N/A,#N/A,FALSE,"RENTAS";#N/A,#N/A,FALSE,"OTROS GASTOS";#N/A,#N/A,FALSE,"DEP. Y AMO.";#N/A,#N/A,FALSE,"OTROS PROD."}</definedName>
    <definedName name="cd_1_1" hidden="1">{#N/A,#N/A,FALSE,"EDO. DE RESULTADOS";#N/A,#N/A,FALSE,"CAMBIOS";#N/A,#N/A,FALSE,"COM - VTA";#N/A,#N/A,FALSE,"DIVIDENDOS";#N/A,#N/A,FALSE,"OTROS ING. DE OP.";#N/A,#N/A,FALSE,"GASTOS DE PERSONAL";#N/A,#N/A,FALSE,"RENTAS";#N/A,#N/A,FALSE,"OTROS GASTOS";#N/A,#N/A,FALSE,"DEP. Y AMO.";#N/A,#N/A,FALSE,"OTROS PROD."}</definedName>
    <definedName name="cd_1_1_1" hidden="1">{#N/A,#N/A,FALSE,"EDO. DE RESULTADOS";#N/A,#N/A,FALSE,"CAMBIOS";#N/A,#N/A,FALSE,"COM - VTA";#N/A,#N/A,FALSE,"DIVIDENDOS";#N/A,#N/A,FALSE,"OTROS ING. DE OP.";#N/A,#N/A,FALSE,"GASTOS DE PERSONAL";#N/A,#N/A,FALSE,"RENTAS";#N/A,#N/A,FALSE,"OTROS GASTOS";#N/A,#N/A,FALSE,"DEP. Y AMO.";#N/A,#N/A,FALSE,"OTROS PROD."}</definedName>
    <definedName name="cd_1_1_2" hidden="1">{#N/A,#N/A,FALSE,"EDO. DE RESULTADOS";#N/A,#N/A,FALSE,"CAMBIOS";#N/A,#N/A,FALSE,"COM - VTA";#N/A,#N/A,FALSE,"DIVIDENDOS";#N/A,#N/A,FALSE,"OTROS ING. DE OP.";#N/A,#N/A,FALSE,"GASTOS DE PERSONAL";#N/A,#N/A,FALSE,"RENTAS";#N/A,#N/A,FALSE,"OTROS GASTOS";#N/A,#N/A,FALSE,"DEP. Y AMO.";#N/A,#N/A,FALSE,"OTROS PROD."}</definedName>
    <definedName name="cd_1_2" hidden="1">{#N/A,#N/A,FALSE,"EDO. DE RESULTADOS";#N/A,#N/A,FALSE,"CAMBIOS";#N/A,#N/A,FALSE,"COM - VTA";#N/A,#N/A,FALSE,"DIVIDENDOS";#N/A,#N/A,FALSE,"OTROS ING. DE OP.";#N/A,#N/A,FALSE,"GASTOS DE PERSONAL";#N/A,#N/A,FALSE,"RENTAS";#N/A,#N/A,FALSE,"OTROS GASTOS";#N/A,#N/A,FALSE,"DEP. Y AMO.";#N/A,#N/A,FALSE,"OTROS PROD."}</definedName>
    <definedName name="cd_1_3" hidden="1">{#N/A,#N/A,FALSE,"EDO. DE RESULTADOS";#N/A,#N/A,FALSE,"CAMBIOS";#N/A,#N/A,FALSE,"COM - VTA";#N/A,#N/A,FALSE,"DIVIDENDOS";#N/A,#N/A,FALSE,"OTROS ING. DE OP.";#N/A,#N/A,FALSE,"GASTOS DE PERSONAL";#N/A,#N/A,FALSE,"RENTAS";#N/A,#N/A,FALSE,"OTROS GASTOS";#N/A,#N/A,FALSE,"DEP. Y AMO.";#N/A,#N/A,FALSE,"OTROS PROD."}</definedName>
    <definedName name="cd_2" hidden="1">{#N/A,#N/A,FALSE,"EDO. DE RESULTADOS";#N/A,#N/A,FALSE,"CAMBIOS";#N/A,#N/A,FALSE,"COM - VTA";#N/A,#N/A,FALSE,"DIVIDENDOS";#N/A,#N/A,FALSE,"OTROS ING. DE OP.";#N/A,#N/A,FALSE,"GASTOS DE PERSONAL";#N/A,#N/A,FALSE,"RENTAS";#N/A,#N/A,FALSE,"OTROS GASTOS";#N/A,#N/A,FALSE,"DEP. Y AMO.";#N/A,#N/A,FALSE,"OTROS PROD."}</definedName>
    <definedName name="cd_2_1" hidden="1">{#N/A,#N/A,FALSE,"EDO. DE RESULTADOS";#N/A,#N/A,FALSE,"CAMBIOS";#N/A,#N/A,FALSE,"COM - VTA";#N/A,#N/A,FALSE,"DIVIDENDOS";#N/A,#N/A,FALSE,"OTROS ING. DE OP.";#N/A,#N/A,FALSE,"GASTOS DE PERSONAL";#N/A,#N/A,FALSE,"RENTAS";#N/A,#N/A,FALSE,"OTROS GASTOS";#N/A,#N/A,FALSE,"DEP. Y AMO.";#N/A,#N/A,FALSE,"OTROS PROD."}</definedName>
    <definedName name="cd_2_2" hidden="1">{#N/A,#N/A,FALSE,"EDO. DE RESULTADOS";#N/A,#N/A,FALSE,"CAMBIOS";#N/A,#N/A,FALSE,"COM - VTA";#N/A,#N/A,FALSE,"DIVIDENDOS";#N/A,#N/A,FALSE,"OTROS ING. DE OP.";#N/A,#N/A,FALSE,"GASTOS DE PERSONAL";#N/A,#N/A,FALSE,"RENTAS";#N/A,#N/A,FALSE,"OTROS GASTOS";#N/A,#N/A,FALSE,"DEP. Y AMO.";#N/A,#N/A,FALSE,"OTROS PROD."}</definedName>
    <definedName name="cd_3" hidden="1">{#N/A,#N/A,FALSE,"EDO. DE RESULTADOS";#N/A,#N/A,FALSE,"CAMBIOS";#N/A,#N/A,FALSE,"COM - VTA";#N/A,#N/A,FALSE,"DIVIDENDOS";#N/A,#N/A,FALSE,"OTROS ING. DE OP.";#N/A,#N/A,FALSE,"GASTOS DE PERSONAL";#N/A,#N/A,FALSE,"RENTAS";#N/A,#N/A,FALSE,"OTROS GASTOS";#N/A,#N/A,FALSE,"DEP. Y AMO.";#N/A,#N/A,FALSE,"OTROS PROD."}</definedName>
    <definedName name="cd_4" hidden="1">{#N/A,#N/A,FALSE,"EDO. DE RESULTADOS";#N/A,#N/A,FALSE,"CAMBIOS";#N/A,#N/A,FALSE,"COM - VTA";#N/A,#N/A,FALSE,"DIVIDENDOS";#N/A,#N/A,FALSE,"OTROS ING. DE OP.";#N/A,#N/A,FALSE,"GASTOS DE PERSONAL";#N/A,#N/A,FALSE,"RENTAS";#N/A,#N/A,FALSE,"OTROS GASTOS";#N/A,#N/A,FALSE,"DEP. Y AMO.";#N/A,#N/A,FALSE,"OTROS PROD."}</definedName>
    <definedName name="church" localSheetId="2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 localSheetId="20"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 localSheetId="15"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 localSheetId="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 localSheetId="2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 localSheetId="17"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 localSheetId="23"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 localSheetId="16"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_1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_1_1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_1_1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_1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_1_3"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_2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_2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_3"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_4"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 localSheetId="2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 localSheetId="20"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 localSheetId="15"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 localSheetId="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 localSheetId="2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 localSheetId="17"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 localSheetId="23"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 localSheetId="16"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_1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_1_1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_1_1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_1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_1_3"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_2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_2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_3"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church1_4"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DD">#REF!</definedName>
    <definedName name="ddddddddddddddd">#REF!</definedName>
    <definedName name="ddede" hidden="1">{#N/A,#N/A,FALSE,"OBLIG.S-CAPITAL"}</definedName>
    <definedName name="ddede_1" hidden="1">{#N/A,#N/A,FALSE,"OBLIG.S-CAPITAL"}</definedName>
    <definedName name="ddede_1_1" hidden="1">{#N/A,#N/A,FALSE,"OBLIG.S-CAPITAL"}</definedName>
    <definedName name="ddede_1_1_1" hidden="1">{#N/A,#N/A,FALSE,"OBLIG.S-CAPITAL"}</definedName>
    <definedName name="ddede_1_1_2" hidden="1">{#N/A,#N/A,FALSE,"OBLIG.S-CAPITAL"}</definedName>
    <definedName name="ddede_1_2" hidden="1">{#N/A,#N/A,FALSE,"OBLIG.S-CAPITAL"}</definedName>
    <definedName name="ddede_1_3" hidden="1">{#N/A,#N/A,FALSE,"OBLIG.S-CAPITAL"}</definedName>
    <definedName name="ddede_2" hidden="1">{#N/A,#N/A,FALSE,"OBLIG.S-CAPITAL"}</definedName>
    <definedName name="ddede_2_1" hidden="1">{#N/A,#N/A,FALSE,"OBLIG.S-CAPITAL"}</definedName>
    <definedName name="ddede_2_2" hidden="1">{#N/A,#N/A,FALSE,"OBLIG.S-CAPITAL"}</definedName>
    <definedName name="ddede_3" hidden="1">{#N/A,#N/A,FALSE,"OBLIG.S-CAPITAL"}</definedName>
    <definedName name="ddede_4" hidden="1">{#N/A,#N/A,FALSE,"OBLIG.S-CAPITAL"}</definedName>
    <definedName name="ddfaffd" localSheetId="3" hidden="1">#REF!</definedName>
    <definedName name="ddfaffd" localSheetId="13" hidden="1">#REF!</definedName>
    <definedName name="ddfaffd" localSheetId="14" hidden="1">#REF!</definedName>
    <definedName name="ddfaffd" localSheetId="22" hidden="1">#REF!</definedName>
    <definedName name="ddfaffd" localSheetId="23" hidden="1">#REF!</definedName>
    <definedName name="ddfaffd" localSheetId="16" hidden="1">#REF!</definedName>
    <definedName name="ddfaffd" hidden="1">#REF!</definedName>
    <definedName name="dññd" localSheetId="3" hidden="1">#REF!</definedName>
    <definedName name="dññd" localSheetId="13" hidden="1">#REF!</definedName>
    <definedName name="dññd" localSheetId="14" hidden="1">#REF!</definedName>
    <definedName name="dññd" localSheetId="22" hidden="1">#REF!</definedName>
    <definedName name="dññd" localSheetId="23" hidden="1">#REF!</definedName>
    <definedName name="dññd" localSheetId="16" hidden="1">#REF!</definedName>
    <definedName name="dññd" hidden="1">#REF!</definedName>
    <definedName name="e" hidden="1">{#N/A,#N/A,FALSE,"SUBSIDIARIAS"}</definedName>
    <definedName name="e_1" hidden="1">{#N/A,#N/A,FALSE,"SUBSIDIARIAS"}</definedName>
    <definedName name="e_1_1" hidden="1">{#N/A,#N/A,FALSE,"SUBSIDIARIAS"}</definedName>
    <definedName name="e_1_1_1" hidden="1">{#N/A,#N/A,FALSE,"SUBSIDIARIAS"}</definedName>
    <definedName name="e_1_1_2" hidden="1">{#N/A,#N/A,FALSE,"SUBSIDIARIAS"}</definedName>
    <definedName name="e_1_2" hidden="1">{#N/A,#N/A,FALSE,"SUBSIDIARIAS"}</definedName>
    <definedName name="e_1_3" hidden="1">{#N/A,#N/A,FALSE,"SUBSIDIARIAS"}</definedName>
    <definedName name="e_2" hidden="1">{#N/A,#N/A,FALSE,"SUBSIDIARIAS"}</definedName>
    <definedName name="e_2_1" hidden="1">{#N/A,#N/A,FALSE,"SUBSIDIARIAS"}</definedName>
    <definedName name="e_2_2" hidden="1">{#N/A,#N/A,FALSE,"SUBSIDIARIAS"}</definedName>
    <definedName name="e_3" hidden="1">{#N/A,#N/A,FALSE,"SUBSIDIARIAS"}</definedName>
    <definedName name="e_4" hidden="1">{#N/A,#N/A,FALSE,"SUBSIDIARIAS"}</definedName>
    <definedName name="edo_res" hidden="1">{#N/A,#N/A,FALSE,"ING. EXT."}</definedName>
    <definedName name="edo_res_1" hidden="1">{#N/A,#N/A,FALSE,"ING. EXT."}</definedName>
    <definedName name="edo_res_1_1" hidden="1">{#N/A,#N/A,FALSE,"ING. EXT."}</definedName>
    <definedName name="edo_res_1_1_1" hidden="1">{#N/A,#N/A,FALSE,"ING. EXT."}</definedName>
    <definedName name="edo_res_1_1_2" hidden="1">{#N/A,#N/A,FALSE,"ING. EXT."}</definedName>
    <definedName name="edo_res_1_2" hidden="1">{#N/A,#N/A,FALSE,"ING. EXT."}</definedName>
    <definedName name="edo_res_1_3" hidden="1">{#N/A,#N/A,FALSE,"ING. EXT."}</definedName>
    <definedName name="edo_res_2" hidden="1">{#N/A,#N/A,FALSE,"ING. EXT."}</definedName>
    <definedName name="edo_res_2_1" hidden="1">{#N/A,#N/A,FALSE,"ING. EXT."}</definedName>
    <definedName name="edo_res_2_2" hidden="1">{#N/A,#N/A,FALSE,"ING. EXT."}</definedName>
    <definedName name="edo_res_3" hidden="1">{#N/A,#N/A,FALSE,"ING. EXT."}</definedName>
    <definedName name="edo_res_4" hidden="1">{#N/A,#N/A,FALSE,"ING. EXT."}</definedName>
    <definedName name="ENE" hidden="1">#N/A</definedName>
    <definedName name="FILL" localSheetId="3" hidden="1">#REF!</definedName>
    <definedName name="FILL" localSheetId="13" hidden="1">#REF!</definedName>
    <definedName name="FILL" localSheetId="14" hidden="1">#REF!</definedName>
    <definedName name="FILL" localSheetId="22" hidden="1">#REF!</definedName>
    <definedName name="FILL" localSheetId="23" hidden="1">#REF!</definedName>
    <definedName name="FILL" localSheetId="16" hidden="1">#REF!</definedName>
    <definedName name="FILL" hidden="1">#REF!</definedName>
    <definedName name="Gpo_gstos" hidden="1">{#N/A,#N/A,FALSE,"SUBSIDIARIAS"}</definedName>
    <definedName name="Gpo_gstos_1" hidden="1">{#N/A,#N/A,FALSE,"SUBSIDIARIAS"}</definedName>
    <definedName name="Gpo_gstos_1_1" hidden="1">{#N/A,#N/A,FALSE,"SUBSIDIARIAS"}</definedName>
    <definedName name="Gpo_gstos_1_1_1" hidden="1">{#N/A,#N/A,FALSE,"SUBSIDIARIAS"}</definedName>
    <definedName name="Gpo_gstos_1_1_2" hidden="1">{#N/A,#N/A,FALSE,"SUBSIDIARIAS"}</definedName>
    <definedName name="Gpo_gstos_1_2" hidden="1">{#N/A,#N/A,FALSE,"SUBSIDIARIAS"}</definedName>
    <definedName name="Gpo_gstos_1_3" hidden="1">{#N/A,#N/A,FALSE,"SUBSIDIARIAS"}</definedName>
    <definedName name="Gpo_gstos_2" hidden="1">{#N/A,#N/A,FALSE,"SUBSIDIARIAS"}</definedName>
    <definedName name="Gpo_gstos_2_1" hidden="1">{#N/A,#N/A,FALSE,"SUBSIDIARIAS"}</definedName>
    <definedName name="Gpo_gstos_2_2" hidden="1">{#N/A,#N/A,FALSE,"SUBSIDIARIAS"}</definedName>
    <definedName name="Gpo_gstos_3" hidden="1">{#N/A,#N/A,FALSE,"SUBSIDIARIAS"}</definedName>
    <definedName name="Gpo_gstos_4" hidden="1">{#N/A,#N/A,FALSE,"SUBSIDIARIAS"}</definedName>
    <definedName name="h" hidden="1">{#N/A,#N/A,FALSE,"ING. EXT."}</definedName>
    <definedName name="h_1" hidden="1">{#N/A,#N/A,FALSE,"ING. EXT."}</definedName>
    <definedName name="h_1_1" hidden="1">{#N/A,#N/A,FALSE,"ING. EXT."}</definedName>
    <definedName name="h_1_1_1" hidden="1">{#N/A,#N/A,FALSE,"ING. EXT."}</definedName>
    <definedName name="h_1_1_2" hidden="1">{#N/A,#N/A,FALSE,"ING. EXT."}</definedName>
    <definedName name="h_1_2" hidden="1">{#N/A,#N/A,FALSE,"ING. EXT."}</definedName>
    <definedName name="h_1_3" hidden="1">{#N/A,#N/A,FALSE,"ING. EXT."}</definedName>
    <definedName name="h_2" hidden="1">{#N/A,#N/A,FALSE,"ING. EXT."}</definedName>
    <definedName name="h_2_1" hidden="1">{#N/A,#N/A,FALSE,"ING. EXT."}</definedName>
    <definedName name="h_2_2" hidden="1">{#N/A,#N/A,FALSE,"ING. EXT."}</definedName>
    <definedName name="h_3" hidden="1">{#N/A,#N/A,FALSE,"ING. EXT."}</definedName>
    <definedName name="h_4" hidden="1">{#N/A,#N/A,FALSE,"ING. EXT."}</definedName>
    <definedName name="HHH" localSheetId="3" hidden="1">#REF!</definedName>
    <definedName name="HHH" localSheetId="13" hidden="1">#REF!</definedName>
    <definedName name="HHH" localSheetId="14" hidden="1">#REF!</definedName>
    <definedName name="HHH" localSheetId="22" hidden="1">#REF!</definedName>
    <definedName name="HHH" localSheetId="23" hidden="1">#REF!</definedName>
    <definedName name="HHH" localSheetId="16" hidden="1">#REF!</definedName>
    <definedName name="HHH" hidden="1">#REF!</definedName>
    <definedName name="HHHH" hidden="1">{#N/A,#N/A,FALSE,"SUBSIDIARIAS"}</definedName>
    <definedName name="HHHH_1" hidden="1">{#N/A,#N/A,FALSE,"SUBSIDIARIAS"}</definedName>
    <definedName name="HHHH_1_1" hidden="1">{#N/A,#N/A,FALSE,"SUBSIDIARIAS"}</definedName>
    <definedName name="HHHH_1_1_1" hidden="1">{#N/A,#N/A,FALSE,"SUBSIDIARIAS"}</definedName>
    <definedName name="HHHH_1_1_2" hidden="1">{#N/A,#N/A,FALSE,"SUBSIDIARIAS"}</definedName>
    <definedName name="HHHH_1_2" hidden="1">{#N/A,#N/A,FALSE,"SUBSIDIARIAS"}</definedName>
    <definedName name="HHHH_1_3" hidden="1">{#N/A,#N/A,FALSE,"SUBSIDIARIAS"}</definedName>
    <definedName name="HHHH_2" hidden="1">{#N/A,#N/A,FALSE,"SUBSIDIARIAS"}</definedName>
    <definedName name="HHHH_2_1" hidden="1">{#N/A,#N/A,FALSE,"SUBSIDIARIAS"}</definedName>
    <definedName name="HHHH_2_2" hidden="1">{#N/A,#N/A,FALSE,"SUBSIDIARIAS"}</definedName>
    <definedName name="HHHH_3" hidden="1">{#N/A,#N/A,FALSE,"SUBSIDIARIAS"}</definedName>
    <definedName name="HHHH_4" hidden="1">{#N/A,#N/A,FALSE,"SUBSIDIARIAS"}</definedName>
    <definedName name="HJSDJASD" localSheetId="7" hidden="1">#REF!</definedName>
    <definedName name="HJSDJASD" localSheetId="21" hidden="1">#REF!</definedName>
    <definedName name="HJSDJASD" localSheetId="8" hidden="1">#REF!</definedName>
    <definedName name="HJSDJASD" localSheetId="3" hidden="1">#REF!</definedName>
    <definedName name="HJSDJASD" localSheetId="13" hidden="1">#REF!</definedName>
    <definedName name="HJSDJASD" localSheetId="9" hidden="1">#REF!</definedName>
    <definedName name="HJSDJASD" localSheetId="10" hidden="1">#REF!</definedName>
    <definedName name="HJSDJASD" localSheetId="14" hidden="1">#REF!</definedName>
    <definedName name="HJSDJASD" localSheetId="2" hidden="1">#REF!</definedName>
    <definedName name="HJSDJASD" localSheetId="20" hidden="1">#REF!</definedName>
    <definedName name="HJSDJASD" localSheetId="15" hidden="1">#REF!</definedName>
    <definedName name="HJSDJASD" localSheetId="4" hidden="1">#REF!</definedName>
    <definedName name="HJSDJASD" localSheetId="1" hidden="1">#REF!</definedName>
    <definedName name="HJSDJASD" localSheetId="22" hidden="1">#REF!</definedName>
    <definedName name="HJSDJASD" localSheetId="5" hidden="1">#REF!</definedName>
    <definedName name="HJSDJASD" localSheetId="17" hidden="1">#REF!</definedName>
    <definedName name="HJSDJASD" localSheetId="11" hidden="1">#REF!</definedName>
    <definedName name="HJSDJASD" localSheetId="23" hidden="1">#REF!</definedName>
    <definedName name="HJSDJASD" localSheetId="12" hidden="1">#REF!</definedName>
    <definedName name="HJSDJASD" localSheetId="16" hidden="1">#REF!</definedName>
    <definedName name="HJSDJASD" localSheetId="6" hidden="1">#REF!</definedName>
    <definedName name="HJSDJASD" hidden="1">#REF!</definedName>
    <definedName name="HTML_CodePage" hidden="1">1252</definedName>
    <definedName name="HTML_Control" hidden="1">{"'REVALORA'!$B$3:$K$72"}</definedName>
    <definedName name="HTML_Control_1" hidden="1">{"'REVALORA'!$B$3:$K$72"}</definedName>
    <definedName name="HTML_Control_1_1" hidden="1">{"'REVALORA'!$B$3:$K$72"}</definedName>
    <definedName name="HTML_Control_1_1_1" hidden="1">{"'REVALORA'!$B$3:$K$72"}</definedName>
    <definedName name="HTML_Control_1_1_2" hidden="1">{"'REVALORA'!$B$3:$K$72"}</definedName>
    <definedName name="HTML_Control_1_2" hidden="1">{"'REVALORA'!$B$3:$K$72"}</definedName>
    <definedName name="HTML_Control_1_3" hidden="1">{"'REVALORA'!$B$3:$K$72"}</definedName>
    <definedName name="HTML_Control_2" hidden="1">{"'REVALORA'!$B$3:$K$72"}</definedName>
    <definedName name="HTML_Control_2_1" hidden="1">{"'REVALORA'!$B$3:$K$72"}</definedName>
    <definedName name="HTML_Control_2_2" hidden="1">{"'REVALORA'!$B$3:$K$72"}</definedName>
    <definedName name="HTML_Control_3" hidden="1">{"'REVALORA'!$B$3:$K$72"}</definedName>
    <definedName name="HTML_Control_4" hidden="1">{"'REVALORA'!$B$3:$K$72"}</definedName>
    <definedName name="HTML_Description" hidden="1">""</definedName>
    <definedName name="HTML_Email" hidden="1">""</definedName>
    <definedName name="HTML_Header" hidden="1">""</definedName>
    <definedName name="HTML_LastUpdate" hidden="1">"29/11/02"</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"F:\GENERAL\H09099\OCI\REVALORA\espanol\tiposcambiootrasdivisas.html"</definedName>
    <definedName name="HTML_PathTemplate" hidden="1">"F:\GENERAL\H09099\OCI\REVALORA\nuevo\revalora-esp.htm"</definedName>
    <definedName name="HTML_Title" hidden="1">"REVALORA"</definedName>
    <definedName name="i" hidden="1">{#N/A,#N/A,FALSE,"EDO. RES. INT";#N/A,#N/A,FALSE,"EDO. RES. CNB";#N/A,#N/A,FALSE,"EDO. RES. CONT."}</definedName>
    <definedName name="i_1" hidden="1">{#N/A,#N/A,FALSE,"EDO. RES. INT";#N/A,#N/A,FALSE,"EDO. RES. CNB";#N/A,#N/A,FALSE,"EDO. RES. CONT."}</definedName>
    <definedName name="i_1_1" hidden="1">{#N/A,#N/A,FALSE,"EDO. RES. INT";#N/A,#N/A,FALSE,"EDO. RES. CNB";#N/A,#N/A,FALSE,"EDO. RES. CONT."}</definedName>
    <definedName name="i_1_1_1" hidden="1">{#N/A,#N/A,FALSE,"EDO. RES. INT";#N/A,#N/A,FALSE,"EDO. RES. CNB";#N/A,#N/A,FALSE,"EDO. RES. CONT."}</definedName>
    <definedName name="i_1_1_2" hidden="1">{#N/A,#N/A,FALSE,"EDO. RES. INT";#N/A,#N/A,FALSE,"EDO. RES. CNB";#N/A,#N/A,FALSE,"EDO. RES. CONT."}</definedName>
    <definedName name="i_1_2" hidden="1">{#N/A,#N/A,FALSE,"EDO. RES. INT";#N/A,#N/A,FALSE,"EDO. RES. CNB";#N/A,#N/A,FALSE,"EDO. RES. CONT."}</definedName>
    <definedName name="i_1_3" hidden="1">{#N/A,#N/A,FALSE,"EDO. RES. INT";#N/A,#N/A,FALSE,"EDO. RES. CNB";#N/A,#N/A,FALSE,"EDO. RES. CONT."}</definedName>
    <definedName name="i_2" hidden="1">{#N/A,#N/A,FALSE,"EDO. RES. INT";#N/A,#N/A,FALSE,"EDO. RES. CNB";#N/A,#N/A,FALSE,"EDO. RES. CONT."}</definedName>
    <definedName name="i_2_1" hidden="1">{#N/A,#N/A,FALSE,"EDO. RES. INT";#N/A,#N/A,FALSE,"EDO. RES. CNB";#N/A,#N/A,FALSE,"EDO. RES. CONT."}</definedName>
    <definedName name="i_2_2" hidden="1">{#N/A,#N/A,FALSE,"EDO. RES. INT";#N/A,#N/A,FALSE,"EDO. RES. CNB";#N/A,#N/A,FALSE,"EDO. RES. CONT."}</definedName>
    <definedName name="i_3" hidden="1">{#N/A,#N/A,FALSE,"EDO. RES. INT";#N/A,#N/A,FALSE,"EDO. RES. CNB";#N/A,#N/A,FALSE,"EDO. RES. CONT."}</definedName>
    <definedName name="i_4" hidden="1">{#N/A,#N/A,FALSE,"EDO. RES. INT";#N/A,#N/A,FALSE,"EDO. RES. CNB";#N/A,#N/A,FALSE,"EDO. RES. CONT."}</definedName>
    <definedName name="ID" localSheetId="7" hidden="1">"6f44a929-1988-404f-aea6-a320160eca45"</definedName>
    <definedName name="ID" localSheetId="24" hidden="1">"296200bf-55e5-4cc0-87af-809724086599"</definedName>
    <definedName name="ID" localSheetId="21" hidden="1">"3ff5c577-d5f6-4922-9d99-90096cf20ea6"</definedName>
    <definedName name="ID" localSheetId="8" hidden="1">"282679a7-2485-4ac9-9d85-392832428455"</definedName>
    <definedName name="ID" localSheetId="3" hidden="1">"4b9af7d6-6ee3-4636-a177-bb79a8bfb9de"</definedName>
    <definedName name="ID" localSheetId="13" hidden="1">"65da5ed8-eee8-4caa-8a6a-4c774b31c3c6"</definedName>
    <definedName name="ID" localSheetId="9" hidden="1">"715d1a9f-0033-4378-be3b-cd813383a0fe"</definedName>
    <definedName name="ID" localSheetId="10" hidden="1">"59c6e573-eb07-4d6e-897c-51afe12dc620"</definedName>
    <definedName name="ID" localSheetId="14" hidden="1">"bebc5003-c595-4030-a594-3b420b053d8a"</definedName>
    <definedName name="ID" localSheetId="2" hidden="1">"5b3dd14a-63aa-4d21-8fef-5a77980530af"</definedName>
    <definedName name="ID" localSheetId="20" hidden="1">"cc680217-fd49-4440-9024-ba9b58e398b5"</definedName>
    <definedName name="ID" localSheetId="15" hidden="1">"9605d639-deee-4bf6-9268-0e2ebce32e36"</definedName>
    <definedName name="ID" localSheetId="18" hidden="1">"8fc878b3-7b21-4c2d-8d3c-bab7f54a3623"</definedName>
    <definedName name="ID" localSheetId="4" hidden="1">"1e2b91f4-1f6c-459b-8475-86086dc6ba34"</definedName>
    <definedName name="ID" localSheetId="1" hidden="1">"78a5d01b-dd85-4be4-9362-b993a1fbba16"</definedName>
    <definedName name="ID" localSheetId="22" hidden="1">"ca2ddbe3-314c-454f-ba97-da6ad0fafc91"</definedName>
    <definedName name="ID" localSheetId="5" hidden="1">"63d93c22-cd14-43a8-b241-c1049e6cf8cb"</definedName>
    <definedName name="ID" localSheetId="17" hidden="1">"3aa4cb77-e435-4508-8430-899ba110bbd7"</definedName>
    <definedName name="ID" localSheetId="0" hidden="1">"99045f0f-d01e-4dab-a515-213ef1be27e8"</definedName>
    <definedName name="ID" localSheetId="11" hidden="1">"cf418bb1-1a72-453b-96a9-348e705efcb7"</definedName>
    <definedName name="ID" localSheetId="23" hidden="1">"21e8586f-eca7-4a4e-a6d0-255474a1a49c"</definedName>
    <definedName name="ID" localSheetId="12" hidden="1">"dd115e94-57a7-41bb-98b3-0943e28e0311"</definedName>
    <definedName name="ID" localSheetId="16" hidden="1">"d7108cce-9a3b-455b-991a-80d8e411b3a6"</definedName>
    <definedName name="ID" localSheetId="19" hidden="1">"5c06739f-f682-47dc-bdfc-31d335b5e92e"</definedName>
    <definedName name="ID" localSheetId="6" hidden="1">"a8ef6aa1-cb12-417d-8ea6-1c6cff0f36cd"</definedName>
    <definedName name="j" hidden="1">{#N/A,#N/A,FALSE,"EDO. RES. CNB";#N/A,#N/A,FALSE,"TRIMESTRAL"}</definedName>
    <definedName name="j_1" hidden="1">{#N/A,#N/A,FALSE,"EDO. RES. CNB";#N/A,#N/A,FALSE,"TRIMESTRAL"}</definedName>
    <definedName name="j_1_1" hidden="1">{#N/A,#N/A,FALSE,"EDO. RES. CNB";#N/A,#N/A,FALSE,"TRIMESTRAL"}</definedName>
    <definedName name="j_1_1_1" hidden="1">{#N/A,#N/A,FALSE,"EDO. RES. CNB";#N/A,#N/A,FALSE,"TRIMESTRAL"}</definedName>
    <definedName name="j_1_1_2" hidden="1">{#N/A,#N/A,FALSE,"EDO. RES. CNB";#N/A,#N/A,FALSE,"TRIMESTRAL"}</definedName>
    <definedName name="j_1_2" hidden="1">{#N/A,#N/A,FALSE,"EDO. RES. CNB";#N/A,#N/A,FALSE,"TRIMESTRAL"}</definedName>
    <definedName name="j_1_3" hidden="1">{#N/A,#N/A,FALSE,"EDO. RES. CNB";#N/A,#N/A,FALSE,"TRIMESTRAL"}</definedName>
    <definedName name="j_2" hidden="1">{#N/A,#N/A,FALSE,"EDO. RES. CNB";#N/A,#N/A,FALSE,"TRIMESTRAL"}</definedName>
    <definedName name="j_2_1" hidden="1">{#N/A,#N/A,FALSE,"EDO. RES. CNB";#N/A,#N/A,FALSE,"TRIMESTRAL"}</definedName>
    <definedName name="j_2_2" hidden="1">{#N/A,#N/A,FALSE,"EDO. RES. CNB";#N/A,#N/A,FALSE,"TRIMESTRAL"}</definedName>
    <definedName name="j_3" hidden="1">{#N/A,#N/A,FALSE,"EDO. RES. CNB";#N/A,#N/A,FALSE,"TRIMESTRAL"}</definedName>
    <definedName name="j_4" hidden="1">{#N/A,#N/A,FALSE,"EDO. RES. CNB";#N/A,#N/A,FALSE,"TRIMESTRAL"}</definedName>
    <definedName name="k" hidden="1">{#N/A,#N/A,FALSE,"SUBSIDIARIAS"}</definedName>
    <definedName name="k_1" hidden="1">{#N/A,#N/A,FALSE,"SUBSIDIARIAS"}</definedName>
    <definedName name="k_1_1" hidden="1">{#N/A,#N/A,FALSE,"SUBSIDIARIAS"}</definedName>
    <definedName name="k_1_1_1" hidden="1">{#N/A,#N/A,FALSE,"SUBSIDIARIAS"}</definedName>
    <definedName name="k_1_1_2" hidden="1">{#N/A,#N/A,FALSE,"SUBSIDIARIAS"}</definedName>
    <definedName name="k_1_2" hidden="1">{#N/A,#N/A,FALSE,"SUBSIDIARIAS"}</definedName>
    <definedName name="k_1_3" hidden="1">{#N/A,#N/A,FALSE,"SUBSIDIARIAS"}</definedName>
    <definedName name="k_2" hidden="1">{#N/A,#N/A,FALSE,"SUBSIDIARIAS"}</definedName>
    <definedName name="k_2_1" hidden="1">{#N/A,#N/A,FALSE,"SUBSIDIARIAS"}</definedName>
    <definedName name="k_2_2" hidden="1">{#N/A,#N/A,FALSE,"SUBSIDIARIAS"}</definedName>
    <definedName name="k_3" hidden="1">{#N/A,#N/A,FALSE,"SUBSIDIARIAS"}</definedName>
    <definedName name="k_4" hidden="1">{#N/A,#N/A,FALSE,"SUBSIDIARIAS"}</definedName>
    <definedName name="l" hidden="1">{#N/A,#N/A,FALSE,"EDO. RES. INT";#N/A,#N/A,FALSE,"EDO. RES. CNB";#N/A,#N/A,FALSE,"EDO. RES. CONT."}</definedName>
    <definedName name="l_1" hidden="1">{#N/A,#N/A,FALSE,"EDO. RES. INT";#N/A,#N/A,FALSE,"EDO. RES. CNB";#N/A,#N/A,FALSE,"EDO. RES. CONT."}</definedName>
    <definedName name="l_1_1" hidden="1">{#N/A,#N/A,FALSE,"EDO. RES. INT";#N/A,#N/A,FALSE,"EDO. RES. CNB";#N/A,#N/A,FALSE,"EDO. RES. CONT."}</definedName>
    <definedName name="l_1_1_1" hidden="1">{#N/A,#N/A,FALSE,"EDO. RES. INT";#N/A,#N/A,FALSE,"EDO. RES. CNB";#N/A,#N/A,FALSE,"EDO. RES. CONT."}</definedName>
    <definedName name="l_1_1_2" hidden="1">{#N/A,#N/A,FALSE,"EDO. RES. INT";#N/A,#N/A,FALSE,"EDO. RES. CNB";#N/A,#N/A,FALSE,"EDO. RES. CONT."}</definedName>
    <definedName name="l_1_2" hidden="1">{#N/A,#N/A,FALSE,"EDO. RES. INT";#N/A,#N/A,FALSE,"EDO. RES. CNB";#N/A,#N/A,FALSE,"EDO. RES. CONT."}</definedName>
    <definedName name="l_1_3" hidden="1">{#N/A,#N/A,FALSE,"EDO. RES. INT";#N/A,#N/A,FALSE,"EDO. RES. CNB";#N/A,#N/A,FALSE,"EDO. RES. CONT."}</definedName>
    <definedName name="l_2" hidden="1">{#N/A,#N/A,FALSE,"EDO. RES. INT";#N/A,#N/A,FALSE,"EDO. RES. CNB";#N/A,#N/A,FALSE,"EDO. RES. CONT."}</definedName>
    <definedName name="l_2_1" hidden="1">{#N/A,#N/A,FALSE,"EDO. RES. INT";#N/A,#N/A,FALSE,"EDO. RES. CNB";#N/A,#N/A,FALSE,"EDO. RES. CONT."}</definedName>
    <definedName name="l_2_2" hidden="1">{#N/A,#N/A,FALSE,"EDO. RES. INT";#N/A,#N/A,FALSE,"EDO. RES. CNB";#N/A,#N/A,FALSE,"EDO. RES. CONT."}</definedName>
    <definedName name="l_3" hidden="1">{#N/A,#N/A,FALSE,"EDO. RES. INT";#N/A,#N/A,FALSE,"EDO. RES. CNB";#N/A,#N/A,FALSE,"EDO. RES. CONT."}</definedName>
    <definedName name="l_4" hidden="1">{#N/A,#N/A,FALSE,"EDO. RES. INT";#N/A,#N/A,FALSE,"EDO. RES. CNB";#N/A,#N/A,FALSE,"EDO. RES. CONT."}</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vtoaprs4T"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mvtoaprs4T_1"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mvtoaprs4T_1_1"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mvtoaprs4T_1_1_1"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mvtoaprs4T_1_1_2"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mvtoaprs4T_1_2"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mvtoaprs4T_1_3"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mvtoaprs4T_2"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mvtoaprs4T_2_1"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mvtoaprs4T_2_2"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mvtoaprs4T_3"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mvtoaprs4T_4"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nose" hidden="1">{#N/A,#N/A,FALSE,"EDO. DE RESULTADOS";#N/A,#N/A,FALSE,"CAMBIOS";#N/A,#N/A,FALSE,"COM - VTA";#N/A,#N/A,FALSE,"DIVIDENDOS";#N/A,#N/A,FALSE,"OTROS ING. DE OP.";#N/A,#N/A,FALSE,"GASTOS DE PERSONAL";#N/A,#N/A,FALSE,"RENTAS";#N/A,#N/A,FALSE,"OTROS GASTOS";#N/A,#N/A,FALSE,"DEP. Y AMO.";#N/A,#N/A,FALSE,"OTROS PROD."}</definedName>
    <definedName name="nose_1" hidden="1">{#N/A,#N/A,FALSE,"EDO. DE RESULTADOS";#N/A,#N/A,FALSE,"CAMBIOS";#N/A,#N/A,FALSE,"COM - VTA";#N/A,#N/A,FALSE,"DIVIDENDOS";#N/A,#N/A,FALSE,"OTROS ING. DE OP.";#N/A,#N/A,FALSE,"GASTOS DE PERSONAL";#N/A,#N/A,FALSE,"RENTAS";#N/A,#N/A,FALSE,"OTROS GASTOS";#N/A,#N/A,FALSE,"DEP. Y AMO.";#N/A,#N/A,FALSE,"OTROS PROD."}</definedName>
    <definedName name="nose_1_1" hidden="1">{#N/A,#N/A,FALSE,"EDO. DE RESULTADOS";#N/A,#N/A,FALSE,"CAMBIOS";#N/A,#N/A,FALSE,"COM - VTA";#N/A,#N/A,FALSE,"DIVIDENDOS";#N/A,#N/A,FALSE,"OTROS ING. DE OP.";#N/A,#N/A,FALSE,"GASTOS DE PERSONAL";#N/A,#N/A,FALSE,"RENTAS";#N/A,#N/A,FALSE,"OTROS GASTOS";#N/A,#N/A,FALSE,"DEP. Y AMO.";#N/A,#N/A,FALSE,"OTROS PROD."}</definedName>
    <definedName name="nose_1_1_1" hidden="1">{#N/A,#N/A,FALSE,"EDO. DE RESULTADOS";#N/A,#N/A,FALSE,"CAMBIOS";#N/A,#N/A,FALSE,"COM - VTA";#N/A,#N/A,FALSE,"DIVIDENDOS";#N/A,#N/A,FALSE,"OTROS ING. DE OP.";#N/A,#N/A,FALSE,"GASTOS DE PERSONAL";#N/A,#N/A,FALSE,"RENTAS";#N/A,#N/A,FALSE,"OTROS GASTOS";#N/A,#N/A,FALSE,"DEP. Y AMO.";#N/A,#N/A,FALSE,"OTROS PROD."}</definedName>
    <definedName name="nose_1_1_2" hidden="1">{#N/A,#N/A,FALSE,"EDO. DE RESULTADOS";#N/A,#N/A,FALSE,"CAMBIOS";#N/A,#N/A,FALSE,"COM - VTA";#N/A,#N/A,FALSE,"DIVIDENDOS";#N/A,#N/A,FALSE,"OTROS ING. DE OP.";#N/A,#N/A,FALSE,"GASTOS DE PERSONAL";#N/A,#N/A,FALSE,"RENTAS";#N/A,#N/A,FALSE,"OTROS GASTOS";#N/A,#N/A,FALSE,"DEP. Y AMO.";#N/A,#N/A,FALSE,"OTROS PROD."}</definedName>
    <definedName name="nose_1_2" hidden="1">{#N/A,#N/A,FALSE,"EDO. DE RESULTADOS";#N/A,#N/A,FALSE,"CAMBIOS";#N/A,#N/A,FALSE,"COM - VTA";#N/A,#N/A,FALSE,"DIVIDENDOS";#N/A,#N/A,FALSE,"OTROS ING. DE OP.";#N/A,#N/A,FALSE,"GASTOS DE PERSONAL";#N/A,#N/A,FALSE,"RENTAS";#N/A,#N/A,FALSE,"OTROS GASTOS";#N/A,#N/A,FALSE,"DEP. Y AMO.";#N/A,#N/A,FALSE,"OTROS PROD."}</definedName>
    <definedName name="nose_1_3" hidden="1">{#N/A,#N/A,FALSE,"EDO. DE RESULTADOS";#N/A,#N/A,FALSE,"CAMBIOS";#N/A,#N/A,FALSE,"COM - VTA";#N/A,#N/A,FALSE,"DIVIDENDOS";#N/A,#N/A,FALSE,"OTROS ING. DE OP.";#N/A,#N/A,FALSE,"GASTOS DE PERSONAL";#N/A,#N/A,FALSE,"RENTAS";#N/A,#N/A,FALSE,"OTROS GASTOS";#N/A,#N/A,FALSE,"DEP. Y AMO.";#N/A,#N/A,FALSE,"OTROS PROD."}</definedName>
    <definedName name="nose_2" hidden="1">{#N/A,#N/A,FALSE,"EDO. DE RESULTADOS";#N/A,#N/A,FALSE,"CAMBIOS";#N/A,#N/A,FALSE,"COM - VTA";#N/A,#N/A,FALSE,"DIVIDENDOS";#N/A,#N/A,FALSE,"OTROS ING. DE OP.";#N/A,#N/A,FALSE,"GASTOS DE PERSONAL";#N/A,#N/A,FALSE,"RENTAS";#N/A,#N/A,FALSE,"OTROS GASTOS";#N/A,#N/A,FALSE,"DEP. Y AMO.";#N/A,#N/A,FALSE,"OTROS PROD."}</definedName>
    <definedName name="nose_2_1" hidden="1">{#N/A,#N/A,FALSE,"EDO. DE RESULTADOS";#N/A,#N/A,FALSE,"CAMBIOS";#N/A,#N/A,FALSE,"COM - VTA";#N/A,#N/A,FALSE,"DIVIDENDOS";#N/A,#N/A,FALSE,"OTROS ING. DE OP.";#N/A,#N/A,FALSE,"GASTOS DE PERSONAL";#N/A,#N/A,FALSE,"RENTAS";#N/A,#N/A,FALSE,"OTROS GASTOS";#N/A,#N/A,FALSE,"DEP. Y AMO.";#N/A,#N/A,FALSE,"OTROS PROD."}</definedName>
    <definedName name="nose_2_2" hidden="1">{#N/A,#N/A,FALSE,"EDO. DE RESULTADOS";#N/A,#N/A,FALSE,"CAMBIOS";#N/A,#N/A,FALSE,"COM - VTA";#N/A,#N/A,FALSE,"DIVIDENDOS";#N/A,#N/A,FALSE,"OTROS ING. DE OP.";#N/A,#N/A,FALSE,"GASTOS DE PERSONAL";#N/A,#N/A,FALSE,"RENTAS";#N/A,#N/A,FALSE,"OTROS GASTOS";#N/A,#N/A,FALSE,"DEP. Y AMO.";#N/A,#N/A,FALSE,"OTROS PROD."}</definedName>
    <definedName name="nose_3" hidden="1">{#N/A,#N/A,FALSE,"EDO. DE RESULTADOS";#N/A,#N/A,FALSE,"CAMBIOS";#N/A,#N/A,FALSE,"COM - VTA";#N/A,#N/A,FALSE,"DIVIDENDOS";#N/A,#N/A,FALSE,"OTROS ING. DE OP.";#N/A,#N/A,FALSE,"GASTOS DE PERSONAL";#N/A,#N/A,FALSE,"RENTAS";#N/A,#N/A,FALSE,"OTROS GASTOS";#N/A,#N/A,FALSE,"DEP. Y AMO.";#N/A,#N/A,FALSE,"OTROS PROD."}</definedName>
    <definedName name="nose_4" hidden="1">{#N/A,#N/A,FALSE,"EDO. DE RESULTADOS";#N/A,#N/A,FALSE,"CAMBIOS";#N/A,#N/A,FALSE,"COM - VTA";#N/A,#N/A,FALSE,"DIVIDENDOS";#N/A,#N/A,FALSE,"OTROS ING. DE OP.";#N/A,#N/A,FALSE,"GASTOS DE PERSONAL";#N/A,#N/A,FALSE,"RENTAS";#N/A,#N/A,FALSE,"OTROS GASTOS";#N/A,#N/A,FALSE,"DEP. Y AMO.";#N/A,#N/A,FALSE,"OTROS PROD."}</definedName>
    <definedName name="pp" hidden="1">{#N/A,#N/A,FALSE,"EDO. RES. INT";#N/A,#N/A,FALSE,"EDO. RES. CNB";#N/A,#N/A,FALSE,"EDO. RES. CONT."}</definedName>
    <definedName name="pp_1" hidden="1">{#N/A,#N/A,FALSE,"EDO. RES. INT";#N/A,#N/A,FALSE,"EDO. RES. CNB";#N/A,#N/A,FALSE,"EDO. RES. CONT."}</definedName>
    <definedName name="pp_1_1" hidden="1">{#N/A,#N/A,FALSE,"EDO. RES. INT";#N/A,#N/A,FALSE,"EDO. RES. CNB";#N/A,#N/A,FALSE,"EDO. RES. CONT."}</definedName>
    <definedName name="pp_1_1_1" hidden="1">{#N/A,#N/A,FALSE,"EDO. RES. INT";#N/A,#N/A,FALSE,"EDO. RES. CNB";#N/A,#N/A,FALSE,"EDO. RES. CONT."}</definedName>
    <definedName name="pp_1_1_2" hidden="1">{#N/A,#N/A,FALSE,"EDO. RES. INT";#N/A,#N/A,FALSE,"EDO. RES. CNB";#N/A,#N/A,FALSE,"EDO. RES. CONT."}</definedName>
    <definedName name="pp_1_2" hidden="1">{#N/A,#N/A,FALSE,"EDO. RES. INT";#N/A,#N/A,FALSE,"EDO. RES. CNB";#N/A,#N/A,FALSE,"EDO. RES. CONT."}</definedName>
    <definedName name="pp_1_3" hidden="1">{#N/A,#N/A,FALSE,"EDO. RES. INT";#N/A,#N/A,FALSE,"EDO. RES. CNB";#N/A,#N/A,FALSE,"EDO. RES. CONT."}</definedName>
    <definedName name="pp_2" hidden="1">{#N/A,#N/A,FALSE,"EDO. RES. INT";#N/A,#N/A,FALSE,"EDO. RES. CNB";#N/A,#N/A,FALSE,"EDO. RES. CONT."}</definedName>
    <definedName name="pp_2_1" hidden="1">{#N/A,#N/A,FALSE,"EDO. RES. INT";#N/A,#N/A,FALSE,"EDO. RES. CNB";#N/A,#N/A,FALSE,"EDO. RES. CONT."}</definedName>
    <definedName name="pp_2_2" hidden="1">{#N/A,#N/A,FALSE,"EDO. RES. INT";#N/A,#N/A,FALSE,"EDO. RES. CNB";#N/A,#N/A,FALSE,"EDO. RES. CONT."}</definedName>
    <definedName name="pp_3" hidden="1">{#N/A,#N/A,FALSE,"EDO. RES. INT";#N/A,#N/A,FALSE,"EDO. RES. CNB";#N/A,#N/A,FALSE,"EDO. RES. CONT."}</definedName>
    <definedName name="pp_4" hidden="1">{#N/A,#N/A,FALSE,"EDO. RES. INT";#N/A,#N/A,FALSE,"EDO. RES. CNB";#N/A,#N/A,FALSE,"EDO. RES. CONT."}</definedName>
    <definedName name="PRico" hidden="1">{"'REVALORA'!$B$3:$K$72"}</definedName>
    <definedName name="PRico_1" hidden="1">{"'REVALORA'!$B$3:$K$72"}</definedName>
    <definedName name="PRico_1_1" hidden="1">{"'REVALORA'!$B$3:$K$72"}</definedName>
    <definedName name="PRico_1_1_1" hidden="1">{"'REVALORA'!$B$3:$K$72"}</definedName>
    <definedName name="PRico_1_1_2" hidden="1">{"'REVALORA'!$B$3:$K$72"}</definedName>
    <definedName name="PRico_1_2" hidden="1">{"'REVALORA'!$B$3:$K$72"}</definedName>
    <definedName name="PRico_1_3" hidden="1">{"'REVALORA'!$B$3:$K$72"}</definedName>
    <definedName name="PRico_2" hidden="1">{"'REVALORA'!$B$3:$K$72"}</definedName>
    <definedName name="PRico_2_1" hidden="1">{"'REVALORA'!$B$3:$K$72"}</definedName>
    <definedName name="PRico_2_2" hidden="1">{"'REVALORA'!$B$3:$K$72"}</definedName>
    <definedName name="PRico_3" hidden="1">{"'REVALORA'!$B$3:$K$72"}</definedName>
    <definedName name="PRico_4" hidden="1">{"'REVALORA'!$B$3:$K$72"}</definedName>
    <definedName name="san" hidden="1">{#N/A,#N/A,FALSE,"SUBSIDIARIAS"}</definedName>
    <definedName name="san_1" hidden="1">{#N/A,#N/A,FALSE,"SUBSIDIARIAS"}</definedName>
    <definedName name="san_1_1" hidden="1">{#N/A,#N/A,FALSE,"SUBSIDIARIAS"}</definedName>
    <definedName name="san_1_1_1" hidden="1">{#N/A,#N/A,FALSE,"SUBSIDIARIAS"}</definedName>
    <definedName name="san_1_1_2" hidden="1">{#N/A,#N/A,FALSE,"SUBSIDIARIAS"}</definedName>
    <definedName name="san_1_2" hidden="1">{#N/A,#N/A,FALSE,"SUBSIDIARIAS"}</definedName>
    <definedName name="san_1_3" hidden="1">{#N/A,#N/A,FALSE,"SUBSIDIARIAS"}</definedName>
    <definedName name="san_2" hidden="1">{#N/A,#N/A,FALSE,"SUBSIDIARIAS"}</definedName>
    <definedName name="san_2_1" hidden="1">{#N/A,#N/A,FALSE,"SUBSIDIARIAS"}</definedName>
    <definedName name="san_2_2" hidden="1">{#N/A,#N/A,FALSE,"SUBSIDIARIAS"}</definedName>
    <definedName name="san_3" hidden="1">{#N/A,#N/A,FALSE,"SUBSIDIARIAS"}</definedName>
    <definedName name="san_4" hidden="1">{#N/A,#N/A,FALSE,"SUBSIDIARIAS"}</definedName>
    <definedName name="SDSD" hidden="1">#N/A</definedName>
    <definedName name="ser" hidden="1">#N/A</definedName>
    <definedName name="serfgy" hidden="1">#N/A</definedName>
    <definedName name="serft" hidden="1">#N/A</definedName>
    <definedName name="ss" hidden="1">{#N/A,#N/A,FALSE,"EDO. DE RESULTADOS";#N/A,#N/A,FALSE,"CAMBIOS";#N/A,#N/A,FALSE,"COM - VTA";#N/A,#N/A,FALSE,"DIVIDENDOS";#N/A,#N/A,FALSE,"OTROS ING. DE OP.";#N/A,#N/A,FALSE,"GASTOS DE PERSONAL";#N/A,#N/A,FALSE,"RENTAS";#N/A,#N/A,FALSE,"OTROS GASTOS";#N/A,#N/A,FALSE,"DEP. Y AMO.";#N/A,#N/A,FALSE,"OTROS PROD."}</definedName>
    <definedName name="ss_1" hidden="1">{#N/A,#N/A,FALSE,"EDO. DE RESULTADOS";#N/A,#N/A,FALSE,"CAMBIOS";#N/A,#N/A,FALSE,"COM - VTA";#N/A,#N/A,FALSE,"DIVIDENDOS";#N/A,#N/A,FALSE,"OTROS ING. DE OP.";#N/A,#N/A,FALSE,"GASTOS DE PERSONAL";#N/A,#N/A,FALSE,"RENTAS";#N/A,#N/A,FALSE,"OTROS GASTOS";#N/A,#N/A,FALSE,"DEP. Y AMO.";#N/A,#N/A,FALSE,"OTROS PROD."}</definedName>
    <definedName name="ss_1_1" hidden="1">{#N/A,#N/A,FALSE,"EDO. DE RESULTADOS";#N/A,#N/A,FALSE,"CAMBIOS";#N/A,#N/A,FALSE,"COM - VTA";#N/A,#N/A,FALSE,"DIVIDENDOS";#N/A,#N/A,FALSE,"OTROS ING. DE OP.";#N/A,#N/A,FALSE,"GASTOS DE PERSONAL";#N/A,#N/A,FALSE,"RENTAS";#N/A,#N/A,FALSE,"OTROS GASTOS";#N/A,#N/A,FALSE,"DEP. Y AMO.";#N/A,#N/A,FALSE,"OTROS PROD."}</definedName>
    <definedName name="ss_1_1_1" hidden="1">{#N/A,#N/A,FALSE,"EDO. DE RESULTADOS";#N/A,#N/A,FALSE,"CAMBIOS";#N/A,#N/A,FALSE,"COM - VTA";#N/A,#N/A,FALSE,"DIVIDENDOS";#N/A,#N/A,FALSE,"OTROS ING. DE OP.";#N/A,#N/A,FALSE,"GASTOS DE PERSONAL";#N/A,#N/A,FALSE,"RENTAS";#N/A,#N/A,FALSE,"OTROS GASTOS";#N/A,#N/A,FALSE,"DEP. Y AMO.";#N/A,#N/A,FALSE,"OTROS PROD."}</definedName>
    <definedName name="ss_1_1_2" hidden="1">{#N/A,#N/A,FALSE,"EDO. DE RESULTADOS";#N/A,#N/A,FALSE,"CAMBIOS";#N/A,#N/A,FALSE,"COM - VTA";#N/A,#N/A,FALSE,"DIVIDENDOS";#N/A,#N/A,FALSE,"OTROS ING. DE OP.";#N/A,#N/A,FALSE,"GASTOS DE PERSONAL";#N/A,#N/A,FALSE,"RENTAS";#N/A,#N/A,FALSE,"OTROS GASTOS";#N/A,#N/A,FALSE,"DEP. Y AMO.";#N/A,#N/A,FALSE,"OTROS PROD."}</definedName>
    <definedName name="ss_1_2" hidden="1">{#N/A,#N/A,FALSE,"EDO. DE RESULTADOS";#N/A,#N/A,FALSE,"CAMBIOS";#N/A,#N/A,FALSE,"COM - VTA";#N/A,#N/A,FALSE,"DIVIDENDOS";#N/A,#N/A,FALSE,"OTROS ING. DE OP.";#N/A,#N/A,FALSE,"GASTOS DE PERSONAL";#N/A,#N/A,FALSE,"RENTAS";#N/A,#N/A,FALSE,"OTROS GASTOS";#N/A,#N/A,FALSE,"DEP. Y AMO.";#N/A,#N/A,FALSE,"OTROS PROD."}</definedName>
    <definedName name="ss_1_3" hidden="1">{#N/A,#N/A,FALSE,"EDO. DE RESULTADOS";#N/A,#N/A,FALSE,"CAMBIOS";#N/A,#N/A,FALSE,"COM - VTA";#N/A,#N/A,FALSE,"DIVIDENDOS";#N/A,#N/A,FALSE,"OTROS ING. DE OP.";#N/A,#N/A,FALSE,"GASTOS DE PERSONAL";#N/A,#N/A,FALSE,"RENTAS";#N/A,#N/A,FALSE,"OTROS GASTOS";#N/A,#N/A,FALSE,"DEP. Y AMO.";#N/A,#N/A,FALSE,"OTROS PROD."}</definedName>
    <definedName name="ss_2" hidden="1">{#N/A,#N/A,FALSE,"EDO. DE RESULTADOS";#N/A,#N/A,FALSE,"CAMBIOS";#N/A,#N/A,FALSE,"COM - VTA";#N/A,#N/A,FALSE,"DIVIDENDOS";#N/A,#N/A,FALSE,"OTROS ING. DE OP.";#N/A,#N/A,FALSE,"GASTOS DE PERSONAL";#N/A,#N/A,FALSE,"RENTAS";#N/A,#N/A,FALSE,"OTROS GASTOS";#N/A,#N/A,FALSE,"DEP. Y AMO.";#N/A,#N/A,FALSE,"OTROS PROD."}</definedName>
    <definedName name="ss_2_1" hidden="1">{#N/A,#N/A,FALSE,"EDO. DE RESULTADOS";#N/A,#N/A,FALSE,"CAMBIOS";#N/A,#N/A,FALSE,"COM - VTA";#N/A,#N/A,FALSE,"DIVIDENDOS";#N/A,#N/A,FALSE,"OTROS ING. DE OP.";#N/A,#N/A,FALSE,"GASTOS DE PERSONAL";#N/A,#N/A,FALSE,"RENTAS";#N/A,#N/A,FALSE,"OTROS GASTOS";#N/A,#N/A,FALSE,"DEP. Y AMO.";#N/A,#N/A,FALSE,"OTROS PROD."}</definedName>
    <definedName name="ss_2_2" hidden="1">{#N/A,#N/A,FALSE,"EDO. DE RESULTADOS";#N/A,#N/A,FALSE,"CAMBIOS";#N/A,#N/A,FALSE,"COM - VTA";#N/A,#N/A,FALSE,"DIVIDENDOS";#N/A,#N/A,FALSE,"OTROS ING. DE OP.";#N/A,#N/A,FALSE,"GASTOS DE PERSONAL";#N/A,#N/A,FALSE,"RENTAS";#N/A,#N/A,FALSE,"OTROS GASTOS";#N/A,#N/A,FALSE,"DEP. Y AMO.";#N/A,#N/A,FALSE,"OTROS PROD."}</definedName>
    <definedName name="ss_3" hidden="1">{#N/A,#N/A,FALSE,"EDO. DE RESULTADOS";#N/A,#N/A,FALSE,"CAMBIOS";#N/A,#N/A,FALSE,"COM - VTA";#N/A,#N/A,FALSE,"DIVIDENDOS";#N/A,#N/A,FALSE,"OTROS ING. DE OP.";#N/A,#N/A,FALSE,"GASTOS DE PERSONAL";#N/A,#N/A,FALSE,"RENTAS";#N/A,#N/A,FALSE,"OTROS GASTOS";#N/A,#N/A,FALSE,"DEP. Y AMO.";#N/A,#N/A,FALSE,"OTROS PROD."}</definedName>
    <definedName name="ss_4" hidden="1">{#N/A,#N/A,FALSE,"EDO. DE RESULTADOS";#N/A,#N/A,FALSE,"CAMBIOS";#N/A,#N/A,FALSE,"COM - VTA";#N/A,#N/A,FALSE,"DIVIDENDOS";#N/A,#N/A,FALSE,"OTROS ING. DE OP.";#N/A,#N/A,FALSE,"GASTOS DE PERSONAL";#N/A,#N/A,FALSE,"RENTAS";#N/A,#N/A,FALSE,"OTROS GASTOS";#N/A,#N/A,FALSE,"DEP. Y AMO.";#N/A,#N/A,FALSE,"OTROS PROD."}</definedName>
    <definedName name="sun" hidden="1">{#N/A,#N/A,FALSE,"SUBSIDIARIAS"}</definedName>
    <definedName name="sun_1" hidden="1">{#N/A,#N/A,FALSE,"SUBSIDIARIAS"}</definedName>
    <definedName name="sun_1_1" hidden="1">{#N/A,#N/A,FALSE,"SUBSIDIARIAS"}</definedName>
    <definedName name="sun_1_1_1" hidden="1">{#N/A,#N/A,FALSE,"SUBSIDIARIAS"}</definedName>
    <definedName name="sun_1_1_2" hidden="1">{#N/A,#N/A,FALSE,"SUBSIDIARIAS"}</definedName>
    <definedName name="sun_1_2" hidden="1">{#N/A,#N/A,FALSE,"SUBSIDIARIAS"}</definedName>
    <definedName name="sun_1_3" hidden="1">{#N/A,#N/A,FALSE,"SUBSIDIARIAS"}</definedName>
    <definedName name="sun_2" hidden="1">{#N/A,#N/A,FALSE,"SUBSIDIARIAS"}</definedName>
    <definedName name="sun_2_1" hidden="1">{#N/A,#N/A,FALSE,"SUBSIDIARIAS"}</definedName>
    <definedName name="sun_2_2" hidden="1">{#N/A,#N/A,FALSE,"SUBSIDIARIAS"}</definedName>
    <definedName name="sun_3" hidden="1">{#N/A,#N/A,FALSE,"SUBSIDIARIAS"}</definedName>
    <definedName name="sun_4" hidden="1">{#N/A,#N/A,FALSE,"SUBSIDIARIAS"}</definedName>
    <definedName name="tam" hidden="1">{#N/A,#N/A,FALSE,"OBLIG.S-CAPITAL"}</definedName>
    <definedName name="tam_1" hidden="1">{#N/A,#N/A,FALSE,"OBLIG.S-CAPITAL"}</definedName>
    <definedName name="tam_1_1" hidden="1">{#N/A,#N/A,FALSE,"OBLIG.S-CAPITAL"}</definedName>
    <definedName name="tam_1_1_1" hidden="1">{#N/A,#N/A,FALSE,"OBLIG.S-CAPITAL"}</definedName>
    <definedName name="tam_1_1_2" hidden="1">{#N/A,#N/A,FALSE,"OBLIG.S-CAPITAL"}</definedName>
    <definedName name="tam_1_2" hidden="1">{#N/A,#N/A,FALSE,"OBLIG.S-CAPITAL"}</definedName>
    <definedName name="tam_1_3" hidden="1">{#N/A,#N/A,FALSE,"OBLIG.S-CAPITAL"}</definedName>
    <definedName name="tam_2" hidden="1">{#N/A,#N/A,FALSE,"OBLIG.S-CAPITAL"}</definedName>
    <definedName name="tam_2_1" hidden="1">{#N/A,#N/A,FALSE,"OBLIG.S-CAPITAL"}</definedName>
    <definedName name="tam_2_2" hidden="1">{#N/A,#N/A,FALSE,"OBLIG.S-CAPITAL"}</definedName>
    <definedName name="tam_3" hidden="1">{#N/A,#N/A,FALSE,"OBLIG.S-CAPITAL"}</definedName>
    <definedName name="tam_4" hidden="1">{#N/A,#N/A,FALSE,"OBLIG.S-CAPITAL"}</definedName>
    <definedName name="TextRefCopyRangeCount" hidden="1">34</definedName>
    <definedName name="tm1\\_0_H">"{ ""server"" : ""https://paw-ho-gold.live-03.nextgen.igrupobbva"", ""cube"" : ""{ \""server\"" : \""gold\"", \""cube\"" : \""03 SPG\""}""}"</definedName>
    <definedName name="tm1\\_1_H">"{ ""server"" : ""https://paw-ho-gold.live-03.nextgen.igrupobbva"", ""cube"" : ""{ \""server\"" : \""gold\"", \""cube\"" : \""03 SPG\""}""}"</definedName>
    <definedName name="tm1\\_10_H">"{ ""server"" : ""https://paw-ho-gold.live-03.nextgen.igrupobbva"", ""cube"" : ""{ \""server\"" : \""gold\"", \""cube\"" : \""03 SPG\""}""}"</definedName>
    <definedName name="tm1\\_2_H">"{ ""server"" : ""https://paw-ho-gold.live-03.nextgen.igrupobbva"", ""cube"" : ""{ \""server\"" : \""gold\"", \""cube\"" : \""03 SPG\""}""}"</definedName>
    <definedName name="tm1\\_3_H">"{ ""server"" : ""https://paw-ho-gold.live-03.nextgen.igrupobbva"", ""cube"" : ""{ \""server\"" : \""gold\"", \""cube\"" : \""03 SPG\""}""}"</definedName>
    <definedName name="tm1\\_4_H">"{ ""server"" : ""https://paw-ho-gold.live-03.nextgen.igrupobbva"", ""cube"" : ""{ \""server\"" : \""gold\"", \""cube\"" : \""03 SPG\""}""}"</definedName>
    <definedName name="tm1\\_5_H">"{ ""server"" : ""https://paw-ho-gold.live-03.nextgen.igrupobbva"", ""cube"" : ""{ \""server\"" : \""gold\"", \""cube\"" : \""03 SPG\""}""}"</definedName>
    <definedName name="tm1\\_6_H">"{ ""server"" : ""https://paw-ho-gold.live-03.nextgen.igrupobbva"", ""cube"" : ""{ \""server\"" : \""gold\"", \""cube\"" : \""03 SPG\""}""}"</definedName>
    <definedName name="tm1\\_7_H">"{ ""server"" : ""https://paw-ho-gold.live-03.nextgen.igrupobbva"", ""cube"" : ""{ \""server\"" : \""gold\"", \""cube\"" : \""03 SPG\""}""}"</definedName>
    <definedName name="tm1\\_8_H">"{ ""server"" : ""https://paw-ho-gold.live-03.nextgen.igrupobbva"", ""cube"" : ""{ \""server\"" : \""gold\"", \""cube\"" : \""03 SPG\""}""}"</definedName>
    <definedName name="tt" hidden="1">{#N/A,#N/A,FALSE,"ING. EXT."}</definedName>
    <definedName name="tt_1" hidden="1">{#N/A,#N/A,FALSE,"ING. EXT."}</definedName>
    <definedName name="tt_1_1" hidden="1">{#N/A,#N/A,FALSE,"ING. EXT."}</definedName>
    <definedName name="tt_1_1_1" hidden="1">{#N/A,#N/A,FALSE,"ING. EXT."}</definedName>
    <definedName name="tt_1_1_2" hidden="1">{#N/A,#N/A,FALSE,"ING. EXT."}</definedName>
    <definedName name="tt_1_2" hidden="1">{#N/A,#N/A,FALSE,"ING. EXT."}</definedName>
    <definedName name="tt_1_3" hidden="1">{#N/A,#N/A,FALSE,"ING. EXT."}</definedName>
    <definedName name="tt_2" hidden="1">{#N/A,#N/A,FALSE,"ING. EXT."}</definedName>
    <definedName name="tt_2_1" hidden="1">{#N/A,#N/A,FALSE,"ING. EXT."}</definedName>
    <definedName name="tt_2_2" hidden="1">{#N/A,#N/A,FALSE,"ING. EXT."}</definedName>
    <definedName name="tt_3" hidden="1">{#N/A,#N/A,FALSE,"ING. EXT."}</definedName>
    <definedName name="tt_4" hidden="1">{#N/A,#N/A,FALSE,"ING. EXT."}</definedName>
    <definedName name="uu" hidden="1">{#N/A,#N/A,FALSE,"EDO. RES. INT";#N/A,#N/A,FALSE,"EDO. RES. CNB";#N/A,#N/A,FALSE,"EDO. RES. CONT."}</definedName>
    <definedName name="uu_1" hidden="1">{#N/A,#N/A,FALSE,"EDO. RES. INT";#N/A,#N/A,FALSE,"EDO. RES. CNB";#N/A,#N/A,FALSE,"EDO. RES. CONT."}</definedName>
    <definedName name="uu_1_1" hidden="1">{#N/A,#N/A,FALSE,"EDO. RES. INT";#N/A,#N/A,FALSE,"EDO. RES. CNB";#N/A,#N/A,FALSE,"EDO. RES. CONT."}</definedName>
    <definedName name="uu_1_1_1" hidden="1">{#N/A,#N/A,FALSE,"EDO. RES. INT";#N/A,#N/A,FALSE,"EDO. RES. CNB";#N/A,#N/A,FALSE,"EDO. RES. CONT."}</definedName>
    <definedName name="uu_1_1_2" hidden="1">{#N/A,#N/A,FALSE,"EDO. RES. INT";#N/A,#N/A,FALSE,"EDO. RES. CNB";#N/A,#N/A,FALSE,"EDO. RES. CONT."}</definedName>
    <definedName name="uu_1_2" hidden="1">{#N/A,#N/A,FALSE,"EDO. RES. INT";#N/A,#N/A,FALSE,"EDO. RES. CNB";#N/A,#N/A,FALSE,"EDO. RES. CONT."}</definedName>
    <definedName name="uu_1_3" hidden="1">{#N/A,#N/A,FALSE,"EDO. RES. INT";#N/A,#N/A,FALSE,"EDO. RES. CNB";#N/A,#N/A,FALSE,"EDO. RES. CONT."}</definedName>
    <definedName name="uu_2" hidden="1">{#N/A,#N/A,FALSE,"EDO. RES. INT";#N/A,#N/A,FALSE,"EDO. RES. CNB";#N/A,#N/A,FALSE,"EDO. RES. CONT."}</definedName>
    <definedName name="uu_2_1" hidden="1">{#N/A,#N/A,FALSE,"EDO. RES. INT";#N/A,#N/A,FALSE,"EDO. RES. CNB";#N/A,#N/A,FALSE,"EDO. RES. CONT."}</definedName>
    <definedName name="uu_2_2" hidden="1">{#N/A,#N/A,FALSE,"EDO. RES. INT";#N/A,#N/A,FALSE,"EDO. RES. CNB";#N/A,#N/A,FALSE,"EDO. RES. CONT."}</definedName>
    <definedName name="uu_3" hidden="1">{#N/A,#N/A,FALSE,"EDO. RES. INT";#N/A,#N/A,FALSE,"EDO. RES. CNB";#N/A,#N/A,FALSE,"EDO. RES. CONT."}</definedName>
    <definedName name="uu_4" hidden="1">{#N/A,#N/A,FALSE,"EDO. RES. INT";#N/A,#N/A,FALSE,"EDO. RES. CNB";#N/A,#N/A,FALSE,"EDO. RES. CONT."}</definedName>
    <definedName name="v" hidden="1">{#N/A,#N/A,FALSE,"SUBSIDIARIAS"}</definedName>
    <definedName name="v_1" hidden="1">{#N/A,#N/A,FALSE,"SUBSIDIARIAS"}</definedName>
    <definedName name="v_1_1" hidden="1">{#N/A,#N/A,FALSE,"SUBSIDIARIAS"}</definedName>
    <definedName name="v_1_1_1" hidden="1">{#N/A,#N/A,FALSE,"SUBSIDIARIAS"}</definedName>
    <definedName name="v_1_1_2" hidden="1">{#N/A,#N/A,FALSE,"SUBSIDIARIAS"}</definedName>
    <definedName name="v_1_2" hidden="1">{#N/A,#N/A,FALSE,"SUBSIDIARIAS"}</definedName>
    <definedName name="v_1_3" hidden="1">{#N/A,#N/A,FALSE,"SUBSIDIARIAS"}</definedName>
    <definedName name="v_2" hidden="1">{#N/A,#N/A,FALSE,"SUBSIDIARIAS"}</definedName>
    <definedName name="v_2_1" hidden="1">{#N/A,#N/A,FALSE,"SUBSIDIARIAS"}</definedName>
    <definedName name="v_2_2" hidden="1">{#N/A,#N/A,FALSE,"SUBSIDIARIAS"}</definedName>
    <definedName name="v_3" hidden="1">{#N/A,#N/A,FALSE,"SUBSIDIARIAS"}</definedName>
    <definedName name="v_4" hidden="1">{#N/A,#N/A,FALSE,"SUBSIDIARIAS"}</definedName>
    <definedName name="vv" hidden="1">{#N/A,#N/A,FALSE,"EDO. RES. CNB";#N/A,#N/A,FALSE,"TRIMESTRAL"}</definedName>
    <definedName name="vv_1" hidden="1">{#N/A,#N/A,FALSE,"EDO. RES. CNB";#N/A,#N/A,FALSE,"TRIMESTRAL"}</definedName>
    <definedName name="vv_1_1" hidden="1">{#N/A,#N/A,FALSE,"EDO. RES. CNB";#N/A,#N/A,FALSE,"TRIMESTRAL"}</definedName>
    <definedName name="vv_1_1_1" hidden="1">{#N/A,#N/A,FALSE,"EDO. RES. CNB";#N/A,#N/A,FALSE,"TRIMESTRAL"}</definedName>
    <definedName name="vv_1_1_2" hidden="1">{#N/A,#N/A,FALSE,"EDO. RES. CNB";#N/A,#N/A,FALSE,"TRIMESTRAL"}</definedName>
    <definedName name="vv_1_2" hidden="1">{#N/A,#N/A,FALSE,"EDO. RES. CNB";#N/A,#N/A,FALSE,"TRIMESTRAL"}</definedName>
    <definedName name="vv_1_3" hidden="1">{#N/A,#N/A,FALSE,"EDO. RES. CNB";#N/A,#N/A,FALSE,"TRIMESTRAL"}</definedName>
    <definedName name="vv_2" hidden="1">{#N/A,#N/A,FALSE,"EDO. RES. CNB";#N/A,#N/A,FALSE,"TRIMESTRAL"}</definedName>
    <definedName name="vv_2_1" hidden="1">{#N/A,#N/A,FALSE,"EDO. RES. CNB";#N/A,#N/A,FALSE,"TRIMESTRAL"}</definedName>
    <definedName name="vv_2_2" hidden="1">{#N/A,#N/A,FALSE,"EDO. RES. CNB";#N/A,#N/A,FALSE,"TRIMESTRAL"}</definedName>
    <definedName name="vv_3" hidden="1">{#N/A,#N/A,FALSE,"EDO. RES. CNB";#N/A,#N/A,FALSE,"TRIMESTRAL"}</definedName>
    <definedName name="vv_4" hidden="1">{#N/A,#N/A,FALSE,"EDO. RES. CNB";#N/A,#N/A,FALSE,"TRIMESTRAL"}</definedName>
    <definedName name="w" hidden="1">{#N/A,#N/A,FALSE,"EDO. DE RESULTADOS";#N/A,#N/A,FALSE,"CAMBIOS";#N/A,#N/A,FALSE,"COM - VTA";#N/A,#N/A,FALSE,"DIVIDENDOS";#N/A,#N/A,FALSE,"OTROS ING. DE OP.";#N/A,#N/A,FALSE,"GASTOS DE PERSONAL";#N/A,#N/A,FALSE,"RENTAS";#N/A,#N/A,FALSE,"OTROS GASTOS";#N/A,#N/A,FALSE,"DEP. Y AMO.";#N/A,#N/A,FALSE,"OTROS PROD."}</definedName>
    <definedName name="w_1" hidden="1">{#N/A,#N/A,FALSE,"EDO. DE RESULTADOS";#N/A,#N/A,FALSE,"CAMBIOS";#N/A,#N/A,FALSE,"COM - VTA";#N/A,#N/A,FALSE,"DIVIDENDOS";#N/A,#N/A,FALSE,"OTROS ING. DE OP.";#N/A,#N/A,FALSE,"GASTOS DE PERSONAL";#N/A,#N/A,FALSE,"RENTAS";#N/A,#N/A,FALSE,"OTROS GASTOS";#N/A,#N/A,FALSE,"DEP. Y AMO.";#N/A,#N/A,FALSE,"OTROS PROD."}</definedName>
    <definedName name="w_1_1" hidden="1">{#N/A,#N/A,FALSE,"EDO. DE RESULTADOS";#N/A,#N/A,FALSE,"CAMBIOS";#N/A,#N/A,FALSE,"COM - VTA";#N/A,#N/A,FALSE,"DIVIDENDOS";#N/A,#N/A,FALSE,"OTROS ING. DE OP.";#N/A,#N/A,FALSE,"GASTOS DE PERSONAL";#N/A,#N/A,FALSE,"RENTAS";#N/A,#N/A,FALSE,"OTROS GASTOS";#N/A,#N/A,FALSE,"DEP. Y AMO.";#N/A,#N/A,FALSE,"OTROS PROD."}</definedName>
    <definedName name="w_1_1_1" hidden="1">{#N/A,#N/A,FALSE,"EDO. DE RESULTADOS";#N/A,#N/A,FALSE,"CAMBIOS";#N/A,#N/A,FALSE,"COM - VTA";#N/A,#N/A,FALSE,"DIVIDENDOS";#N/A,#N/A,FALSE,"OTROS ING. DE OP.";#N/A,#N/A,FALSE,"GASTOS DE PERSONAL";#N/A,#N/A,FALSE,"RENTAS";#N/A,#N/A,FALSE,"OTROS GASTOS";#N/A,#N/A,FALSE,"DEP. Y AMO.";#N/A,#N/A,FALSE,"OTROS PROD."}</definedName>
    <definedName name="w_1_1_2" hidden="1">{#N/A,#N/A,FALSE,"EDO. DE RESULTADOS";#N/A,#N/A,FALSE,"CAMBIOS";#N/A,#N/A,FALSE,"COM - VTA";#N/A,#N/A,FALSE,"DIVIDENDOS";#N/A,#N/A,FALSE,"OTROS ING. DE OP.";#N/A,#N/A,FALSE,"GASTOS DE PERSONAL";#N/A,#N/A,FALSE,"RENTAS";#N/A,#N/A,FALSE,"OTROS GASTOS";#N/A,#N/A,FALSE,"DEP. Y AMO.";#N/A,#N/A,FALSE,"OTROS PROD."}</definedName>
    <definedName name="w_1_2" hidden="1">{#N/A,#N/A,FALSE,"EDO. DE RESULTADOS";#N/A,#N/A,FALSE,"CAMBIOS";#N/A,#N/A,FALSE,"COM - VTA";#N/A,#N/A,FALSE,"DIVIDENDOS";#N/A,#N/A,FALSE,"OTROS ING. DE OP.";#N/A,#N/A,FALSE,"GASTOS DE PERSONAL";#N/A,#N/A,FALSE,"RENTAS";#N/A,#N/A,FALSE,"OTROS GASTOS";#N/A,#N/A,FALSE,"DEP. Y AMO.";#N/A,#N/A,FALSE,"OTROS PROD."}</definedName>
    <definedName name="w_1_3" hidden="1">{#N/A,#N/A,FALSE,"EDO. DE RESULTADOS";#N/A,#N/A,FALSE,"CAMBIOS";#N/A,#N/A,FALSE,"COM - VTA";#N/A,#N/A,FALSE,"DIVIDENDOS";#N/A,#N/A,FALSE,"OTROS ING. DE OP.";#N/A,#N/A,FALSE,"GASTOS DE PERSONAL";#N/A,#N/A,FALSE,"RENTAS";#N/A,#N/A,FALSE,"OTROS GASTOS";#N/A,#N/A,FALSE,"DEP. Y AMO.";#N/A,#N/A,FALSE,"OTROS PROD."}</definedName>
    <definedName name="w_2" hidden="1">{#N/A,#N/A,FALSE,"EDO. DE RESULTADOS";#N/A,#N/A,FALSE,"CAMBIOS";#N/A,#N/A,FALSE,"COM - VTA";#N/A,#N/A,FALSE,"DIVIDENDOS";#N/A,#N/A,FALSE,"OTROS ING. DE OP.";#N/A,#N/A,FALSE,"GASTOS DE PERSONAL";#N/A,#N/A,FALSE,"RENTAS";#N/A,#N/A,FALSE,"OTROS GASTOS";#N/A,#N/A,FALSE,"DEP. Y AMO.";#N/A,#N/A,FALSE,"OTROS PROD."}</definedName>
    <definedName name="w_2_1" hidden="1">{#N/A,#N/A,FALSE,"EDO. DE RESULTADOS";#N/A,#N/A,FALSE,"CAMBIOS";#N/A,#N/A,FALSE,"COM - VTA";#N/A,#N/A,FALSE,"DIVIDENDOS";#N/A,#N/A,FALSE,"OTROS ING. DE OP.";#N/A,#N/A,FALSE,"GASTOS DE PERSONAL";#N/A,#N/A,FALSE,"RENTAS";#N/A,#N/A,FALSE,"OTROS GASTOS";#N/A,#N/A,FALSE,"DEP. Y AMO.";#N/A,#N/A,FALSE,"OTROS PROD."}</definedName>
    <definedName name="w_2_2" hidden="1">{#N/A,#N/A,FALSE,"EDO. DE RESULTADOS";#N/A,#N/A,FALSE,"CAMBIOS";#N/A,#N/A,FALSE,"COM - VTA";#N/A,#N/A,FALSE,"DIVIDENDOS";#N/A,#N/A,FALSE,"OTROS ING. DE OP.";#N/A,#N/A,FALSE,"GASTOS DE PERSONAL";#N/A,#N/A,FALSE,"RENTAS";#N/A,#N/A,FALSE,"OTROS GASTOS";#N/A,#N/A,FALSE,"DEP. Y AMO.";#N/A,#N/A,FALSE,"OTROS PROD."}</definedName>
    <definedName name="w_3" hidden="1">{#N/A,#N/A,FALSE,"EDO. DE RESULTADOS";#N/A,#N/A,FALSE,"CAMBIOS";#N/A,#N/A,FALSE,"COM - VTA";#N/A,#N/A,FALSE,"DIVIDENDOS";#N/A,#N/A,FALSE,"OTROS ING. DE OP.";#N/A,#N/A,FALSE,"GASTOS DE PERSONAL";#N/A,#N/A,FALSE,"RENTAS";#N/A,#N/A,FALSE,"OTROS GASTOS";#N/A,#N/A,FALSE,"DEP. Y AMO.";#N/A,#N/A,FALSE,"OTROS PROD."}</definedName>
    <definedName name="w_4" hidden="1">{#N/A,#N/A,FALSE,"EDO. DE RESULTADOS";#N/A,#N/A,FALSE,"CAMBIOS";#N/A,#N/A,FALSE,"COM - VTA";#N/A,#N/A,FALSE,"DIVIDENDOS";#N/A,#N/A,FALSE,"OTROS ING. DE OP.";#N/A,#N/A,FALSE,"GASTOS DE PERSONAL";#N/A,#N/A,FALSE,"RENTAS";#N/A,#N/A,FALSE,"OTROS GASTOS";#N/A,#N/A,FALSE,"DEP. Y AMO.";#N/A,#N/A,FALSE,"OTROS PROD."}</definedName>
    <definedName name="wrn.actbill." localSheetId="21" hidden="1">{"actbill",#N/A,FALSE,"ACTUAL BILL"}</definedName>
    <definedName name="wrn.actbill." localSheetId="20" hidden="1">{"actbill",#N/A,FALSE,"ACTUAL BILL"}</definedName>
    <definedName name="wrn.actbill." localSheetId="15" hidden="1">{"actbill",#N/A,FALSE,"ACTUAL BILL"}</definedName>
    <definedName name="wrn.actbill." localSheetId="1" hidden="1">{"actbill",#N/A,FALSE,"ACTUAL BILL"}</definedName>
    <definedName name="wrn.actbill." localSheetId="22" hidden="1">{"actbill",#N/A,FALSE,"ACTUAL BILL"}</definedName>
    <definedName name="wrn.actbill." localSheetId="17" hidden="1">{"actbill",#N/A,FALSE,"ACTUAL BILL"}</definedName>
    <definedName name="wrn.actbill." localSheetId="23" hidden="1">{"actbill",#N/A,FALSE,"ACTUAL BILL"}</definedName>
    <definedName name="wrn.actbill." localSheetId="16" hidden="1">{"actbill",#N/A,FALSE,"ACTUAL BILL"}</definedName>
    <definedName name="wrn.actbill." hidden="1">{"actbill",#N/A,FALSE,"ACTUAL BILL"}</definedName>
    <definedName name="wrn.actbill._1" hidden="1">{"actbill",#N/A,FALSE,"ACTUAL BILL"}</definedName>
    <definedName name="wrn.actbill._1_1" hidden="1">{"actbill",#N/A,FALSE,"ACTUAL BILL"}</definedName>
    <definedName name="wrn.actbill._1_1_1" hidden="1">{"actbill",#N/A,FALSE,"ACTUAL BILL"}</definedName>
    <definedName name="wrn.actbill._1_1_2" hidden="1">{"actbill",#N/A,FALSE,"ACTUAL BILL"}</definedName>
    <definedName name="wrn.actbill._1_2" hidden="1">{"actbill",#N/A,FALSE,"ACTUAL BILL"}</definedName>
    <definedName name="wrn.actbill._1_3" hidden="1">{"actbill",#N/A,FALSE,"ACTUAL BILL"}</definedName>
    <definedName name="wrn.actbill._2" hidden="1">{"actbill",#N/A,FALSE,"ACTUAL BILL"}</definedName>
    <definedName name="wrn.actbill._2_1" hidden="1">{"actbill",#N/A,FALSE,"ACTUAL BILL"}</definedName>
    <definedName name="wrn.actbill._2_2" hidden="1">{"actbill",#N/A,FALSE,"ACTUAL BILL"}</definedName>
    <definedName name="wrn.actbill._3" hidden="1">{"actbill",#N/A,FALSE,"ACTUAL BILL"}</definedName>
    <definedName name="wrn.actbill._4" hidden="1">{"actbill",#N/A,FALSE,"ACTUAL BILL"}</definedName>
    <definedName name="wrn.ACTIVO."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CTIVO._1"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CTIVO._1_1"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CTIVO._1_1_1"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CTIVO._1_1_2"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CTIVO._1_2"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CTIVO._1_3"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CTIVO._2"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CTIVO._2_1"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CTIVO._2_2"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CTIVO._3"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CTIVO._4" hidden="1">{#N/A,#N/A,FALSE,"CAJA Y BANCOS";#N/A,#N/A,FALSE,"RENTA FIJA";#N/A,#N/A,FALSE,"PRESTAMOS DLLS.";#N/A,#N/A,FALSE,"ARREN. FINAN.";#N/A,#N/A,FALSE,"CONSUMO";#N/A,#N/A,FALSE,"T.D.C.";#N/A,#N/A,FALSE,"HIPOTECARIOS";#N/A,#N/A,FALSE,"OTROS PRESTAMOS";#N/A,#N/A,FALSE,"INMOB. Y ACTIVO FIJO";#N/A,#N/A,FALSE,"REPORTOS ";#N/A,#N/A,FALSE,"ACCIONES";#N/A,#N/A,FALSE,"FIDEIC Y CART. VAL.";#N/A,#N/A,FALSE,"ADJUDICADOS";#N/A,#N/A,FALSE,"PAGOS ANT. Y OTROS";#N/A,#N/A,FALSE,"CARGOS DIFERIDOS";#N/A,#N/A,FALSE,"DEUDORES DIVERSOS"}</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1_1" hidden="1">{#N/A,#N/A,FALSE,"Aging Summary";#N/A,#N/A,FALSE,"Ratio Analysis";#N/A,#N/A,FALSE,"Test 120 Day Accts";#N/A,#N/A,FALSE,"Tickmarks"}</definedName>
    <definedName name="wrn.Aging._.and._.Trend._.Analysis._1_1_1" hidden="1">{#N/A,#N/A,FALSE,"Aging Summary";#N/A,#N/A,FALSE,"Ratio Analysis";#N/A,#N/A,FALSE,"Test 120 Day Accts";#N/A,#N/A,FALSE,"Tickmarks"}</definedName>
    <definedName name="wrn.Aging._.and._.Trend._.Analysis._1_1_2" hidden="1">{#N/A,#N/A,FALSE,"Aging Summary";#N/A,#N/A,FALSE,"Ratio Analysis";#N/A,#N/A,FALSE,"Test 120 Day Accts";#N/A,#N/A,FALSE,"Tickmarks"}</definedName>
    <definedName name="wrn.Aging._.and._.Trend._.Analysis._1_2" hidden="1">{#N/A,#N/A,FALSE,"Aging Summary";#N/A,#N/A,FALSE,"Ratio Analysis";#N/A,#N/A,FALSE,"Test 120 Day Accts";#N/A,#N/A,FALSE,"Tickmarks"}</definedName>
    <definedName name="wrn.Aging._.and._.Trend._.Analysis._1_3"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2_1" hidden="1">{#N/A,#N/A,FALSE,"Aging Summary";#N/A,#N/A,FALSE,"Ratio Analysis";#N/A,#N/A,FALSE,"Test 120 Day Accts";#N/A,#N/A,FALSE,"Tickmarks"}</definedName>
    <definedName name="wrn.Aging._.and._.Trend._.Analysis._2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BALANCE." hidden="1">{#N/A,#N/A,FALSE,"BAN3Q96"}</definedName>
    <definedName name="wrn.BALANCE._1" hidden="1">{#N/A,#N/A,FALSE,"BAN3Q96"}</definedName>
    <definedName name="wrn.BALANCE._1_1" hidden="1">{#N/A,#N/A,FALSE,"BAN3Q96"}</definedName>
    <definedName name="wrn.BALANCE._1_1_1" hidden="1">{#N/A,#N/A,FALSE,"BAN3Q96"}</definedName>
    <definedName name="wrn.BALANCE._1_1_2" hidden="1">{#N/A,#N/A,FALSE,"BAN3Q96"}</definedName>
    <definedName name="wrn.BALANCE._1_2" hidden="1">{#N/A,#N/A,FALSE,"BAN3Q96"}</definedName>
    <definedName name="wrn.BALANCE._1_3" hidden="1">{#N/A,#N/A,FALSE,"BAN3Q96"}</definedName>
    <definedName name="wrn.BALANCE._2" hidden="1">{#N/A,#N/A,FALSE,"BAN3Q96"}</definedName>
    <definedName name="wrn.BALANCE._2_1" hidden="1">{#N/A,#N/A,FALSE,"BAN3Q96"}</definedName>
    <definedName name="wrn.BALANCE._2_2" hidden="1">{#N/A,#N/A,FALSE,"BAN3Q96"}</definedName>
    <definedName name="wrn.BALANCE._3" hidden="1">{#N/A,#N/A,FALSE,"BAN3Q96"}</definedName>
    <definedName name="wrn.BALANCE._4" hidden="1">{#N/A,#N/A,FALSE,"BAN3Q96"}</definedName>
    <definedName name="wrn.CAPITAL." hidden="1">{#N/A,#N/A,FALSE,"RES. CAPITAL";#N/A,#N/A,FALSE,"SUPERAVIT"}</definedName>
    <definedName name="wrn.CAPITAL._1" hidden="1">{#N/A,#N/A,FALSE,"RES. CAPITAL";#N/A,#N/A,FALSE,"SUPERAVIT"}</definedName>
    <definedName name="wrn.CAPITAL._1_1" hidden="1">{#N/A,#N/A,FALSE,"RES. CAPITAL";#N/A,#N/A,FALSE,"SUPERAVIT"}</definedName>
    <definedName name="wrn.CAPITAL._1_1_1" hidden="1">{#N/A,#N/A,FALSE,"RES. CAPITAL";#N/A,#N/A,FALSE,"SUPERAVIT"}</definedName>
    <definedName name="wrn.CAPITAL._1_1_2" hidden="1">{#N/A,#N/A,FALSE,"RES. CAPITAL";#N/A,#N/A,FALSE,"SUPERAVIT"}</definedName>
    <definedName name="wrn.CAPITAL._1_2" hidden="1">{#N/A,#N/A,FALSE,"RES. CAPITAL";#N/A,#N/A,FALSE,"SUPERAVIT"}</definedName>
    <definedName name="wrn.CAPITAL._1_3" hidden="1">{#N/A,#N/A,FALSE,"RES. CAPITAL";#N/A,#N/A,FALSE,"SUPERAVIT"}</definedName>
    <definedName name="wrn.CAPITAL._2" hidden="1">{#N/A,#N/A,FALSE,"RES. CAPITAL";#N/A,#N/A,FALSE,"SUPERAVIT"}</definedName>
    <definedName name="wrn.CAPITAL._2_1" hidden="1">{#N/A,#N/A,FALSE,"RES. CAPITAL";#N/A,#N/A,FALSE,"SUPERAVIT"}</definedName>
    <definedName name="wrn.CAPITAL._2_2" hidden="1">{#N/A,#N/A,FALSE,"RES. CAPITAL";#N/A,#N/A,FALSE,"SUPERAVIT"}</definedName>
    <definedName name="wrn.CAPITAL._3" hidden="1">{#N/A,#N/A,FALSE,"RES. CAPITAL";#N/A,#N/A,FALSE,"SUPERAVIT"}</definedName>
    <definedName name="wrn.CAPITAL._4" hidden="1">{#N/A,#N/A,FALSE,"RES. CAPITAL";#N/A,#N/A,FALSE,"SUPERAVIT"}</definedName>
    <definedName name="wrn.EDOMASAPOYOS." hidden="1">{#N/A,#N/A,FALSE,"EDO. DE RESULTADOS";#N/A,#N/A,FALSE,"CAMBIOS";#N/A,#N/A,FALSE,"COM - VTA";#N/A,#N/A,FALSE,"DIVIDENDOS";#N/A,#N/A,FALSE,"OTROS ING. DE OP.";#N/A,#N/A,FALSE,"GASTOS DE PERSONAL";#N/A,#N/A,FALSE,"RENTAS";#N/A,#N/A,FALSE,"OTROS GASTOS";#N/A,#N/A,FALSE,"DEP. Y AMO.";#N/A,#N/A,FALSE,"OTROS PROD."}</definedName>
    <definedName name="wrn.EDOMASAPOYOS._1" hidden="1">{#N/A,#N/A,FALSE,"EDO. DE RESULTADOS";#N/A,#N/A,FALSE,"CAMBIOS";#N/A,#N/A,FALSE,"COM - VTA";#N/A,#N/A,FALSE,"DIVIDENDOS";#N/A,#N/A,FALSE,"OTROS ING. DE OP.";#N/A,#N/A,FALSE,"GASTOS DE PERSONAL";#N/A,#N/A,FALSE,"RENTAS";#N/A,#N/A,FALSE,"OTROS GASTOS";#N/A,#N/A,FALSE,"DEP. Y AMO.";#N/A,#N/A,FALSE,"OTROS PROD."}</definedName>
    <definedName name="wrn.EDOMASAPOYOS._1_1" hidden="1">{#N/A,#N/A,FALSE,"EDO. DE RESULTADOS";#N/A,#N/A,FALSE,"CAMBIOS";#N/A,#N/A,FALSE,"COM - VTA";#N/A,#N/A,FALSE,"DIVIDENDOS";#N/A,#N/A,FALSE,"OTROS ING. DE OP.";#N/A,#N/A,FALSE,"GASTOS DE PERSONAL";#N/A,#N/A,FALSE,"RENTAS";#N/A,#N/A,FALSE,"OTROS GASTOS";#N/A,#N/A,FALSE,"DEP. Y AMO.";#N/A,#N/A,FALSE,"OTROS PROD."}</definedName>
    <definedName name="wrn.EDOMASAPOYOS._1_1_1" hidden="1">{#N/A,#N/A,FALSE,"EDO. DE RESULTADOS";#N/A,#N/A,FALSE,"CAMBIOS";#N/A,#N/A,FALSE,"COM - VTA";#N/A,#N/A,FALSE,"DIVIDENDOS";#N/A,#N/A,FALSE,"OTROS ING. DE OP.";#N/A,#N/A,FALSE,"GASTOS DE PERSONAL";#N/A,#N/A,FALSE,"RENTAS";#N/A,#N/A,FALSE,"OTROS GASTOS";#N/A,#N/A,FALSE,"DEP. Y AMO.";#N/A,#N/A,FALSE,"OTROS PROD."}</definedName>
    <definedName name="wrn.EDOMASAPOYOS._1_1_2" hidden="1">{#N/A,#N/A,FALSE,"EDO. DE RESULTADOS";#N/A,#N/A,FALSE,"CAMBIOS";#N/A,#N/A,FALSE,"COM - VTA";#N/A,#N/A,FALSE,"DIVIDENDOS";#N/A,#N/A,FALSE,"OTROS ING. DE OP.";#N/A,#N/A,FALSE,"GASTOS DE PERSONAL";#N/A,#N/A,FALSE,"RENTAS";#N/A,#N/A,FALSE,"OTROS GASTOS";#N/A,#N/A,FALSE,"DEP. Y AMO.";#N/A,#N/A,FALSE,"OTROS PROD."}</definedName>
    <definedName name="wrn.EDOMASAPOYOS._1_2" hidden="1">{#N/A,#N/A,FALSE,"EDO. DE RESULTADOS";#N/A,#N/A,FALSE,"CAMBIOS";#N/A,#N/A,FALSE,"COM - VTA";#N/A,#N/A,FALSE,"DIVIDENDOS";#N/A,#N/A,FALSE,"OTROS ING. DE OP.";#N/A,#N/A,FALSE,"GASTOS DE PERSONAL";#N/A,#N/A,FALSE,"RENTAS";#N/A,#N/A,FALSE,"OTROS GASTOS";#N/A,#N/A,FALSE,"DEP. Y AMO.";#N/A,#N/A,FALSE,"OTROS PROD."}</definedName>
    <definedName name="wrn.EDOMASAPOYOS._1_3" hidden="1">{#N/A,#N/A,FALSE,"EDO. DE RESULTADOS";#N/A,#N/A,FALSE,"CAMBIOS";#N/A,#N/A,FALSE,"COM - VTA";#N/A,#N/A,FALSE,"DIVIDENDOS";#N/A,#N/A,FALSE,"OTROS ING. DE OP.";#N/A,#N/A,FALSE,"GASTOS DE PERSONAL";#N/A,#N/A,FALSE,"RENTAS";#N/A,#N/A,FALSE,"OTROS GASTOS";#N/A,#N/A,FALSE,"DEP. Y AMO.";#N/A,#N/A,FALSE,"OTROS PROD."}</definedName>
    <definedName name="wrn.EDOMASAPOYOS._2" hidden="1">{#N/A,#N/A,FALSE,"EDO. DE RESULTADOS";#N/A,#N/A,FALSE,"CAMBIOS";#N/A,#N/A,FALSE,"COM - VTA";#N/A,#N/A,FALSE,"DIVIDENDOS";#N/A,#N/A,FALSE,"OTROS ING. DE OP.";#N/A,#N/A,FALSE,"GASTOS DE PERSONAL";#N/A,#N/A,FALSE,"RENTAS";#N/A,#N/A,FALSE,"OTROS GASTOS";#N/A,#N/A,FALSE,"DEP. Y AMO.";#N/A,#N/A,FALSE,"OTROS PROD."}</definedName>
    <definedName name="wrn.EDOMASAPOYOS._2_1" hidden="1">{#N/A,#N/A,FALSE,"EDO. DE RESULTADOS";#N/A,#N/A,FALSE,"CAMBIOS";#N/A,#N/A,FALSE,"COM - VTA";#N/A,#N/A,FALSE,"DIVIDENDOS";#N/A,#N/A,FALSE,"OTROS ING. DE OP.";#N/A,#N/A,FALSE,"GASTOS DE PERSONAL";#N/A,#N/A,FALSE,"RENTAS";#N/A,#N/A,FALSE,"OTROS GASTOS";#N/A,#N/A,FALSE,"DEP. Y AMO.";#N/A,#N/A,FALSE,"OTROS PROD."}</definedName>
    <definedName name="wrn.EDOMASAPOYOS._2_2" hidden="1">{#N/A,#N/A,FALSE,"EDO. DE RESULTADOS";#N/A,#N/A,FALSE,"CAMBIOS";#N/A,#N/A,FALSE,"COM - VTA";#N/A,#N/A,FALSE,"DIVIDENDOS";#N/A,#N/A,FALSE,"OTROS ING. DE OP.";#N/A,#N/A,FALSE,"GASTOS DE PERSONAL";#N/A,#N/A,FALSE,"RENTAS";#N/A,#N/A,FALSE,"OTROS GASTOS";#N/A,#N/A,FALSE,"DEP. Y AMO.";#N/A,#N/A,FALSE,"OTROS PROD."}</definedName>
    <definedName name="wrn.EDOMASAPOYOS._3" hidden="1">{#N/A,#N/A,FALSE,"EDO. DE RESULTADOS";#N/A,#N/A,FALSE,"CAMBIOS";#N/A,#N/A,FALSE,"COM - VTA";#N/A,#N/A,FALSE,"DIVIDENDOS";#N/A,#N/A,FALSE,"OTROS ING. DE OP.";#N/A,#N/A,FALSE,"GASTOS DE PERSONAL";#N/A,#N/A,FALSE,"RENTAS";#N/A,#N/A,FALSE,"OTROS GASTOS";#N/A,#N/A,FALSE,"DEP. Y AMO.";#N/A,#N/A,FALSE,"OTROS PROD."}</definedName>
    <definedName name="wrn.EDOMASAPOYOS._4" hidden="1">{#N/A,#N/A,FALSE,"EDO. DE RESULTADOS";#N/A,#N/A,FALSE,"CAMBIOS";#N/A,#N/A,FALSE,"COM - VTA";#N/A,#N/A,FALSE,"DIVIDENDOS";#N/A,#N/A,FALSE,"OTROS ING. DE OP.";#N/A,#N/A,FALSE,"GASTOS DE PERSONAL";#N/A,#N/A,FALSE,"RENTAS";#N/A,#N/A,FALSE,"OTROS GASTOS";#N/A,#N/A,FALSE,"DEP. Y AMO.";#N/A,#N/A,FALSE,"OTROS PROD."}</definedName>
    <definedName name="wrn.EXTRAORDINARIOS." hidden="1">{#N/A,#N/A,FALSE,"ING. EXT."}</definedName>
    <definedName name="wrn.EXTRAORDINARIOS._1" hidden="1">{#N/A,#N/A,FALSE,"ING. EXT."}</definedName>
    <definedName name="wrn.EXTRAORDINARIOS._1_1" hidden="1">{#N/A,#N/A,FALSE,"ING. EXT."}</definedName>
    <definedName name="wrn.EXTRAORDINARIOS._1_1_1" hidden="1">{#N/A,#N/A,FALSE,"ING. EXT."}</definedName>
    <definedName name="wrn.EXTRAORDINARIOS._1_1_2" hidden="1">{#N/A,#N/A,FALSE,"ING. EXT."}</definedName>
    <definedName name="wrn.EXTRAORDINARIOS._1_2" hidden="1">{#N/A,#N/A,FALSE,"ING. EXT."}</definedName>
    <definedName name="wrn.EXTRAORDINARIOS._1_3" hidden="1">{#N/A,#N/A,FALSE,"ING. EXT."}</definedName>
    <definedName name="wrn.EXTRAORDINARIOS._2" hidden="1">{#N/A,#N/A,FALSE,"ING. EXT."}</definedName>
    <definedName name="wrn.EXTRAORDINARIOS._2_1" hidden="1">{#N/A,#N/A,FALSE,"ING. EXT."}</definedName>
    <definedName name="wrn.EXTRAORDINARIOS._2_2" hidden="1">{#N/A,#N/A,FALSE,"ING. EXT."}</definedName>
    <definedName name="wrn.EXTRAORDINARIOS._3" hidden="1">{#N/A,#N/A,FALSE,"ING. EXT."}</definedName>
    <definedName name="wrn.EXTRAORDINARIOS._4" hidden="1">{#N/A,#N/A,FALSE,"ING. EXT."}</definedName>
    <definedName name="wrn.INTERNA._.CNB._.Y._.CONTABLE." hidden="1">{#N/A,#N/A,FALSE,"EDO. RES. INT";#N/A,#N/A,FALSE,"EDO. RES. CNB";#N/A,#N/A,FALSE,"EDO. RES. CONT."}</definedName>
    <definedName name="wrn.INTERNA._.CNB._.Y._.CONTABLE._1" hidden="1">{#N/A,#N/A,FALSE,"EDO. RES. INT";#N/A,#N/A,FALSE,"EDO. RES. CNB";#N/A,#N/A,FALSE,"EDO. RES. CONT."}</definedName>
    <definedName name="wrn.INTERNA._.CNB._.Y._.CONTABLE._1_1" hidden="1">{#N/A,#N/A,FALSE,"EDO. RES. INT";#N/A,#N/A,FALSE,"EDO. RES. CNB";#N/A,#N/A,FALSE,"EDO. RES. CONT."}</definedName>
    <definedName name="wrn.INTERNA._.CNB._.Y._.CONTABLE._1_1_1" hidden="1">{#N/A,#N/A,FALSE,"EDO. RES. INT";#N/A,#N/A,FALSE,"EDO. RES. CNB";#N/A,#N/A,FALSE,"EDO. RES. CONT."}</definedName>
    <definedName name="wrn.INTERNA._.CNB._.Y._.CONTABLE._1_1_2" hidden="1">{#N/A,#N/A,FALSE,"EDO. RES. INT";#N/A,#N/A,FALSE,"EDO. RES. CNB";#N/A,#N/A,FALSE,"EDO. RES. CONT."}</definedName>
    <definedName name="wrn.INTERNA._.CNB._.Y._.CONTABLE._1_2" hidden="1">{#N/A,#N/A,FALSE,"EDO. RES. INT";#N/A,#N/A,FALSE,"EDO. RES. CNB";#N/A,#N/A,FALSE,"EDO. RES. CONT."}</definedName>
    <definedName name="wrn.INTERNA._.CNB._.Y._.CONTABLE._1_3" hidden="1">{#N/A,#N/A,FALSE,"EDO. RES. INT";#N/A,#N/A,FALSE,"EDO. RES. CNB";#N/A,#N/A,FALSE,"EDO. RES. CONT."}</definedName>
    <definedName name="wrn.INTERNA._.CNB._.Y._.CONTABLE._2" hidden="1">{#N/A,#N/A,FALSE,"EDO. RES. INT";#N/A,#N/A,FALSE,"EDO. RES. CNB";#N/A,#N/A,FALSE,"EDO. RES. CONT."}</definedName>
    <definedName name="wrn.INTERNA._.CNB._.Y._.CONTABLE._2_1" hidden="1">{#N/A,#N/A,FALSE,"EDO. RES. INT";#N/A,#N/A,FALSE,"EDO. RES. CNB";#N/A,#N/A,FALSE,"EDO. RES. CONT."}</definedName>
    <definedName name="wrn.INTERNA._.CNB._.Y._.CONTABLE._2_2" hidden="1">{#N/A,#N/A,FALSE,"EDO. RES. INT";#N/A,#N/A,FALSE,"EDO. RES. CNB";#N/A,#N/A,FALSE,"EDO. RES. CONT."}</definedName>
    <definedName name="wrn.INTERNA._.CNB._.Y._.CONTABLE._3" hidden="1">{#N/A,#N/A,FALSE,"EDO. RES. INT";#N/A,#N/A,FALSE,"EDO. RES. CNB";#N/A,#N/A,FALSE,"EDO. RES. CONT."}</definedName>
    <definedName name="wrn.INTERNA._.CNB._.Y._.CONTABLE._4" hidden="1">{#N/A,#N/A,FALSE,"EDO. RES. INT";#N/A,#N/A,FALSE,"EDO. RES. CNB";#N/A,#N/A,FALSE,"EDO. RES. CONT."}</definedName>
    <definedName name="wrn.MENSUAL._.Y._.TRIMESTRAL." hidden="1">{#N/A,#N/A,FALSE,"EDO. RES. CNB";#N/A,#N/A,FALSE,"TRIMESTRAL"}</definedName>
    <definedName name="wrn.MENSUAL._.Y._.TRIMESTRAL._1" hidden="1">{#N/A,#N/A,FALSE,"EDO. RES. CNB";#N/A,#N/A,FALSE,"TRIMESTRAL"}</definedName>
    <definedName name="wrn.MENSUAL._.Y._.TRIMESTRAL._1_1" hidden="1">{#N/A,#N/A,FALSE,"EDO. RES. CNB";#N/A,#N/A,FALSE,"TRIMESTRAL"}</definedName>
    <definedName name="wrn.MENSUAL._.Y._.TRIMESTRAL._1_1_1" hidden="1">{#N/A,#N/A,FALSE,"EDO. RES. CNB";#N/A,#N/A,FALSE,"TRIMESTRAL"}</definedName>
    <definedName name="wrn.MENSUAL._.Y._.TRIMESTRAL._1_1_2" hidden="1">{#N/A,#N/A,FALSE,"EDO. RES. CNB";#N/A,#N/A,FALSE,"TRIMESTRAL"}</definedName>
    <definedName name="wrn.MENSUAL._.Y._.TRIMESTRAL._1_2" hidden="1">{#N/A,#N/A,FALSE,"EDO. RES. CNB";#N/A,#N/A,FALSE,"TRIMESTRAL"}</definedName>
    <definedName name="wrn.MENSUAL._.Y._.TRIMESTRAL._1_3" hidden="1">{#N/A,#N/A,FALSE,"EDO. RES. CNB";#N/A,#N/A,FALSE,"TRIMESTRAL"}</definedName>
    <definedName name="wrn.MENSUAL._.Y._.TRIMESTRAL._2" hidden="1">{#N/A,#N/A,FALSE,"EDO. RES. CNB";#N/A,#N/A,FALSE,"TRIMESTRAL"}</definedName>
    <definedName name="wrn.MENSUAL._.Y._.TRIMESTRAL._2_1" hidden="1">{#N/A,#N/A,FALSE,"EDO. RES. CNB";#N/A,#N/A,FALSE,"TRIMESTRAL"}</definedName>
    <definedName name="wrn.MENSUAL._.Y._.TRIMESTRAL._2_2" hidden="1">{#N/A,#N/A,FALSE,"EDO. RES. CNB";#N/A,#N/A,FALSE,"TRIMESTRAL"}</definedName>
    <definedName name="wrn.MENSUAL._.Y._.TRIMESTRAL._3" hidden="1">{#N/A,#N/A,FALSE,"EDO. RES. CNB";#N/A,#N/A,FALSE,"TRIMESTRAL"}</definedName>
    <definedName name="wrn.MENSUAL._.Y._.TRIMESTRAL._4" hidden="1">{#N/A,#N/A,FALSE,"EDO. RES. CNB";#N/A,#N/A,FALSE,"TRIMESTRAL"}</definedName>
    <definedName name="wrn.OBLIGACIONES." hidden="1">{#N/A,#N/A,FALSE,"OBLIG.S-CAPITAL"}</definedName>
    <definedName name="wrn.OBLIGACIONES._1" hidden="1">{#N/A,#N/A,FALSE,"OBLIG.S-CAPITAL"}</definedName>
    <definedName name="wrn.OBLIGACIONES._1_1" hidden="1">{#N/A,#N/A,FALSE,"OBLIG.S-CAPITAL"}</definedName>
    <definedName name="wrn.OBLIGACIONES._1_1_1" hidden="1">{#N/A,#N/A,FALSE,"OBLIG.S-CAPITAL"}</definedName>
    <definedName name="wrn.OBLIGACIONES._1_1_2" hidden="1">{#N/A,#N/A,FALSE,"OBLIG.S-CAPITAL"}</definedName>
    <definedName name="wrn.OBLIGACIONES._1_2" hidden="1">{#N/A,#N/A,FALSE,"OBLIG.S-CAPITAL"}</definedName>
    <definedName name="wrn.OBLIGACIONES._1_3" hidden="1">{#N/A,#N/A,FALSE,"OBLIG.S-CAPITAL"}</definedName>
    <definedName name="wrn.OBLIGACIONES._2" hidden="1">{#N/A,#N/A,FALSE,"OBLIG.S-CAPITAL"}</definedName>
    <definedName name="wrn.OBLIGACIONES._2_1" hidden="1">{#N/A,#N/A,FALSE,"OBLIG.S-CAPITAL"}</definedName>
    <definedName name="wrn.OBLIGACIONES._2_2" hidden="1">{#N/A,#N/A,FALSE,"OBLIG.S-CAPITAL"}</definedName>
    <definedName name="wrn.OBLIGACIONES._3" hidden="1">{#N/A,#N/A,FALSE,"OBLIG.S-CAPITAL"}</definedName>
    <definedName name="wrn.OBLIGACIONES._4" hidden="1">{#N/A,#N/A,FALSE,"OBLIG.S-CAPITAL"}</definedName>
    <definedName name="wrn.OLD." hidden="1">{"GAY",#N/A,FALSE,"ART";"GIL",#N/A,FALSE,"consolidado"}</definedName>
    <definedName name="wrn.OLD._1" hidden="1">{"GAY",#N/A,FALSE,"ART";"GIL",#N/A,FALSE,"consolidado"}</definedName>
    <definedName name="wrn.OLD._1_1" hidden="1">{"GAY",#N/A,FALSE,"ART";"GIL",#N/A,FALSE,"consolidado"}</definedName>
    <definedName name="wrn.OLD._1_1_1" hidden="1">{"GAY",#N/A,FALSE,"ART";"GIL",#N/A,FALSE,"consolidado"}</definedName>
    <definedName name="wrn.OLD._1_1_2" hidden="1">{"GAY",#N/A,FALSE,"ART";"GIL",#N/A,FALSE,"consolidado"}</definedName>
    <definedName name="wrn.OLD._1_2" hidden="1">{"GAY",#N/A,FALSE,"ART";"GIL",#N/A,FALSE,"consolidado"}</definedName>
    <definedName name="wrn.OLD._1_3" hidden="1">{"GAY",#N/A,FALSE,"ART";"GIL",#N/A,FALSE,"consolidado"}</definedName>
    <definedName name="wrn.OLD._2" hidden="1">{"GAY",#N/A,FALSE,"ART";"GIL",#N/A,FALSE,"consolidado"}</definedName>
    <definedName name="wrn.OLD._2_1" hidden="1">{"GAY",#N/A,FALSE,"ART";"GIL",#N/A,FALSE,"consolidado"}</definedName>
    <definedName name="wrn.OLD._2_2" hidden="1">{"GAY",#N/A,FALSE,"ART";"GIL",#N/A,FALSE,"consolidado"}</definedName>
    <definedName name="wrn.OLD._3" hidden="1">{"GAY",#N/A,FALSE,"ART";"GIL",#N/A,FALSE,"consolidado"}</definedName>
    <definedName name="wrn.OLD._4" hidden="1">{"GAY",#N/A,FALSE,"ART";"GIL",#N/A,FALSE,"consolidado"}</definedName>
    <definedName name="wrn.Package." localSheetId="2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 localSheetId="20"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 localSheetId="15"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 localSheetId="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 localSheetId="2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 localSheetId="17"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 localSheetId="23"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 localSheetId="16"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_1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_1_1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_1_1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_1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_1_3"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_2_1"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_2_2"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_3"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ckage._4" hidden="1">{"proc_tot_nums",#N/A,TRUE,"Act Numbers";"summary_proc",#N/A,TRUE,"Blank1";"PlanProc",#N/A,TRUE,"PlanProc";"process graphs",#N/A,TRUE,"graphs&amp;data";"proj_nums",#N/A,TRUE,"Act Numbers";"Internal_Proj",#N/A,TRUE,"Internal Proj.";#N/A,#N/A,TRUE,"Plan ProjProg";"project graphs",#N/A,TRUE,"graphs&amp;data";"mtm_proc",#N/A,TRUE,"MTM Proc";"MTM_proj",#N/A,TRUE,"MTM Proj"}</definedName>
    <definedName name="wrn.PASIVO." hidden="1">{#N/A,#N/A,FALSE,"DEP. VISTA CON INT.";#N/A,#N/A,FALSE,"CTA. MAESTRA";#N/A,#N/A,FALSE,"DEP. PLAZO MENUDEO";#N/A,#N/A,FALSE,"FONDOS";#N/A,#N/A,FALSE,"DEP. EN DLLS.";#N/A,#N/A,FALSE,"DEUDA EN DLLS";#N/A,#N/A,FALSE,"PREST. INT.";#N/A,#N/A,FALSE,"REPORTOS";#N/A,#N/A,FALSE,"OTROS DEP.";#N/A,#N/A,FALSE,"ACREEDORES DIVERSOS"}</definedName>
    <definedName name="wrn.PASIVO._1" hidden="1">{#N/A,#N/A,FALSE,"DEP. VISTA CON INT.";#N/A,#N/A,FALSE,"CTA. MAESTRA";#N/A,#N/A,FALSE,"DEP. PLAZO MENUDEO";#N/A,#N/A,FALSE,"FONDOS";#N/A,#N/A,FALSE,"DEP. EN DLLS.";#N/A,#N/A,FALSE,"DEUDA EN DLLS";#N/A,#N/A,FALSE,"PREST. INT.";#N/A,#N/A,FALSE,"REPORTOS";#N/A,#N/A,FALSE,"OTROS DEP.";#N/A,#N/A,FALSE,"ACREEDORES DIVERSOS"}</definedName>
    <definedName name="wrn.PASIVO._1_1" hidden="1">{#N/A,#N/A,FALSE,"DEP. VISTA CON INT.";#N/A,#N/A,FALSE,"CTA. MAESTRA";#N/A,#N/A,FALSE,"DEP. PLAZO MENUDEO";#N/A,#N/A,FALSE,"FONDOS";#N/A,#N/A,FALSE,"DEP. EN DLLS.";#N/A,#N/A,FALSE,"DEUDA EN DLLS";#N/A,#N/A,FALSE,"PREST. INT.";#N/A,#N/A,FALSE,"REPORTOS";#N/A,#N/A,FALSE,"OTROS DEP.";#N/A,#N/A,FALSE,"ACREEDORES DIVERSOS"}</definedName>
    <definedName name="wrn.PASIVO._1_1_1" hidden="1">{#N/A,#N/A,FALSE,"DEP. VISTA CON INT.";#N/A,#N/A,FALSE,"CTA. MAESTRA";#N/A,#N/A,FALSE,"DEP. PLAZO MENUDEO";#N/A,#N/A,FALSE,"FONDOS";#N/A,#N/A,FALSE,"DEP. EN DLLS.";#N/A,#N/A,FALSE,"DEUDA EN DLLS";#N/A,#N/A,FALSE,"PREST. INT.";#N/A,#N/A,FALSE,"REPORTOS";#N/A,#N/A,FALSE,"OTROS DEP.";#N/A,#N/A,FALSE,"ACREEDORES DIVERSOS"}</definedName>
    <definedName name="wrn.PASIVO._1_1_2" hidden="1">{#N/A,#N/A,FALSE,"DEP. VISTA CON INT.";#N/A,#N/A,FALSE,"CTA. MAESTRA";#N/A,#N/A,FALSE,"DEP. PLAZO MENUDEO";#N/A,#N/A,FALSE,"FONDOS";#N/A,#N/A,FALSE,"DEP. EN DLLS.";#N/A,#N/A,FALSE,"DEUDA EN DLLS";#N/A,#N/A,FALSE,"PREST. INT.";#N/A,#N/A,FALSE,"REPORTOS";#N/A,#N/A,FALSE,"OTROS DEP.";#N/A,#N/A,FALSE,"ACREEDORES DIVERSOS"}</definedName>
    <definedName name="wrn.PASIVO._1_2" hidden="1">{#N/A,#N/A,FALSE,"DEP. VISTA CON INT.";#N/A,#N/A,FALSE,"CTA. MAESTRA";#N/A,#N/A,FALSE,"DEP. PLAZO MENUDEO";#N/A,#N/A,FALSE,"FONDOS";#N/A,#N/A,FALSE,"DEP. EN DLLS.";#N/A,#N/A,FALSE,"DEUDA EN DLLS";#N/A,#N/A,FALSE,"PREST. INT.";#N/A,#N/A,FALSE,"REPORTOS";#N/A,#N/A,FALSE,"OTROS DEP.";#N/A,#N/A,FALSE,"ACREEDORES DIVERSOS"}</definedName>
    <definedName name="wrn.PASIVO._1_3" hidden="1">{#N/A,#N/A,FALSE,"DEP. VISTA CON INT.";#N/A,#N/A,FALSE,"CTA. MAESTRA";#N/A,#N/A,FALSE,"DEP. PLAZO MENUDEO";#N/A,#N/A,FALSE,"FONDOS";#N/A,#N/A,FALSE,"DEP. EN DLLS.";#N/A,#N/A,FALSE,"DEUDA EN DLLS";#N/A,#N/A,FALSE,"PREST. INT.";#N/A,#N/A,FALSE,"REPORTOS";#N/A,#N/A,FALSE,"OTROS DEP.";#N/A,#N/A,FALSE,"ACREEDORES DIVERSOS"}</definedName>
    <definedName name="wrn.PASIVO._2" hidden="1">{#N/A,#N/A,FALSE,"DEP. VISTA CON INT.";#N/A,#N/A,FALSE,"CTA. MAESTRA";#N/A,#N/A,FALSE,"DEP. PLAZO MENUDEO";#N/A,#N/A,FALSE,"FONDOS";#N/A,#N/A,FALSE,"DEP. EN DLLS.";#N/A,#N/A,FALSE,"DEUDA EN DLLS";#N/A,#N/A,FALSE,"PREST. INT.";#N/A,#N/A,FALSE,"REPORTOS";#N/A,#N/A,FALSE,"OTROS DEP.";#N/A,#N/A,FALSE,"ACREEDORES DIVERSOS"}</definedName>
    <definedName name="wrn.PASIVO._2_1" hidden="1">{#N/A,#N/A,FALSE,"DEP. VISTA CON INT.";#N/A,#N/A,FALSE,"CTA. MAESTRA";#N/A,#N/A,FALSE,"DEP. PLAZO MENUDEO";#N/A,#N/A,FALSE,"FONDOS";#N/A,#N/A,FALSE,"DEP. EN DLLS.";#N/A,#N/A,FALSE,"DEUDA EN DLLS";#N/A,#N/A,FALSE,"PREST. INT.";#N/A,#N/A,FALSE,"REPORTOS";#N/A,#N/A,FALSE,"OTROS DEP.";#N/A,#N/A,FALSE,"ACREEDORES DIVERSOS"}</definedName>
    <definedName name="wrn.PASIVO._2_2" hidden="1">{#N/A,#N/A,FALSE,"DEP. VISTA CON INT.";#N/A,#N/A,FALSE,"CTA. MAESTRA";#N/A,#N/A,FALSE,"DEP. PLAZO MENUDEO";#N/A,#N/A,FALSE,"FONDOS";#N/A,#N/A,FALSE,"DEP. EN DLLS.";#N/A,#N/A,FALSE,"DEUDA EN DLLS";#N/A,#N/A,FALSE,"PREST. INT.";#N/A,#N/A,FALSE,"REPORTOS";#N/A,#N/A,FALSE,"OTROS DEP.";#N/A,#N/A,FALSE,"ACREEDORES DIVERSOS"}</definedName>
    <definedName name="wrn.PASIVO._3" hidden="1">{#N/A,#N/A,FALSE,"DEP. VISTA CON INT.";#N/A,#N/A,FALSE,"CTA. MAESTRA";#N/A,#N/A,FALSE,"DEP. PLAZO MENUDEO";#N/A,#N/A,FALSE,"FONDOS";#N/A,#N/A,FALSE,"DEP. EN DLLS.";#N/A,#N/A,FALSE,"DEUDA EN DLLS";#N/A,#N/A,FALSE,"PREST. INT.";#N/A,#N/A,FALSE,"REPORTOS";#N/A,#N/A,FALSE,"OTROS DEP.";#N/A,#N/A,FALSE,"ACREEDORES DIVERSOS"}</definedName>
    <definedName name="wrn.PASIVO._4" hidden="1">{#N/A,#N/A,FALSE,"DEP. VISTA CON INT.";#N/A,#N/A,FALSE,"CTA. MAESTRA";#N/A,#N/A,FALSE,"DEP. PLAZO MENUDEO";#N/A,#N/A,FALSE,"FONDOS";#N/A,#N/A,FALSE,"DEP. EN DLLS.";#N/A,#N/A,FALSE,"DEUDA EN DLLS";#N/A,#N/A,FALSE,"PREST. INT.";#N/A,#N/A,FALSE,"REPORTOS";#N/A,#N/A,FALSE,"OTROS DEP.";#N/A,#N/A,FALSE,"ACREEDORES DIVERSOS"}</definedName>
    <definedName name="wrn.Process._.Graphs." localSheetId="21" hidden="1">{"process graphs",#N/A,FALSE,"graphs&amp;data"}</definedName>
    <definedName name="wrn.Process._.Graphs." localSheetId="20" hidden="1">{"process graphs",#N/A,FALSE,"graphs&amp;data"}</definedName>
    <definedName name="wrn.Process._.Graphs." localSheetId="15" hidden="1">{"process graphs",#N/A,FALSE,"graphs&amp;data"}</definedName>
    <definedName name="wrn.Process._.Graphs." localSheetId="1" hidden="1">{"process graphs",#N/A,FALSE,"graphs&amp;data"}</definedName>
    <definedName name="wrn.Process._.Graphs." localSheetId="22" hidden="1">{"process graphs",#N/A,FALSE,"graphs&amp;data"}</definedName>
    <definedName name="wrn.Process._.Graphs." localSheetId="17" hidden="1">{"process graphs",#N/A,FALSE,"graphs&amp;data"}</definedName>
    <definedName name="wrn.Process._.Graphs." localSheetId="23" hidden="1">{"process graphs",#N/A,FALSE,"graphs&amp;data"}</definedName>
    <definedName name="wrn.Process._.Graphs." localSheetId="16" hidden="1">{"process graphs",#N/A,FALSE,"graphs&amp;data"}</definedName>
    <definedName name="wrn.Process._.Graphs." hidden="1">{"process graphs",#N/A,FALSE,"graphs&amp;data"}</definedName>
    <definedName name="wrn.Process._.Graphs._1" hidden="1">{"process graphs",#N/A,FALSE,"graphs&amp;data"}</definedName>
    <definedName name="wrn.Process._.Graphs._1_1" hidden="1">{"process graphs",#N/A,FALSE,"graphs&amp;data"}</definedName>
    <definedName name="wrn.Process._.Graphs._1_1_1" hidden="1">{"process graphs",#N/A,FALSE,"graphs&amp;data"}</definedName>
    <definedName name="wrn.Process._.Graphs._1_1_2" hidden="1">{"process graphs",#N/A,FALSE,"graphs&amp;data"}</definedName>
    <definedName name="wrn.Process._.Graphs._1_2" hidden="1">{"process graphs",#N/A,FALSE,"graphs&amp;data"}</definedName>
    <definedName name="wrn.Process._.Graphs._1_3" hidden="1">{"process graphs",#N/A,FALSE,"graphs&amp;data"}</definedName>
    <definedName name="wrn.Process._.Graphs._2" hidden="1">{"process graphs",#N/A,FALSE,"graphs&amp;data"}</definedName>
    <definedName name="wrn.Process._.Graphs._2_1" hidden="1">{"process graphs",#N/A,FALSE,"graphs&amp;data"}</definedName>
    <definedName name="wrn.Process._.Graphs._2_2" hidden="1">{"process graphs",#N/A,FALSE,"graphs&amp;data"}</definedName>
    <definedName name="wrn.Process._.Graphs._3" hidden="1">{"process graphs",#N/A,FALSE,"graphs&amp;data"}</definedName>
    <definedName name="wrn.Process._.Graphs._4" hidden="1">{"process graphs",#N/A,FALSE,"graphs&amp;data"}</definedName>
    <definedName name="wrn.Project._.Graphs." localSheetId="21" hidden="1">{"project graphs",#N/A,FALSE,"graphs&amp;data"}</definedName>
    <definedName name="wrn.Project._.Graphs." localSheetId="20" hidden="1">{"project graphs",#N/A,FALSE,"graphs&amp;data"}</definedName>
    <definedName name="wrn.Project._.Graphs." localSheetId="15" hidden="1">{"project graphs",#N/A,FALSE,"graphs&amp;data"}</definedName>
    <definedName name="wrn.Project._.Graphs." localSheetId="1" hidden="1">{"project graphs",#N/A,FALSE,"graphs&amp;data"}</definedName>
    <definedName name="wrn.Project._.Graphs." localSheetId="22" hidden="1">{"project graphs",#N/A,FALSE,"graphs&amp;data"}</definedName>
    <definedName name="wrn.Project._.Graphs." localSheetId="17" hidden="1">{"project graphs",#N/A,FALSE,"graphs&amp;data"}</definedName>
    <definedName name="wrn.Project._.Graphs." localSheetId="23" hidden="1">{"project graphs",#N/A,FALSE,"graphs&amp;data"}</definedName>
    <definedName name="wrn.Project._.Graphs." localSheetId="16" hidden="1">{"project graphs",#N/A,FALSE,"graphs&amp;data"}</definedName>
    <definedName name="wrn.Project._.Graphs." hidden="1">{"project graphs",#N/A,FALSE,"graphs&amp;data"}</definedName>
    <definedName name="wrn.Project._.Graphs._1" hidden="1">{"project graphs",#N/A,FALSE,"graphs&amp;data"}</definedName>
    <definedName name="wrn.Project._.Graphs._1_1" hidden="1">{"project graphs",#N/A,FALSE,"graphs&amp;data"}</definedName>
    <definedName name="wrn.Project._.Graphs._1_1_1" hidden="1">{"project graphs",#N/A,FALSE,"graphs&amp;data"}</definedName>
    <definedName name="wrn.Project._.Graphs._1_1_2" hidden="1">{"project graphs",#N/A,FALSE,"graphs&amp;data"}</definedName>
    <definedName name="wrn.Project._.Graphs._1_2" hidden="1">{"project graphs",#N/A,FALSE,"graphs&amp;data"}</definedName>
    <definedName name="wrn.Project._.Graphs._1_3" hidden="1">{"project graphs",#N/A,FALSE,"graphs&amp;data"}</definedName>
    <definedName name="wrn.Project._.Graphs._2" hidden="1">{"project graphs",#N/A,FALSE,"graphs&amp;data"}</definedName>
    <definedName name="wrn.Project._.Graphs._2_1" hidden="1">{"project graphs",#N/A,FALSE,"graphs&amp;data"}</definedName>
    <definedName name="wrn.Project._.Graphs._2_2" hidden="1">{"project graphs",#N/A,FALSE,"graphs&amp;data"}</definedName>
    <definedName name="wrn.Project._.Graphs._3" hidden="1">{"project graphs",#N/A,FALSE,"graphs&amp;data"}</definedName>
    <definedName name="wrn.Project._.Graphs._4" hidden="1">{"project graphs",#N/A,FALSE,"graphs&amp;data"}</definedName>
    <definedName name="wrn.SUBSIDIARIAS." hidden="1">{#N/A,#N/A,FALSE,"SUBSIDIARIAS"}</definedName>
    <definedName name="wrn.SUBSIDIARIAS._1" hidden="1">{#N/A,#N/A,FALSE,"SUBSIDIARIAS"}</definedName>
    <definedName name="wrn.SUBSIDIARIAS._1_1" hidden="1">{#N/A,#N/A,FALSE,"SUBSIDIARIAS"}</definedName>
    <definedName name="wrn.SUBSIDIARIAS._1_1_1" hidden="1">{#N/A,#N/A,FALSE,"SUBSIDIARIAS"}</definedName>
    <definedName name="wrn.SUBSIDIARIAS._1_1_2" hidden="1">{#N/A,#N/A,FALSE,"SUBSIDIARIAS"}</definedName>
    <definedName name="wrn.SUBSIDIARIAS._1_2" hidden="1">{#N/A,#N/A,FALSE,"SUBSIDIARIAS"}</definedName>
    <definedName name="wrn.SUBSIDIARIAS._1_3" hidden="1">{#N/A,#N/A,FALSE,"SUBSIDIARIAS"}</definedName>
    <definedName name="wrn.SUBSIDIARIAS._2" hidden="1">{#N/A,#N/A,FALSE,"SUBSIDIARIAS"}</definedName>
    <definedName name="wrn.SUBSIDIARIAS._2_1" hidden="1">{#N/A,#N/A,FALSE,"SUBSIDIARIAS"}</definedName>
    <definedName name="wrn.SUBSIDIARIAS._2_2" hidden="1">{#N/A,#N/A,FALSE,"SUBSIDIARIAS"}</definedName>
    <definedName name="wrn.SUBSIDIARIAS._3" hidden="1">{#N/A,#N/A,FALSE,"SUBSIDIARIAS"}</definedName>
    <definedName name="wrn.SUBSIDIARIAS._4" hidden="1">{#N/A,#N/A,FALSE,"SUBSIDIARIAS"}</definedName>
    <definedName name="wrn.testprint." localSheetId="21" hidden="1">{"test",#N/A,FALSE,"VAR BILL"}</definedName>
    <definedName name="wrn.testprint." localSheetId="20" hidden="1">{"test",#N/A,FALSE,"VAR BILL"}</definedName>
    <definedName name="wrn.testprint." localSheetId="15" hidden="1">{"test",#N/A,FALSE,"VAR BILL"}</definedName>
    <definedName name="wrn.testprint." localSheetId="1" hidden="1">{"test",#N/A,FALSE,"VAR BILL"}</definedName>
    <definedName name="wrn.testprint." localSheetId="22" hidden="1">{"test",#N/A,FALSE,"VAR BILL"}</definedName>
    <definedName name="wrn.testprint." localSheetId="17" hidden="1">{"test",#N/A,FALSE,"VAR BILL"}</definedName>
    <definedName name="wrn.testprint." localSheetId="23" hidden="1">{"test",#N/A,FALSE,"VAR BILL"}</definedName>
    <definedName name="wrn.testprint." localSheetId="16" hidden="1">{"test",#N/A,FALSE,"VAR BILL"}</definedName>
    <definedName name="wrn.testprint." hidden="1">{"test",#N/A,FALSE,"VAR BILL"}</definedName>
    <definedName name="wrn.testprint._1" hidden="1">{"test",#N/A,FALSE,"VAR BILL"}</definedName>
    <definedName name="wrn.testprint._1_1" hidden="1">{"test",#N/A,FALSE,"VAR BILL"}</definedName>
    <definedName name="wrn.testprint._1_1_1" hidden="1">{"test",#N/A,FALSE,"VAR BILL"}</definedName>
    <definedName name="wrn.testprint._1_1_2" hidden="1">{"test",#N/A,FALSE,"VAR BILL"}</definedName>
    <definedName name="wrn.testprint._1_2" hidden="1">{"test",#N/A,FALSE,"VAR BILL"}</definedName>
    <definedName name="wrn.testprint._1_3" hidden="1">{"test",#N/A,FALSE,"VAR BILL"}</definedName>
    <definedName name="wrn.testprint._2" hidden="1">{"test",#N/A,FALSE,"VAR BILL"}</definedName>
    <definedName name="wrn.testprint._2_1" hidden="1">{"test",#N/A,FALSE,"VAR BILL"}</definedName>
    <definedName name="wrn.testprint._2_2" hidden="1">{"test",#N/A,FALSE,"VAR BILL"}</definedName>
    <definedName name="wrn.testprint._3" hidden="1">{"test",#N/A,FALSE,"VAR BILL"}</definedName>
    <definedName name="wrn.testprint._4" hidden="1">{"test",#N/A,FALSE,"VAR BILL"}</definedName>
    <definedName name="wrn.UDIS." hidden="1">{#N/A,#N/A,FALSE,"UDIS SEPT 96"}</definedName>
    <definedName name="wrn.UDIS._1" hidden="1">{#N/A,#N/A,FALSE,"UDIS SEPT 96"}</definedName>
    <definedName name="wrn.UDIS._1_1" hidden="1">{#N/A,#N/A,FALSE,"UDIS SEPT 96"}</definedName>
    <definedName name="wrn.UDIS._1_1_1" hidden="1">{#N/A,#N/A,FALSE,"UDIS SEPT 96"}</definedName>
    <definedName name="wrn.UDIS._1_1_2" hidden="1">{#N/A,#N/A,FALSE,"UDIS SEPT 96"}</definedName>
    <definedName name="wrn.UDIS._1_2" hidden="1">{#N/A,#N/A,FALSE,"UDIS SEPT 96"}</definedName>
    <definedName name="wrn.UDIS._1_3" hidden="1">{#N/A,#N/A,FALSE,"UDIS SEPT 96"}</definedName>
    <definedName name="wrn.UDIS._2" hidden="1">{#N/A,#N/A,FALSE,"UDIS SEPT 96"}</definedName>
    <definedName name="wrn.UDIS._2_1" hidden="1">{#N/A,#N/A,FALSE,"UDIS SEPT 96"}</definedName>
    <definedName name="wrn.UDIS._2_2" hidden="1">{#N/A,#N/A,FALSE,"UDIS SEPT 96"}</definedName>
    <definedName name="wrn.UDIS._3" hidden="1">{#N/A,#N/A,FALSE,"UDIS SEPT 96"}</definedName>
    <definedName name="wrn.UDIS._4" hidden="1">{#N/A,#N/A,FALSE,"UDIS SEPT 96"}</definedName>
    <definedName name="wwww" localSheetId="3" hidden="1">#REF!</definedName>
    <definedName name="wwww" localSheetId="13" hidden="1">#REF!</definedName>
    <definedName name="wwww" localSheetId="14" hidden="1">#REF!</definedName>
    <definedName name="wwww" localSheetId="22" hidden="1">#REF!</definedName>
    <definedName name="wwww" localSheetId="23" hidden="1">#REF!</definedName>
    <definedName name="wwww" localSheetId="16" hidden="1">#REF!</definedName>
    <definedName name="wwww" hidden="1">#REF!</definedName>
    <definedName name="XREF_COLUMN_3" localSheetId="3" hidden="1">#REF!</definedName>
    <definedName name="XREF_COLUMN_3" localSheetId="13" hidden="1">#REF!</definedName>
    <definedName name="XREF_COLUMN_3" localSheetId="14" hidden="1">#REF!</definedName>
    <definedName name="XREF_COLUMN_3" localSheetId="22" hidden="1">#REF!</definedName>
    <definedName name="XREF_COLUMN_3" localSheetId="23" hidden="1">#REF!</definedName>
    <definedName name="XREF_COLUMN_3" localSheetId="16" hidden="1">#REF!</definedName>
    <definedName name="XREF_COLUMN_3" hidden="1">#REF!</definedName>
    <definedName name="XREF_COLUMN_4" localSheetId="3" hidden="1">#REF!</definedName>
    <definedName name="XREF_COLUMN_4" localSheetId="13" hidden="1">#REF!</definedName>
    <definedName name="XREF_COLUMN_4" localSheetId="14" hidden="1">#REF!</definedName>
    <definedName name="XREF_COLUMN_4" localSheetId="22" hidden="1">#REF!</definedName>
    <definedName name="XREF_COLUMN_4" localSheetId="23" hidden="1">#REF!</definedName>
    <definedName name="XREF_COLUMN_4" localSheetId="16" hidden="1">#REF!</definedName>
    <definedName name="XREF_COLUMN_4" hidden="1">#REF!</definedName>
    <definedName name="XRefActiveRow" localSheetId="3" hidden="1">#REF!</definedName>
    <definedName name="XRefActiveRow" localSheetId="13" hidden="1">#REF!</definedName>
    <definedName name="XRefActiveRow" localSheetId="14" hidden="1">#REF!</definedName>
    <definedName name="XRefActiveRow" localSheetId="22" hidden="1">#REF!</definedName>
    <definedName name="XRefActiveRow" localSheetId="23" hidden="1">#REF!</definedName>
    <definedName name="XRefActiveRow" localSheetId="16" hidden="1">#REF!</definedName>
    <definedName name="XRefActiveRow" hidden="1">#REF!</definedName>
    <definedName name="XRefColumnsCount" hidden="1">4</definedName>
    <definedName name="XRefCopy1" localSheetId="3" hidden="1">#REF!</definedName>
    <definedName name="XRefCopy1" localSheetId="13" hidden="1">#REF!</definedName>
    <definedName name="XRefCopy1" localSheetId="14" hidden="1">#REF!</definedName>
    <definedName name="XRefCopy1" localSheetId="22" hidden="1">#REF!</definedName>
    <definedName name="XRefCopy1" localSheetId="23" hidden="1">#REF!</definedName>
    <definedName name="XRefCopy1" localSheetId="16" hidden="1">#REF!</definedName>
    <definedName name="XRefCopy1" hidden="1">#REF!</definedName>
    <definedName name="XRefCopy1Row" localSheetId="3" hidden="1">#REF!</definedName>
    <definedName name="XRefCopy1Row" localSheetId="13" hidden="1">#REF!</definedName>
    <definedName name="XRefCopy1Row" localSheetId="14" hidden="1">#REF!</definedName>
    <definedName name="XRefCopy1Row" localSheetId="22" hidden="1">#REF!</definedName>
    <definedName name="XRefCopy1Row" localSheetId="23" hidden="1">#REF!</definedName>
    <definedName name="XRefCopy1Row" localSheetId="16" hidden="1">#REF!</definedName>
    <definedName name="XRefCopy1Row" hidden="1">#REF!</definedName>
    <definedName name="XRefCopy2Row" localSheetId="3" hidden="1">#REF!</definedName>
    <definedName name="XRefCopy2Row" localSheetId="13" hidden="1">#REF!</definedName>
    <definedName name="XRefCopy2Row" localSheetId="14" hidden="1">#REF!</definedName>
    <definedName name="XRefCopy2Row" localSheetId="22" hidden="1">#REF!</definedName>
    <definedName name="XRefCopy2Row" localSheetId="23" hidden="1">#REF!</definedName>
    <definedName name="XRefCopy2Row" localSheetId="16" hidden="1">#REF!</definedName>
    <definedName name="XRefCopy2Row" hidden="1">#REF!</definedName>
    <definedName name="XRefCopy3Row" localSheetId="3" hidden="1">#REF!</definedName>
    <definedName name="XRefCopy3Row" localSheetId="13" hidden="1">#REF!</definedName>
    <definedName name="XRefCopy3Row" localSheetId="14" hidden="1">#REF!</definedName>
    <definedName name="XRefCopy3Row" localSheetId="22" hidden="1">#REF!</definedName>
    <definedName name="XRefCopy3Row" localSheetId="23" hidden="1">#REF!</definedName>
    <definedName name="XRefCopy3Row" localSheetId="16" hidden="1">#REF!</definedName>
    <definedName name="XRefCopy3Row" hidden="1">#REF!</definedName>
    <definedName name="XRefCopy4" localSheetId="3" hidden="1">#REF!</definedName>
    <definedName name="XRefCopy4" localSheetId="13" hidden="1">#REF!</definedName>
    <definedName name="XRefCopy4" localSheetId="14" hidden="1">#REF!</definedName>
    <definedName name="XRefCopy4" localSheetId="22" hidden="1">#REF!</definedName>
    <definedName name="XRefCopy4" localSheetId="23" hidden="1">#REF!</definedName>
    <definedName name="XRefCopy4" localSheetId="16" hidden="1">#REF!</definedName>
    <definedName name="XRefCopy4" hidden="1">#REF!</definedName>
    <definedName name="XRefCopy5" localSheetId="3" hidden="1">#REF!</definedName>
    <definedName name="XRefCopy5" localSheetId="13" hidden="1">#REF!</definedName>
    <definedName name="XRefCopy5" localSheetId="14" hidden="1">#REF!</definedName>
    <definedName name="XRefCopy5" localSheetId="22" hidden="1">#REF!</definedName>
    <definedName name="XRefCopy5" localSheetId="23" hidden="1">#REF!</definedName>
    <definedName name="XRefCopy5" localSheetId="16" hidden="1">#REF!</definedName>
    <definedName name="XRefCopy5" hidden="1">#REF!</definedName>
    <definedName name="XRefCopy5Row" localSheetId="3" hidden="1">#REF!</definedName>
    <definedName name="XRefCopy5Row" localSheetId="13" hidden="1">#REF!</definedName>
    <definedName name="XRefCopy5Row" localSheetId="14" hidden="1">#REF!</definedName>
    <definedName name="XRefCopy5Row" localSheetId="22" hidden="1">#REF!</definedName>
    <definedName name="XRefCopy5Row" localSheetId="23" hidden="1">#REF!</definedName>
    <definedName name="XRefCopy5Row" localSheetId="16" hidden="1">#REF!</definedName>
    <definedName name="XRefCopy5Row" hidden="1">#REF!</definedName>
    <definedName name="XRefCopy6Row" localSheetId="3" hidden="1">#REF!</definedName>
    <definedName name="XRefCopy6Row" localSheetId="13" hidden="1">#REF!</definedName>
    <definedName name="XRefCopy6Row" localSheetId="14" hidden="1">#REF!</definedName>
    <definedName name="XRefCopy6Row" localSheetId="22" hidden="1">#REF!</definedName>
    <definedName name="XRefCopy6Row" localSheetId="23" hidden="1">#REF!</definedName>
    <definedName name="XRefCopy6Row" localSheetId="16" hidden="1">#REF!</definedName>
    <definedName name="XRefCopy6Row" hidden="1">#REF!</definedName>
    <definedName name="XRefCopyRangeCount" hidden="1">6</definedName>
    <definedName name="XRefPaste1Row" localSheetId="3" hidden="1">#REF!</definedName>
    <definedName name="XRefPaste1Row" localSheetId="13" hidden="1">#REF!</definedName>
    <definedName name="XRefPaste1Row" localSheetId="14" hidden="1">#REF!</definedName>
    <definedName name="XRefPaste1Row" localSheetId="22" hidden="1">#REF!</definedName>
    <definedName name="XRefPaste1Row" localSheetId="23" hidden="1">#REF!</definedName>
    <definedName name="XRefPaste1Row" localSheetId="16" hidden="1">#REF!</definedName>
    <definedName name="XRefPaste1Row" hidden="1">#REF!</definedName>
    <definedName name="XRefPaste2Row" localSheetId="3" hidden="1">#REF!</definedName>
    <definedName name="XRefPaste2Row" localSheetId="13" hidden="1">#REF!</definedName>
    <definedName name="XRefPaste2Row" localSheetId="14" hidden="1">#REF!</definedName>
    <definedName name="XRefPaste2Row" localSheetId="22" hidden="1">#REF!</definedName>
    <definedName name="XRefPaste2Row" localSheetId="23" hidden="1">#REF!</definedName>
    <definedName name="XRefPaste2Row" localSheetId="16" hidden="1">#REF!</definedName>
    <definedName name="XRefPaste2Row" hidden="1">#REF!</definedName>
    <definedName name="XRefPaste3Row" localSheetId="3" hidden="1">#REF!</definedName>
    <definedName name="XRefPaste3Row" localSheetId="13" hidden="1">#REF!</definedName>
    <definedName name="XRefPaste3Row" localSheetId="14" hidden="1">#REF!</definedName>
    <definedName name="XRefPaste3Row" localSheetId="22" hidden="1">#REF!</definedName>
    <definedName name="XRefPaste3Row" localSheetId="23" hidden="1">#REF!</definedName>
    <definedName name="XRefPaste3Row" localSheetId="16" hidden="1">#REF!</definedName>
    <definedName name="XRefPaste3Row" hidden="1">#REF!</definedName>
    <definedName name="XRefPaste4" localSheetId="3" hidden="1">#REF!</definedName>
    <definedName name="XRefPaste4" localSheetId="13" hidden="1">#REF!</definedName>
    <definedName name="XRefPaste4" localSheetId="14" hidden="1">#REF!</definedName>
    <definedName name="XRefPaste4" localSheetId="22" hidden="1">#REF!</definedName>
    <definedName name="XRefPaste4" localSheetId="23" hidden="1">#REF!</definedName>
    <definedName name="XRefPaste4" localSheetId="16" hidden="1">#REF!</definedName>
    <definedName name="XRefPaste4" hidden="1">#REF!</definedName>
    <definedName name="XRefPaste4Row" localSheetId="3" hidden="1">#REF!</definedName>
    <definedName name="XRefPaste4Row" localSheetId="13" hidden="1">#REF!</definedName>
    <definedName name="XRefPaste4Row" localSheetId="14" hidden="1">#REF!</definedName>
    <definedName name="XRefPaste4Row" localSheetId="22" hidden="1">#REF!</definedName>
    <definedName name="XRefPaste4Row" localSheetId="23" hidden="1">#REF!</definedName>
    <definedName name="XRefPaste4Row" localSheetId="16" hidden="1">#REF!</definedName>
    <definedName name="XRefPaste4Row" hidden="1">#REF!</definedName>
    <definedName name="XRefPasteRangeCount" hidden="1">4</definedName>
    <definedName name="YO" hidden="1">{#N/A,#N/A,FALSE,"EDO. RES. INT";#N/A,#N/A,FALSE,"EDO. RES. CNB";#N/A,#N/A,FALSE,"EDO. RES. CONT."}</definedName>
    <definedName name="YO_1" hidden="1">{#N/A,#N/A,FALSE,"EDO. RES. INT";#N/A,#N/A,FALSE,"EDO. RES. CNB";#N/A,#N/A,FALSE,"EDO. RES. CONT."}</definedName>
    <definedName name="YO_1_1" hidden="1">{#N/A,#N/A,FALSE,"EDO. RES. INT";#N/A,#N/A,FALSE,"EDO. RES. CNB";#N/A,#N/A,FALSE,"EDO. RES. CONT."}</definedName>
    <definedName name="YO_1_1_1" hidden="1">{#N/A,#N/A,FALSE,"EDO. RES. INT";#N/A,#N/A,FALSE,"EDO. RES. CNB";#N/A,#N/A,FALSE,"EDO. RES. CONT."}</definedName>
    <definedName name="YO_1_1_2" hidden="1">{#N/A,#N/A,FALSE,"EDO. RES. INT";#N/A,#N/A,FALSE,"EDO. RES. CNB";#N/A,#N/A,FALSE,"EDO. RES. CONT."}</definedName>
    <definedName name="YO_1_2" hidden="1">{#N/A,#N/A,FALSE,"EDO. RES. INT";#N/A,#N/A,FALSE,"EDO. RES. CNB";#N/A,#N/A,FALSE,"EDO. RES. CONT."}</definedName>
    <definedName name="YO_1_3" hidden="1">{#N/A,#N/A,FALSE,"EDO. RES. INT";#N/A,#N/A,FALSE,"EDO. RES. CNB";#N/A,#N/A,FALSE,"EDO. RES. CONT."}</definedName>
    <definedName name="YO_2" hidden="1">{#N/A,#N/A,FALSE,"EDO. RES. INT";#N/A,#N/A,FALSE,"EDO. RES. CNB";#N/A,#N/A,FALSE,"EDO. RES. CONT."}</definedName>
    <definedName name="YO_2_1" hidden="1">{#N/A,#N/A,FALSE,"EDO. RES. INT";#N/A,#N/A,FALSE,"EDO. RES. CNB";#N/A,#N/A,FALSE,"EDO. RES. CONT."}</definedName>
    <definedName name="YO_2_2" hidden="1">{#N/A,#N/A,FALSE,"EDO. RES. INT";#N/A,#N/A,FALSE,"EDO. RES. CNB";#N/A,#N/A,FALSE,"EDO. RES. CONT."}</definedName>
    <definedName name="YO_3" hidden="1">{#N/A,#N/A,FALSE,"EDO. RES. INT";#N/A,#N/A,FALSE,"EDO. RES. CNB";#N/A,#N/A,FALSE,"EDO. RES. CONT."}</definedName>
    <definedName name="YO_4" hidden="1">{#N/A,#N/A,FALSE,"EDO. RES. INT";#N/A,#N/A,FALSE,"EDO. RES. CNB";#N/A,#N/A,FALSE,"EDO. RES. CONT."}</definedName>
    <definedName name="yy" hidden="1">{#N/A,#N/A,FALSE,"SUBSIDIARIAS"}</definedName>
    <definedName name="yy_1" hidden="1">{#N/A,#N/A,FALSE,"SUBSIDIARIAS"}</definedName>
    <definedName name="yy_1_1" hidden="1">{#N/A,#N/A,FALSE,"SUBSIDIARIAS"}</definedName>
    <definedName name="yy_1_1_1" hidden="1">{#N/A,#N/A,FALSE,"SUBSIDIARIAS"}</definedName>
    <definedName name="yy_1_1_2" hidden="1">{#N/A,#N/A,FALSE,"SUBSIDIARIAS"}</definedName>
    <definedName name="yy_1_2" hidden="1">{#N/A,#N/A,FALSE,"SUBSIDIARIAS"}</definedName>
    <definedName name="yy_1_3" hidden="1">{#N/A,#N/A,FALSE,"SUBSIDIARIAS"}</definedName>
    <definedName name="yy_2" hidden="1">{#N/A,#N/A,FALSE,"SUBSIDIARIAS"}</definedName>
    <definedName name="yy_2_1" hidden="1">{#N/A,#N/A,FALSE,"SUBSIDIARIAS"}</definedName>
    <definedName name="yy_2_2" hidden="1">{#N/A,#N/A,FALSE,"SUBSIDIARIAS"}</definedName>
    <definedName name="yy_3" hidden="1">{#N/A,#N/A,FALSE,"SUBSIDIARIAS"}</definedName>
    <definedName name="yy_4" hidden="1">{#N/A,#N/A,FALSE,"SUBSIDIARIAS"}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39" i="25" l="1"/>
  <c r="H40" i="25"/>
  <c r="A38" i="25"/>
  <c r="A37" i="25"/>
  <c r="A36" i="25"/>
  <c r="A35" i="25"/>
  <c r="A34" i="25"/>
  <c r="A33" i="25"/>
  <c r="I40" i="25"/>
  <c r="G40" i="25"/>
  <c r="F40" i="25"/>
  <c r="E40" i="25"/>
  <c r="D40" i="25"/>
  <c r="C40" i="25"/>
  <c r="B40" i="25"/>
  <c r="A32" i="25"/>
  <c r="H31" i="25"/>
  <c r="E31" i="25"/>
  <c r="B30" i="25"/>
  <c r="B27" i="25"/>
  <c r="A26" i="25"/>
  <c r="A25" i="25"/>
  <c r="A24" i="25"/>
  <c r="D27" i="25"/>
  <c r="A23" i="25"/>
  <c r="F27" i="25"/>
  <c r="A22" i="25"/>
  <c r="C27" i="25"/>
  <c r="A21" i="25"/>
  <c r="A20" i="25"/>
  <c r="I27" i="25"/>
  <c r="H27" i="25"/>
  <c r="G27" i="25"/>
  <c r="E27" i="25"/>
  <c r="A19" i="25"/>
  <c r="H18" i="25"/>
  <c r="F18" i="25"/>
  <c r="D18" i="25"/>
  <c r="B17" i="25"/>
  <c r="I14" i="25"/>
  <c r="G14" i="25"/>
  <c r="A13" i="25"/>
  <c r="A12" i="25"/>
  <c r="A11" i="25"/>
  <c r="A10" i="25"/>
  <c r="C14" i="25"/>
  <c r="A9" i="25"/>
  <c r="A8" i="25"/>
  <c r="A7" i="25"/>
  <c r="H14" i="25"/>
  <c r="F14" i="25"/>
  <c r="E14" i="25"/>
  <c r="D14" i="25"/>
  <c r="B14" i="25"/>
  <c r="A6" i="25"/>
  <c r="I5" i="25"/>
  <c r="I31" i="25" s="1"/>
  <c r="H5" i="25"/>
  <c r="G5" i="25"/>
  <c r="G31" i="25" s="1"/>
  <c r="F5" i="25"/>
  <c r="F31" i="25" s="1"/>
  <c r="E5" i="25"/>
  <c r="E18" i="25" s="1"/>
  <c r="D5" i="25"/>
  <c r="D31" i="25" s="1"/>
  <c r="C5" i="25"/>
  <c r="C31" i="25" s="1"/>
  <c r="B5" i="25"/>
  <c r="B18" i="25" s="1"/>
  <c r="B4" i="25"/>
  <c r="A2" i="25"/>
  <c r="A1" i="25"/>
  <c r="A61" i="24"/>
  <c r="A60" i="24"/>
  <c r="F56" i="24"/>
  <c r="D56" i="24"/>
  <c r="A56" i="24"/>
  <c r="A55" i="24"/>
  <c r="A54" i="24"/>
  <c r="A53" i="24"/>
  <c r="I56" i="24"/>
  <c r="H56" i="24"/>
  <c r="G56" i="24"/>
  <c r="E56" i="24"/>
  <c r="C56" i="24"/>
  <c r="B56" i="24"/>
  <c r="A52" i="24"/>
  <c r="I51" i="24"/>
  <c r="G51" i="24"/>
  <c r="B50" i="24"/>
  <c r="I46" i="24"/>
  <c r="B46" i="24"/>
  <c r="B48" i="24" s="1"/>
  <c r="A47" i="24"/>
  <c r="G46" i="24"/>
  <c r="D46" i="24"/>
  <c r="D48" i="24" s="1"/>
  <c r="C66" i="24"/>
  <c r="C64" i="24"/>
  <c r="G41" i="24"/>
  <c r="C41" i="24"/>
  <c r="B41" i="24"/>
  <c r="B40" i="24"/>
  <c r="A38" i="24"/>
  <c r="A37" i="24"/>
  <c r="A36" i="24"/>
  <c r="A35" i="24"/>
  <c r="A34" i="24"/>
  <c r="A33" i="24"/>
  <c r="A32" i="24"/>
  <c r="G31" i="24"/>
  <c r="C31" i="24"/>
  <c r="B31" i="24"/>
  <c r="B30" i="24"/>
  <c r="D28" i="24"/>
  <c r="F27" i="24"/>
  <c r="E27" i="24"/>
  <c r="D27" i="24"/>
  <c r="A27" i="24"/>
  <c r="A26" i="24"/>
  <c r="C28" i="24"/>
  <c r="A25" i="24"/>
  <c r="G27" i="24"/>
  <c r="B27" i="24"/>
  <c r="A24" i="24"/>
  <c r="I28" i="24"/>
  <c r="H27" i="24"/>
  <c r="F28" i="24"/>
  <c r="E28" i="24"/>
  <c r="C27" i="24"/>
  <c r="A23" i="24"/>
  <c r="I22" i="24"/>
  <c r="G22" i="24"/>
  <c r="F22" i="24"/>
  <c r="D22" i="24"/>
  <c r="C22" i="24"/>
  <c r="B22" i="24"/>
  <c r="B21" i="24"/>
  <c r="D19" i="24"/>
  <c r="A19" i="24"/>
  <c r="G18" i="24"/>
  <c r="F18" i="24"/>
  <c r="E18" i="24"/>
  <c r="A18" i="24"/>
  <c r="A17" i="24"/>
  <c r="A16" i="24"/>
  <c r="H18" i="24"/>
  <c r="C18" i="24"/>
  <c r="B18" i="24"/>
  <c r="A15" i="24"/>
  <c r="I18" i="24"/>
  <c r="G19" i="24"/>
  <c r="F19" i="24"/>
  <c r="E19" i="24"/>
  <c r="D18" i="24"/>
  <c r="A14" i="24"/>
  <c r="G13" i="24"/>
  <c r="E13" i="24"/>
  <c r="D13" i="24"/>
  <c r="C13" i="24"/>
  <c r="B13" i="24"/>
  <c r="B12" i="24"/>
  <c r="C10" i="24"/>
  <c r="C9" i="24"/>
  <c r="A9" i="24"/>
  <c r="D10" i="24"/>
  <c r="A8" i="24"/>
  <c r="E10" i="24"/>
  <c r="A7" i="24"/>
  <c r="I9" i="24"/>
  <c r="H9" i="24"/>
  <c r="A6" i="24"/>
  <c r="G10" i="24"/>
  <c r="F9" i="24"/>
  <c r="E9" i="24"/>
  <c r="D9" i="24"/>
  <c r="F10" i="24"/>
  <c r="A5" i="24"/>
  <c r="I4" i="24"/>
  <c r="I41" i="24" s="1"/>
  <c r="H4" i="24"/>
  <c r="H51" i="24" s="1"/>
  <c r="G4" i="24"/>
  <c r="F4" i="24"/>
  <c r="F13" i="24" s="1"/>
  <c r="E4" i="24"/>
  <c r="E22" i="24" s="1"/>
  <c r="D4" i="24"/>
  <c r="D51" i="24" s="1"/>
  <c r="C4" i="24"/>
  <c r="C51" i="24" s="1"/>
  <c r="B4" i="24"/>
  <c r="B51" i="24" s="1"/>
  <c r="B3" i="24"/>
  <c r="A2" i="24"/>
  <c r="A1" i="24"/>
  <c r="A73" i="23"/>
  <c r="A70" i="23"/>
  <c r="A69" i="23"/>
  <c r="A68" i="23"/>
  <c r="A67" i="23"/>
  <c r="A66" i="23"/>
  <c r="A65" i="23"/>
  <c r="A64" i="23"/>
  <c r="I63" i="23"/>
  <c r="H63" i="23"/>
  <c r="E63" i="23"/>
  <c r="D63" i="23"/>
  <c r="C63" i="23"/>
  <c r="B62" i="23"/>
  <c r="A58" i="23"/>
  <c r="I52" i="23"/>
  <c r="E52" i="23"/>
  <c r="C52" i="23"/>
  <c r="B52" i="23"/>
  <c r="B51" i="23"/>
  <c r="G48" i="23"/>
  <c r="A48" i="23"/>
  <c r="A47" i="23"/>
  <c r="A46" i="23"/>
  <c r="A45" i="23"/>
  <c r="A44" i="23"/>
  <c r="I43" i="23"/>
  <c r="H43" i="23"/>
  <c r="E43" i="23"/>
  <c r="D43" i="23"/>
  <c r="C43" i="23"/>
  <c r="B42" i="23"/>
  <c r="I48" i="23"/>
  <c r="H48" i="23"/>
  <c r="E48" i="23"/>
  <c r="D48" i="23"/>
  <c r="A38" i="23"/>
  <c r="A37" i="23"/>
  <c r="A36" i="23"/>
  <c r="A35" i="23"/>
  <c r="A34" i="23"/>
  <c r="F48" i="23"/>
  <c r="A33" i="23"/>
  <c r="C48" i="23"/>
  <c r="A32" i="23"/>
  <c r="I31" i="23"/>
  <c r="H31" i="23"/>
  <c r="G31" i="23"/>
  <c r="C31" i="23"/>
  <c r="B30" i="23"/>
  <c r="E27" i="23"/>
  <c r="A27" i="23"/>
  <c r="H27" i="23"/>
  <c r="A26" i="23"/>
  <c r="A25" i="23"/>
  <c r="A24" i="23"/>
  <c r="A23" i="23"/>
  <c r="A22" i="23"/>
  <c r="G27" i="23"/>
  <c r="A21" i="23"/>
  <c r="F27" i="23"/>
  <c r="D27" i="23"/>
  <c r="A20" i="23"/>
  <c r="A19" i="23"/>
  <c r="H18" i="23"/>
  <c r="G18" i="23"/>
  <c r="F18" i="23"/>
  <c r="E18" i="23"/>
  <c r="B18" i="23"/>
  <c r="B17" i="23"/>
  <c r="E14" i="23"/>
  <c r="D14" i="23"/>
  <c r="C14" i="23"/>
  <c r="B14" i="23"/>
  <c r="H14" i="23"/>
  <c r="A13" i="23"/>
  <c r="A12" i="23"/>
  <c r="A11" i="23"/>
  <c r="A10" i="23"/>
  <c r="A9" i="23"/>
  <c r="A8" i="23"/>
  <c r="A7" i="23"/>
  <c r="A6" i="23"/>
  <c r="I5" i="23"/>
  <c r="I18" i="23" s="1"/>
  <c r="H5" i="23"/>
  <c r="H52" i="23" s="1"/>
  <c r="G5" i="23"/>
  <c r="G63" i="23" s="1"/>
  <c r="F5" i="23"/>
  <c r="F63" i="23" s="1"/>
  <c r="E5" i="23"/>
  <c r="E31" i="23" s="1"/>
  <c r="D5" i="23"/>
  <c r="D18" i="23" s="1"/>
  <c r="C5" i="23"/>
  <c r="C18" i="23" s="1"/>
  <c r="B5" i="23"/>
  <c r="B63" i="23" s="1"/>
  <c r="B4" i="23"/>
  <c r="A2" i="23"/>
  <c r="A1" i="23"/>
  <c r="F26" i="22"/>
  <c r="A21" i="22"/>
  <c r="G17" i="22"/>
  <c r="A17" i="22"/>
  <c r="A16" i="22"/>
  <c r="A15" i="22"/>
  <c r="F17" i="22"/>
  <c r="E10" i="22"/>
  <c r="A14" i="22"/>
  <c r="A13" i="22"/>
  <c r="D10" i="22"/>
  <c r="A12" i="22"/>
  <c r="H10" i="22"/>
  <c r="G10" i="22"/>
  <c r="C10" i="22"/>
  <c r="A11" i="22"/>
  <c r="F10" i="22"/>
  <c r="A10" i="22"/>
  <c r="B17" i="22"/>
  <c r="A9" i="22"/>
  <c r="A8" i="22"/>
  <c r="A7" i="22"/>
  <c r="I17" i="22"/>
  <c r="A6" i="22"/>
  <c r="I5" i="22"/>
  <c r="H5" i="22"/>
  <c r="G5" i="22"/>
  <c r="F5" i="22"/>
  <c r="E5" i="22"/>
  <c r="D5" i="22"/>
  <c r="C5" i="22"/>
  <c r="B5" i="22"/>
  <c r="B4" i="22"/>
  <c r="A2" i="22"/>
  <c r="A1" i="22"/>
  <c r="A38" i="21"/>
  <c r="A36" i="21"/>
  <c r="A35" i="21"/>
  <c r="A34" i="21"/>
  <c r="A32" i="21"/>
  <c r="A31" i="21"/>
  <c r="A30" i="21"/>
  <c r="A28" i="21"/>
  <c r="A27" i="21"/>
  <c r="A26" i="21"/>
  <c r="A24" i="21"/>
  <c r="A23" i="21"/>
  <c r="A22" i="21"/>
  <c r="A20" i="21"/>
  <c r="A19" i="21"/>
  <c r="A18" i="21"/>
  <c r="A16" i="21"/>
  <c r="A15" i="21"/>
  <c r="A14" i="21"/>
  <c r="A12" i="21"/>
  <c r="A11" i="21"/>
  <c r="A10" i="21"/>
  <c r="A8" i="21"/>
  <c r="A7" i="21"/>
  <c r="A6" i="21"/>
  <c r="I4" i="21"/>
  <c r="H4" i="21"/>
  <c r="G4" i="21"/>
  <c r="F4" i="21"/>
  <c r="E4" i="21"/>
  <c r="D4" i="21"/>
  <c r="C4" i="21"/>
  <c r="B4" i="21"/>
  <c r="F3" i="21"/>
  <c r="B3" i="21"/>
  <c r="A2" i="21"/>
  <c r="A1" i="21"/>
  <c r="A17" i="20"/>
  <c r="A16" i="20"/>
  <c r="A15" i="20"/>
  <c r="A12" i="20"/>
  <c r="A11" i="20"/>
  <c r="A10" i="20"/>
  <c r="A9" i="20"/>
  <c r="A8" i="20"/>
  <c r="A7" i="20"/>
  <c r="A6" i="20"/>
  <c r="H5" i="20"/>
  <c r="D5" i="20"/>
  <c r="I4" i="20"/>
  <c r="E4" i="20"/>
  <c r="D4" i="20"/>
  <c r="H3" i="20"/>
  <c r="C3" i="20"/>
  <c r="A2" i="20"/>
  <c r="A1" i="20"/>
  <c r="A42" i="19"/>
  <c r="A41" i="19"/>
  <c r="A40" i="19"/>
  <c r="A39" i="19"/>
  <c r="A38" i="19"/>
  <c r="A37" i="19"/>
  <c r="A36" i="19"/>
  <c r="A35" i="19"/>
  <c r="I43" i="19"/>
  <c r="E43" i="19"/>
  <c r="C43" i="19"/>
  <c r="A34" i="19"/>
  <c r="G43" i="19"/>
  <c r="B43" i="19"/>
  <c r="A33" i="19"/>
  <c r="H32" i="19"/>
  <c r="E32" i="19"/>
  <c r="D32" i="19"/>
  <c r="A31" i="19"/>
  <c r="A27" i="19"/>
  <c r="A26" i="19"/>
  <c r="A25" i="19"/>
  <c r="A24" i="19"/>
  <c r="A23" i="19"/>
  <c r="A22" i="19"/>
  <c r="A21" i="19"/>
  <c r="A20" i="19"/>
  <c r="I28" i="19"/>
  <c r="H28" i="19"/>
  <c r="G28" i="19"/>
  <c r="F28" i="19"/>
  <c r="B28" i="19"/>
  <c r="A19" i="19"/>
  <c r="E28" i="19"/>
  <c r="D28" i="19"/>
  <c r="A18" i="19"/>
  <c r="I17" i="19"/>
  <c r="H17" i="19"/>
  <c r="G17" i="19"/>
  <c r="E17" i="19"/>
  <c r="D17" i="19"/>
  <c r="C17" i="19"/>
  <c r="A16" i="19"/>
  <c r="A12" i="19"/>
  <c r="A11" i="19"/>
  <c r="I13" i="19"/>
  <c r="A10" i="19"/>
  <c r="A9" i="19"/>
  <c r="A8" i="19"/>
  <c r="A7" i="19"/>
  <c r="A6" i="19"/>
  <c r="A5" i="19"/>
  <c r="A4" i="19"/>
  <c r="H13" i="19"/>
  <c r="E13" i="19"/>
  <c r="A3" i="19"/>
  <c r="I2" i="19"/>
  <c r="I32" i="19" s="1"/>
  <c r="H2" i="19"/>
  <c r="G2" i="19"/>
  <c r="G32" i="19" s="1"/>
  <c r="F2" i="19"/>
  <c r="F32" i="19" s="1"/>
  <c r="E2" i="19"/>
  <c r="D2" i="19"/>
  <c r="C2" i="19"/>
  <c r="C32" i="19" s="1"/>
  <c r="B2" i="19"/>
  <c r="B32" i="19" s="1"/>
  <c r="A1" i="19"/>
  <c r="A49" i="18"/>
  <c r="A47" i="18"/>
  <c r="A45" i="18"/>
  <c r="A43" i="18"/>
  <c r="A41" i="18"/>
  <c r="A39" i="18"/>
  <c r="A36" i="18"/>
  <c r="A35" i="18"/>
  <c r="A32" i="18"/>
  <c r="A30" i="18"/>
  <c r="A28" i="18"/>
  <c r="A26" i="18"/>
  <c r="A24" i="18"/>
  <c r="A22" i="18"/>
  <c r="I20" i="18"/>
  <c r="F20" i="18"/>
  <c r="A19" i="18"/>
  <c r="A18" i="18"/>
  <c r="A15" i="18"/>
  <c r="A13" i="18"/>
  <c r="A11" i="18"/>
  <c r="A9" i="18"/>
  <c r="A7" i="18"/>
  <c r="A5" i="18"/>
  <c r="I3" i="18"/>
  <c r="I37" i="18" s="1"/>
  <c r="H3" i="18"/>
  <c r="H37" i="18" s="1"/>
  <c r="G3" i="18"/>
  <c r="G37" i="18" s="1"/>
  <c r="F3" i="18"/>
  <c r="F37" i="18" s="1"/>
  <c r="E3" i="18"/>
  <c r="E37" i="18" s="1"/>
  <c r="D3" i="18"/>
  <c r="D37" i="18" s="1"/>
  <c r="C3" i="18"/>
  <c r="C37" i="18" s="1"/>
  <c r="B3" i="18"/>
  <c r="B37" i="18" s="1"/>
  <c r="A2" i="18"/>
  <c r="A1" i="18"/>
  <c r="A15" i="17"/>
  <c r="A13" i="17"/>
  <c r="A11" i="17"/>
  <c r="A9" i="17"/>
  <c r="A7" i="17"/>
  <c r="A5" i="17"/>
  <c r="I3" i="17"/>
  <c r="H3" i="17"/>
  <c r="G3" i="17"/>
  <c r="F3" i="17"/>
  <c r="E3" i="17"/>
  <c r="D3" i="17"/>
  <c r="C3" i="17"/>
  <c r="B3" i="17"/>
  <c r="A2" i="17"/>
  <c r="A1" i="17"/>
  <c r="A17" i="16"/>
  <c r="A15" i="16"/>
  <c r="A13" i="16"/>
  <c r="A11" i="16"/>
  <c r="A9" i="16"/>
  <c r="A7" i="16"/>
  <c r="A5" i="16"/>
  <c r="I3" i="16"/>
  <c r="H3" i="16"/>
  <c r="G3" i="16"/>
  <c r="F3" i="16"/>
  <c r="E3" i="16"/>
  <c r="D3" i="16"/>
  <c r="C3" i="16"/>
  <c r="B3" i="16"/>
  <c r="A2" i="16"/>
  <c r="A1" i="16"/>
  <c r="A113" i="15"/>
  <c r="A112" i="15"/>
  <c r="A111" i="15"/>
  <c r="A110" i="15"/>
  <c r="A109" i="15"/>
  <c r="A108" i="15"/>
  <c r="A107" i="15"/>
  <c r="I106" i="15"/>
  <c r="C106" i="15"/>
  <c r="A105" i="15"/>
  <c r="A104" i="15"/>
  <c r="A101" i="15"/>
  <c r="A100" i="15"/>
  <c r="A99" i="15"/>
  <c r="A98" i="15"/>
  <c r="B100" i="15"/>
  <c r="A97" i="15"/>
  <c r="A96" i="15"/>
  <c r="G100" i="15"/>
  <c r="F100" i="15"/>
  <c r="A95" i="15"/>
  <c r="A94" i="15"/>
  <c r="E93" i="15"/>
  <c r="B93" i="15"/>
  <c r="A93" i="15"/>
  <c r="A92" i="15"/>
  <c r="A91" i="15"/>
  <c r="A90" i="15"/>
  <c r="I93" i="15"/>
  <c r="F93" i="15"/>
  <c r="A89" i="15"/>
  <c r="A88" i="15"/>
  <c r="H93" i="15"/>
  <c r="A87" i="15"/>
  <c r="A85" i="15"/>
  <c r="A84" i="15"/>
  <c r="A81" i="15"/>
  <c r="A80" i="15"/>
  <c r="H79" i="15"/>
  <c r="H81" i="15" s="1"/>
  <c r="A79" i="15"/>
  <c r="A78" i="15"/>
  <c r="A77" i="15"/>
  <c r="A76" i="15"/>
  <c r="A75" i="15"/>
  <c r="A74" i="15"/>
  <c r="A73" i="15"/>
  <c r="A72" i="15"/>
  <c r="A71" i="15"/>
  <c r="A70" i="15"/>
  <c r="A69" i="15"/>
  <c r="H68" i="15"/>
  <c r="H74" i="15" s="1"/>
  <c r="H77" i="15" s="1"/>
  <c r="A68" i="15"/>
  <c r="A67" i="15"/>
  <c r="A66" i="15"/>
  <c r="G68" i="15"/>
  <c r="G74" i="15" s="1"/>
  <c r="G77" i="15" s="1"/>
  <c r="G79" i="15" s="1"/>
  <c r="G81" i="15" s="1"/>
  <c r="A65" i="15"/>
  <c r="B68" i="15"/>
  <c r="B74" i="15" s="1"/>
  <c r="B77" i="15" s="1"/>
  <c r="B79" i="15" s="1"/>
  <c r="B81" i="15" s="1"/>
  <c r="A64" i="15"/>
  <c r="A60" i="15"/>
  <c r="A59" i="15"/>
  <c r="A57" i="15"/>
  <c r="A56" i="15"/>
  <c r="A55" i="15"/>
  <c r="A54" i="15"/>
  <c r="A53" i="15"/>
  <c r="A52" i="15"/>
  <c r="A51" i="15"/>
  <c r="I50" i="15"/>
  <c r="F50" i="15"/>
  <c r="C50" i="15"/>
  <c r="A49" i="15"/>
  <c r="A48" i="15"/>
  <c r="A45" i="15"/>
  <c r="I44" i="15"/>
  <c r="A44" i="15"/>
  <c r="B44" i="15"/>
  <c r="A43" i="15"/>
  <c r="A42" i="15"/>
  <c r="A41" i="15"/>
  <c r="A40" i="15"/>
  <c r="G44" i="15"/>
  <c r="F44" i="15"/>
  <c r="A39" i="15"/>
  <c r="C37" i="15"/>
  <c r="A38" i="15"/>
  <c r="H37" i="15"/>
  <c r="F37" i="15"/>
  <c r="A37" i="15"/>
  <c r="E37" i="15"/>
  <c r="A36" i="15"/>
  <c r="A35" i="15"/>
  <c r="A34" i="15"/>
  <c r="I37" i="15"/>
  <c r="A33" i="15"/>
  <c r="A32" i="15"/>
  <c r="A31" i="15"/>
  <c r="I30" i="15"/>
  <c r="I86" i="15" s="1"/>
  <c r="H30" i="15"/>
  <c r="G30" i="15"/>
  <c r="G106" i="15" s="1"/>
  <c r="F30" i="15"/>
  <c r="F106" i="15" s="1"/>
  <c r="E30" i="15"/>
  <c r="D30" i="15"/>
  <c r="C30" i="15"/>
  <c r="C86" i="15" s="1"/>
  <c r="B30" i="15"/>
  <c r="B106" i="15" s="1"/>
  <c r="A29" i="15"/>
  <c r="A28" i="15"/>
  <c r="A25" i="15"/>
  <c r="A24" i="15"/>
  <c r="A23" i="15"/>
  <c r="A22" i="15"/>
  <c r="A21" i="15"/>
  <c r="A20" i="15"/>
  <c r="A19" i="15"/>
  <c r="B18" i="15"/>
  <c r="B21" i="15" s="1"/>
  <c r="B23" i="15" s="1"/>
  <c r="B25" i="15" s="1"/>
  <c r="A18" i="15"/>
  <c r="A17" i="15"/>
  <c r="A16" i="15"/>
  <c r="A15" i="15"/>
  <c r="A14" i="15"/>
  <c r="A13" i="15"/>
  <c r="H12" i="15"/>
  <c r="H18" i="15" s="1"/>
  <c r="G12" i="15"/>
  <c r="G18" i="15" s="1"/>
  <c r="G21" i="15" s="1"/>
  <c r="G23" i="15" s="1"/>
  <c r="G25" i="15" s="1"/>
  <c r="B12" i="15"/>
  <c r="A12" i="15"/>
  <c r="A11" i="15"/>
  <c r="D12" i="15"/>
  <c r="D18" i="15" s="1"/>
  <c r="D21" i="15" s="1"/>
  <c r="A10" i="15"/>
  <c r="A9" i="15"/>
  <c r="I12" i="15"/>
  <c r="I18" i="15" s="1"/>
  <c r="F12" i="15"/>
  <c r="F18" i="15" s="1"/>
  <c r="F21" i="15" s="1"/>
  <c r="F23" i="15" s="1"/>
  <c r="F25" i="15" s="1"/>
  <c r="E12" i="15"/>
  <c r="E18" i="15" s="1"/>
  <c r="E21" i="15" s="1"/>
  <c r="E23" i="15" s="1"/>
  <c r="E25" i="15" s="1"/>
  <c r="A8" i="15"/>
  <c r="F6" i="15"/>
  <c r="F62" i="15" s="1"/>
  <c r="B6" i="15"/>
  <c r="B62" i="15" s="1"/>
  <c r="A4" i="15"/>
  <c r="A3" i="15"/>
  <c r="A1" i="15"/>
  <c r="A49" i="14"/>
  <c r="A48" i="14"/>
  <c r="A47" i="14"/>
  <c r="A46" i="14"/>
  <c r="A45" i="14"/>
  <c r="A44" i="14"/>
  <c r="A43" i="14"/>
  <c r="A42" i="14"/>
  <c r="D41" i="14"/>
  <c r="A41" i="14"/>
  <c r="I41" i="14"/>
  <c r="A40" i="14"/>
  <c r="A39" i="14"/>
  <c r="A38" i="14"/>
  <c r="A37" i="14"/>
  <c r="A36" i="14"/>
  <c r="G41" i="14"/>
  <c r="F41" i="14"/>
  <c r="A35" i="14"/>
  <c r="C41" i="14"/>
  <c r="A34" i="14"/>
  <c r="I33" i="14"/>
  <c r="H33" i="14"/>
  <c r="G33" i="14"/>
  <c r="F33" i="14"/>
  <c r="E33" i="14"/>
  <c r="D33" i="14"/>
  <c r="C33" i="14"/>
  <c r="B33" i="14"/>
  <c r="A32" i="14"/>
  <c r="A31" i="14"/>
  <c r="A25" i="14"/>
  <c r="A24" i="14"/>
  <c r="A23" i="14"/>
  <c r="A22" i="14"/>
  <c r="A21" i="14"/>
  <c r="A20" i="14"/>
  <c r="A19" i="14"/>
  <c r="A18" i="14"/>
  <c r="A17" i="14"/>
  <c r="A16" i="14"/>
  <c r="A15" i="14"/>
  <c r="A14" i="14"/>
  <c r="A13" i="14"/>
  <c r="A12" i="14"/>
  <c r="A11" i="14"/>
  <c r="A10" i="14"/>
  <c r="I12" i="14"/>
  <c r="I18" i="14" s="1"/>
  <c r="I21" i="14" s="1"/>
  <c r="I23" i="14" s="1"/>
  <c r="I25" i="14" s="1"/>
  <c r="H12" i="14"/>
  <c r="H18" i="14" s="1"/>
  <c r="H21" i="14" s="1"/>
  <c r="H23" i="14" s="1"/>
  <c r="H25" i="14" s="1"/>
  <c r="A9" i="14"/>
  <c r="C12" i="14"/>
  <c r="C18" i="14" s="1"/>
  <c r="C21" i="14" s="1"/>
  <c r="C23" i="14" s="1"/>
  <c r="C25" i="14" s="1"/>
  <c r="B12" i="14"/>
  <c r="B18" i="14" s="1"/>
  <c r="B21" i="14" s="1"/>
  <c r="B23" i="14" s="1"/>
  <c r="B25" i="14" s="1"/>
  <c r="A8" i="14"/>
  <c r="F6" i="14"/>
  <c r="B6" i="14"/>
  <c r="A4" i="14"/>
  <c r="A3" i="14"/>
  <c r="A1" i="14"/>
  <c r="A113" i="13"/>
  <c r="A112" i="13"/>
  <c r="A111" i="13"/>
  <c r="A110" i="13"/>
  <c r="A109" i="13"/>
  <c r="A108" i="13"/>
  <c r="A107" i="13"/>
  <c r="G106" i="13"/>
  <c r="E106" i="13"/>
  <c r="A105" i="13"/>
  <c r="A104" i="13"/>
  <c r="A101" i="13"/>
  <c r="A100" i="13"/>
  <c r="A99" i="13"/>
  <c r="A98" i="13"/>
  <c r="D100" i="13"/>
  <c r="A97" i="13"/>
  <c r="A96" i="13"/>
  <c r="I100" i="13"/>
  <c r="H100" i="13"/>
  <c r="A95" i="13"/>
  <c r="F93" i="13"/>
  <c r="A94" i="13"/>
  <c r="A93" i="13"/>
  <c r="G93" i="13"/>
  <c r="D93" i="13"/>
  <c r="C93" i="13"/>
  <c r="A92" i="13"/>
  <c r="A91" i="13"/>
  <c r="A90" i="13"/>
  <c r="A89" i="13"/>
  <c r="H93" i="13"/>
  <c r="A88" i="13"/>
  <c r="I93" i="13"/>
  <c r="A87" i="13"/>
  <c r="G86" i="13"/>
  <c r="F86" i="13"/>
  <c r="B86" i="13"/>
  <c r="A85" i="13"/>
  <c r="A84" i="13"/>
  <c r="A81" i="13"/>
  <c r="A80" i="13"/>
  <c r="A79" i="13"/>
  <c r="A78" i="13"/>
  <c r="A77" i="13"/>
  <c r="A76" i="13"/>
  <c r="A75" i="13"/>
  <c r="A74" i="13"/>
  <c r="A73" i="13"/>
  <c r="A72" i="13"/>
  <c r="A71" i="13"/>
  <c r="A70" i="13"/>
  <c r="A69" i="13"/>
  <c r="A68" i="13"/>
  <c r="I68" i="13"/>
  <c r="I74" i="13" s="1"/>
  <c r="I77" i="13" s="1"/>
  <c r="I79" i="13" s="1"/>
  <c r="I81" i="13" s="1"/>
  <c r="A67" i="13"/>
  <c r="F68" i="13"/>
  <c r="F74" i="13" s="1"/>
  <c r="F77" i="13" s="1"/>
  <c r="F79" i="13" s="1"/>
  <c r="F81" i="13" s="1"/>
  <c r="A66" i="13"/>
  <c r="A65" i="13"/>
  <c r="G68" i="13"/>
  <c r="G74" i="13" s="1"/>
  <c r="G77" i="13" s="1"/>
  <c r="G79" i="13" s="1"/>
  <c r="G81" i="13" s="1"/>
  <c r="E68" i="13"/>
  <c r="E74" i="13" s="1"/>
  <c r="E77" i="13" s="1"/>
  <c r="E79" i="13" s="1"/>
  <c r="E81" i="13" s="1"/>
  <c r="D68" i="13"/>
  <c r="D74" i="13" s="1"/>
  <c r="D77" i="13" s="1"/>
  <c r="C68" i="13"/>
  <c r="C74" i="13" s="1"/>
  <c r="C77" i="13" s="1"/>
  <c r="A64" i="13"/>
  <c r="A60" i="13"/>
  <c r="A59" i="13"/>
  <c r="A57" i="13"/>
  <c r="A56" i="13"/>
  <c r="A55" i="13"/>
  <c r="A54" i="13"/>
  <c r="A53" i="13"/>
  <c r="A52" i="13"/>
  <c r="A51" i="13"/>
  <c r="G50" i="13"/>
  <c r="E50" i="13"/>
  <c r="B50" i="13"/>
  <c r="A49" i="13"/>
  <c r="A48" i="13"/>
  <c r="A45" i="13"/>
  <c r="D44" i="13"/>
  <c r="A44" i="13"/>
  <c r="A43" i="13"/>
  <c r="A42" i="13"/>
  <c r="A41" i="13"/>
  <c r="I44" i="13"/>
  <c r="A40" i="13"/>
  <c r="H44" i="13"/>
  <c r="A39" i="13"/>
  <c r="G44" i="13"/>
  <c r="E37" i="13"/>
  <c r="A38" i="13"/>
  <c r="A37" i="13"/>
  <c r="D37" i="13"/>
  <c r="C37" i="13"/>
  <c r="A36" i="13"/>
  <c r="A35" i="13"/>
  <c r="A34" i="13"/>
  <c r="H37" i="13"/>
  <c r="A33" i="13"/>
  <c r="A32" i="13"/>
  <c r="I37" i="13"/>
  <c r="A31" i="13"/>
  <c r="I30" i="13"/>
  <c r="H30" i="13"/>
  <c r="G30" i="13"/>
  <c r="F30" i="13"/>
  <c r="F106" i="13" s="1"/>
  <c r="E30" i="13"/>
  <c r="E86" i="13" s="1"/>
  <c r="D30" i="13"/>
  <c r="D106" i="13" s="1"/>
  <c r="C30" i="13"/>
  <c r="B30" i="13"/>
  <c r="B106" i="13" s="1"/>
  <c r="A29" i="13"/>
  <c r="A28" i="13"/>
  <c r="A25" i="13"/>
  <c r="A24" i="13"/>
  <c r="A23" i="13"/>
  <c r="A22" i="13"/>
  <c r="A21" i="13"/>
  <c r="A20" i="13"/>
  <c r="A19" i="13"/>
  <c r="A18" i="13"/>
  <c r="A17" i="13"/>
  <c r="A16" i="13"/>
  <c r="A15" i="13"/>
  <c r="A14" i="13"/>
  <c r="A13" i="13"/>
  <c r="I12" i="13"/>
  <c r="I18" i="13" s="1"/>
  <c r="I21" i="13" s="1"/>
  <c r="I23" i="13" s="1"/>
  <c r="I25" i="13" s="1"/>
  <c r="A12" i="13"/>
  <c r="A11" i="13"/>
  <c r="F12" i="13"/>
  <c r="F18" i="13" s="1"/>
  <c r="F21" i="13" s="1"/>
  <c r="F23" i="13" s="1"/>
  <c r="F25" i="13" s="1"/>
  <c r="A10" i="13"/>
  <c r="A9" i="13"/>
  <c r="H12" i="13"/>
  <c r="H18" i="13" s="1"/>
  <c r="H21" i="13" s="1"/>
  <c r="H23" i="13" s="1"/>
  <c r="H25" i="13" s="1"/>
  <c r="G12" i="13"/>
  <c r="G18" i="13" s="1"/>
  <c r="G21" i="13" s="1"/>
  <c r="E12" i="13"/>
  <c r="D12" i="13"/>
  <c r="D18" i="13" s="1"/>
  <c r="D21" i="13" s="1"/>
  <c r="D23" i="13" s="1"/>
  <c r="D25" i="13" s="1"/>
  <c r="B12" i="13"/>
  <c r="B18" i="13" s="1"/>
  <c r="A8" i="13"/>
  <c r="F6" i="13"/>
  <c r="F62" i="13" s="1"/>
  <c r="B6" i="13"/>
  <c r="B62" i="13" s="1"/>
  <c r="A4" i="13"/>
  <c r="A3" i="13"/>
  <c r="A1" i="13"/>
  <c r="A169" i="12"/>
  <c r="A168" i="12"/>
  <c r="A167" i="12"/>
  <c r="A166" i="12"/>
  <c r="A165" i="12"/>
  <c r="A164" i="12"/>
  <c r="A163" i="12"/>
  <c r="G162" i="12"/>
  <c r="F162" i="12"/>
  <c r="B162" i="12"/>
  <c r="A161" i="12"/>
  <c r="A160" i="12"/>
  <c r="A157" i="12"/>
  <c r="F156" i="12"/>
  <c r="E156" i="12"/>
  <c r="A156" i="12"/>
  <c r="A154" i="12"/>
  <c r="A153" i="12"/>
  <c r="A152" i="12"/>
  <c r="I156" i="12"/>
  <c r="A151" i="12"/>
  <c r="D156" i="12"/>
  <c r="C156" i="12"/>
  <c r="B156" i="12"/>
  <c r="A150" i="12"/>
  <c r="F149" i="12"/>
  <c r="C149" i="12"/>
  <c r="A149" i="12"/>
  <c r="E149" i="12"/>
  <c r="A148" i="12"/>
  <c r="A146" i="12"/>
  <c r="A145" i="12"/>
  <c r="A144" i="12"/>
  <c r="A143" i="12"/>
  <c r="G142" i="12"/>
  <c r="F142" i="12"/>
  <c r="E142" i="12"/>
  <c r="B142" i="12"/>
  <c r="A141" i="12"/>
  <c r="A140" i="12"/>
  <c r="C137" i="12"/>
  <c r="A137" i="12"/>
  <c r="A136" i="12"/>
  <c r="A135" i="12"/>
  <c r="A134" i="12"/>
  <c r="A133" i="12"/>
  <c r="A132" i="12"/>
  <c r="A131" i="12"/>
  <c r="H130" i="12"/>
  <c r="H133" i="12" s="1"/>
  <c r="H135" i="12" s="1"/>
  <c r="H137" i="12" s="1"/>
  <c r="A130" i="12"/>
  <c r="A129" i="12"/>
  <c r="A128" i="12"/>
  <c r="A127" i="12"/>
  <c r="A126" i="12"/>
  <c r="A125" i="12"/>
  <c r="H124" i="12"/>
  <c r="A124" i="12"/>
  <c r="A123" i="12"/>
  <c r="E124" i="12"/>
  <c r="A122" i="12"/>
  <c r="I124" i="12"/>
  <c r="I130" i="12" s="1"/>
  <c r="I133" i="12" s="1"/>
  <c r="I135" i="12" s="1"/>
  <c r="I137" i="12" s="1"/>
  <c r="A121" i="12"/>
  <c r="C124" i="12"/>
  <c r="C130" i="12" s="1"/>
  <c r="C133" i="12" s="1"/>
  <c r="C135" i="12" s="1"/>
  <c r="A120" i="12"/>
  <c r="B118" i="12"/>
  <c r="A116" i="12"/>
  <c r="A115" i="12"/>
  <c r="A113" i="12"/>
  <c r="A112" i="12"/>
  <c r="A111" i="12"/>
  <c r="A110" i="12"/>
  <c r="A109" i="12"/>
  <c r="H67" i="24"/>
  <c r="F67" i="24"/>
  <c r="B67" i="24"/>
  <c r="A108" i="12"/>
  <c r="A107" i="12"/>
  <c r="G106" i="12"/>
  <c r="F106" i="12"/>
  <c r="D106" i="12"/>
  <c r="A105" i="12"/>
  <c r="A104" i="12"/>
  <c r="A101" i="12"/>
  <c r="H100" i="12"/>
  <c r="G100" i="12"/>
  <c r="A100" i="12"/>
  <c r="A98" i="12"/>
  <c r="I100" i="12"/>
  <c r="A97" i="12"/>
  <c r="C100" i="12"/>
  <c r="A96" i="12"/>
  <c r="A95" i="12"/>
  <c r="D100" i="12"/>
  <c r="B100" i="12"/>
  <c r="A94" i="12"/>
  <c r="A93" i="12"/>
  <c r="I93" i="12"/>
  <c r="C93" i="12"/>
  <c r="A92" i="12"/>
  <c r="A90" i="12"/>
  <c r="A89" i="12"/>
  <c r="A88" i="12"/>
  <c r="A87" i="12"/>
  <c r="F86" i="12"/>
  <c r="E86" i="12"/>
  <c r="C86" i="12"/>
  <c r="A85" i="12"/>
  <c r="A84" i="12"/>
  <c r="G81" i="12"/>
  <c r="A81" i="12"/>
  <c r="A80" i="12"/>
  <c r="G79" i="12"/>
  <c r="A79" i="12"/>
  <c r="A78" i="12"/>
  <c r="A77" i="12"/>
  <c r="A76" i="12"/>
  <c r="A75" i="12"/>
  <c r="A74" i="12"/>
  <c r="A73" i="12"/>
  <c r="A72" i="12"/>
  <c r="A71" i="12"/>
  <c r="A70" i="12"/>
  <c r="A69" i="12"/>
  <c r="A68" i="12"/>
  <c r="C68" i="12"/>
  <c r="C74" i="12" s="1"/>
  <c r="C77" i="12" s="1"/>
  <c r="C79" i="12" s="1"/>
  <c r="C81" i="12" s="1"/>
  <c r="A67" i="12"/>
  <c r="A66" i="12"/>
  <c r="A65" i="12"/>
  <c r="G68" i="12"/>
  <c r="G74" i="12" s="1"/>
  <c r="G77" i="12" s="1"/>
  <c r="B68" i="12"/>
  <c r="B74" i="12" s="1"/>
  <c r="B77" i="12" s="1"/>
  <c r="B79" i="12" s="1"/>
  <c r="B81" i="12" s="1"/>
  <c r="A64" i="12"/>
  <c r="A60" i="12"/>
  <c r="A59" i="12"/>
  <c r="A57" i="12"/>
  <c r="A56" i="12"/>
  <c r="A55" i="12"/>
  <c r="A54" i="12"/>
  <c r="A53" i="12"/>
  <c r="A52" i="12"/>
  <c r="A51" i="12"/>
  <c r="F50" i="12"/>
  <c r="E50" i="12"/>
  <c r="D50" i="12"/>
  <c r="B50" i="12"/>
  <c r="A49" i="12"/>
  <c r="A48" i="12"/>
  <c r="A45" i="12"/>
  <c r="A44" i="12"/>
  <c r="A42" i="12"/>
  <c r="H44" i="12"/>
  <c r="A41" i="12"/>
  <c r="I44" i="12"/>
  <c r="G44" i="12"/>
  <c r="A40" i="12"/>
  <c r="E44" i="12"/>
  <c r="B44" i="12"/>
  <c r="A39" i="12"/>
  <c r="F44" i="12"/>
  <c r="A38" i="12"/>
  <c r="H37" i="12"/>
  <c r="E37" i="12"/>
  <c r="C37" i="12"/>
  <c r="B37" i="12"/>
  <c r="A37" i="12"/>
  <c r="A36" i="12"/>
  <c r="A34" i="12"/>
  <c r="A33" i="12"/>
  <c r="G37" i="12"/>
  <c r="A32" i="12"/>
  <c r="D37" i="12"/>
  <c r="A31" i="12"/>
  <c r="I30" i="12"/>
  <c r="H30" i="12"/>
  <c r="G30" i="12"/>
  <c r="G50" i="12" s="1"/>
  <c r="F30" i="12"/>
  <c r="E30" i="12"/>
  <c r="E162" i="12" s="1"/>
  <c r="D30" i="12"/>
  <c r="D86" i="12" s="1"/>
  <c r="C30" i="12"/>
  <c r="C50" i="12" s="1"/>
  <c r="B30" i="12"/>
  <c r="A29" i="12"/>
  <c r="A28" i="12"/>
  <c r="G25" i="12"/>
  <c r="A25" i="12"/>
  <c r="A24" i="12"/>
  <c r="A23" i="12"/>
  <c r="A22" i="12"/>
  <c r="I21" i="12"/>
  <c r="I23" i="12" s="1"/>
  <c r="I25" i="12" s="1"/>
  <c r="A21" i="12"/>
  <c r="A20" i="12"/>
  <c r="H21" i="12"/>
  <c r="H23" i="12" s="1"/>
  <c r="H25" i="12" s="1"/>
  <c r="A19" i="12"/>
  <c r="A18" i="12"/>
  <c r="A17" i="12"/>
  <c r="A16" i="12"/>
  <c r="A15" i="12"/>
  <c r="A14" i="12"/>
  <c r="A13" i="12"/>
  <c r="H12" i="12"/>
  <c r="H18" i="12" s="1"/>
  <c r="G12" i="12"/>
  <c r="G18" i="12" s="1"/>
  <c r="G21" i="12" s="1"/>
  <c r="G23" i="12" s="1"/>
  <c r="A12" i="12"/>
  <c r="A11" i="12"/>
  <c r="I12" i="12"/>
  <c r="I18" i="12" s="1"/>
  <c r="A10" i="12"/>
  <c r="E12" i="12"/>
  <c r="E18" i="12" s="1"/>
  <c r="E21" i="12" s="1"/>
  <c r="E23" i="12" s="1"/>
  <c r="E25" i="12" s="1"/>
  <c r="A9" i="12"/>
  <c r="F12" i="12"/>
  <c r="F18" i="12" s="1"/>
  <c r="F21" i="12" s="1"/>
  <c r="F23" i="12" s="1"/>
  <c r="F25" i="12" s="1"/>
  <c r="D12" i="12"/>
  <c r="D18" i="12" s="1"/>
  <c r="D21" i="12" s="1"/>
  <c r="D23" i="12" s="1"/>
  <c r="D25" i="12" s="1"/>
  <c r="B12" i="12"/>
  <c r="B18" i="12" s="1"/>
  <c r="B21" i="12" s="1"/>
  <c r="B23" i="12" s="1"/>
  <c r="B25" i="12" s="1"/>
  <c r="A8" i="12"/>
  <c r="F6" i="12"/>
  <c r="B6" i="12"/>
  <c r="B62" i="12" s="1"/>
  <c r="A4" i="12"/>
  <c r="A3" i="12"/>
  <c r="A1" i="12"/>
  <c r="A169" i="11"/>
  <c r="A168" i="11"/>
  <c r="A167" i="11"/>
  <c r="A166" i="11"/>
  <c r="A165" i="11"/>
  <c r="A164" i="11"/>
  <c r="A163" i="11"/>
  <c r="H162" i="11"/>
  <c r="G162" i="11"/>
  <c r="E162" i="11"/>
  <c r="D162" i="11"/>
  <c r="C162" i="11"/>
  <c r="B162" i="11"/>
  <c r="A161" i="11"/>
  <c r="A160" i="11"/>
  <c r="A157" i="11"/>
  <c r="D156" i="11"/>
  <c r="A156" i="11"/>
  <c r="A154" i="11"/>
  <c r="F156" i="11"/>
  <c r="A153" i="11"/>
  <c r="A152" i="11"/>
  <c r="G156" i="11"/>
  <c r="A151" i="11"/>
  <c r="I156" i="11"/>
  <c r="H149" i="11"/>
  <c r="B156" i="11"/>
  <c r="A150" i="11"/>
  <c r="A149" i="11"/>
  <c r="A148" i="11"/>
  <c r="A146" i="11"/>
  <c r="A145" i="11"/>
  <c r="A144" i="11"/>
  <c r="I149" i="11"/>
  <c r="A143" i="11"/>
  <c r="H142" i="11"/>
  <c r="G142" i="11"/>
  <c r="C142" i="11"/>
  <c r="B142" i="11"/>
  <c r="A141" i="11"/>
  <c r="A140" i="11"/>
  <c r="D137" i="11"/>
  <c r="A137" i="11"/>
  <c r="A136" i="11"/>
  <c r="D135" i="11"/>
  <c r="A135" i="11"/>
  <c r="A134" i="11"/>
  <c r="A133" i="11"/>
  <c r="A132" i="11"/>
  <c r="A131" i="11"/>
  <c r="A130" i="11"/>
  <c r="A129" i="11"/>
  <c r="A128" i="11"/>
  <c r="A127" i="11"/>
  <c r="A126" i="11"/>
  <c r="A125" i="11"/>
  <c r="I124" i="11"/>
  <c r="I130" i="11" s="1"/>
  <c r="I133" i="11" s="1"/>
  <c r="I135" i="11" s="1"/>
  <c r="I137" i="11" s="1"/>
  <c r="G124" i="11"/>
  <c r="G130" i="11" s="1"/>
  <c r="F124" i="11"/>
  <c r="F130" i="11" s="1"/>
  <c r="F133" i="11" s="1"/>
  <c r="F135" i="11" s="1"/>
  <c r="F137" i="11" s="1"/>
  <c r="A124" i="11"/>
  <c r="A123" i="11"/>
  <c r="H124" i="11"/>
  <c r="H130" i="11" s="1"/>
  <c r="H133" i="11" s="1"/>
  <c r="H135" i="11" s="1"/>
  <c r="H137" i="11" s="1"/>
  <c r="A122" i="11"/>
  <c r="D124" i="11"/>
  <c r="D130" i="11" s="1"/>
  <c r="D133" i="11" s="1"/>
  <c r="A121" i="11"/>
  <c r="E124" i="11"/>
  <c r="E130" i="11" s="1"/>
  <c r="E133" i="11" s="1"/>
  <c r="E135" i="11" s="1"/>
  <c r="E137" i="11" s="1"/>
  <c r="C124" i="11"/>
  <c r="C130" i="11" s="1"/>
  <c r="C133" i="11" s="1"/>
  <c r="C135" i="11" s="1"/>
  <c r="C137" i="11" s="1"/>
  <c r="B124" i="11"/>
  <c r="B130" i="11" s="1"/>
  <c r="B133" i="11" s="1"/>
  <c r="B135" i="11" s="1"/>
  <c r="B137" i="11" s="1"/>
  <c r="A120" i="11"/>
  <c r="A116" i="11"/>
  <c r="A115" i="11"/>
  <c r="A113" i="11"/>
  <c r="A112" i="11"/>
  <c r="A111" i="11"/>
  <c r="A110" i="11"/>
  <c r="A109" i="11"/>
  <c r="A108" i="11"/>
  <c r="A107" i="11"/>
  <c r="H106" i="11"/>
  <c r="G106" i="11"/>
  <c r="E106" i="11"/>
  <c r="C106" i="11"/>
  <c r="B106" i="11"/>
  <c r="A105" i="11"/>
  <c r="A104" i="11"/>
  <c r="A101" i="11"/>
  <c r="B100" i="11"/>
  <c r="A100" i="11"/>
  <c r="A98" i="11"/>
  <c r="D100" i="11"/>
  <c r="A97" i="11"/>
  <c r="A96" i="11"/>
  <c r="E100" i="11"/>
  <c r="A95" i="11"/>
  <c r="I100" i="11"/>
  <c r="G100" i="11"/>
  <c r="F93" i="11"/>
  <c r="C93" i="11"/>
  <c r="B93" i="11"/>
  <c r="A94" i="11"/>
  <c r="H93" i="11"/>
  <c r="A93" i="11"/>
  <c r="D93" i="11"/>
  <c r="A92" i="11"/>
  <c r="A90" i="11"/>
  <c r="A89" i="11"/>
  <c r="A88" i="11"/>
  <c r="I93" i="11"/>
  <c r="G93" i="11"/>
  <c r="A87" i="11"/>
  <c r="H86" i="11"/>
  <c r="F86" i="11"/>
  <c r="E86" i="11"/>
  <c r="B86" i="11"/>
  <c r="A85" i="11"/>
  <c r="A84" i="11"/>
  <c r="B81" i="11"/>
  <c r="A81" i="11"/>
  <c r="A80" i="11"/>
  <c r="B79" i="11"/>
  <c r="A79" i="11"/>
  <c r="A78" i="11"/>
  <c r="A77" i="11"/>
  <c r="A76" i="11"/>
  <c r="A75" i="11"/>
  <c r="A74" i="11"/>
  <c r="A73" i="11"/>
  <c r="A72" i="11"/>
  <c r="A71" i="11"/>
  <c r="A70" i="11"/>
  <c r="A69" i="11"/>
  <c r="G68" i="11"/>
  <c r="G74" i="11" s="1"/>
  <c r="G77" i="11" s="1"/>
  <c r="G79" i="11" s="1"/>
  <c r="G81" i="11" s="1"/>
  <c r="E68" i="11"/>
  <c r="E74" i="11" s="1"/>
  <c r="E77" i="11" s="1"/>
  <c r="E79" i="11" s="1"/>
  <c r="E81" i="11" s="1"/>
  <c r="D68" i="11"/>
  <c r="D74" i="11" s="1"/>
  <c r="D77" i="11" s="1"/>
  <c r="D79" i="11" s="1"/>
  <c r="D81" i="11" s="1"/>
  <c r="A68" i="11"/>
  <c r="A67" i="11"/>
  <c r="F68" i="11"/>
  <c r="F74" i="11" s="1"/>
  <c r="F77" i="11" s="1"/>
  <c r="F79" i="11" s="1"/>
  <c r="F81" i="11" s="1"/>
  <c r="A66" i="11"/>
  <c r="B68" i="11"/>
  <c r="B74" i="11" s="1"/>
  <c r="B77" i="11" s="1"/>
  <c r="A65" i="11"/>
  <c r="I68" i="11"/>
  <c r="I74" i="11" s="1"/>
  <c r="I77" i="11" s="1"/>
  <c r="I79" i="11" s="1"/>
  <c r="H68" i="11"/>
  <c r="H74" i="11" s="1"/>
  <c r="C68" i="11"/>
  <c r="C74" i="11" s="1"/>
  <c r="C77" i="11" s="1"/>
  <c r="C79" i="11" s="1"/>
  <c r="C81" i="11" s="1"/>
  <c r="A64" i="11"/>
  <c r="F62" i="11"/>
  <c r="A60" i="11"/>
  <c r="A59" i="11"/>
  <c r="A57" i="11"/>
  <c r="A56" i="11"/>
  <c r="A55" i="11"/>
  <c r="A54" i="11"/>
  <c r="A53" i="11"/>
  <c r="A52" i="11"/>
  <c r="A51" i="11"/>
  <c r="H50" i="11"/>
  <c r="G50" i="11"/>
  <c r="E50" i="11"/>
  <c r="A49" i="11"/>
  <c r="A48" i="11"/>
  <c r="A45" i="11"/>
  <c r="C44" i="11"/>
  <c r="B44" i="11"/>
  <c r="A44" i="11"/>
  <c r="A42" i="11"/>
  <c r="A41" i="11"/>
  <c r="A40" i="11"/>
  <c r="H44" i="11"/>
  <c r="A39" i="11"/>
  <c r="A38" i="11"/>
  <c r="I37" i="11"/>
  <c r="H37" i="11"/>
  <c r="G37" i="11"/>
  <c r="A37" i="11"/>
  <c r="A36" i="11"/>
  <c r="A34" i="11"/>
  <c r="A33" i="11"/>
  <c r="A32" i="11"/>
  <c r="F37" i="11"/>
  <c r="E37" i="11"/>
  <c r="A31" i="11"/>
  <c r="I30" i="11"/>
  <c r="I50" i="11" s="1"/>
  <c r="H30" i="11"/>
  <c r="G30" i="11"/>
  <c r="G86" i="11" s="1"/>
  <c r="F30" i="11"/>
  <c r="F50" i="11" s="1"/>
  <c r="E30" i="11"/>
  <c r="E142" i="11" s="1"/>
  <c r="D30" i="11"/>
  <c r="D50" i="11" s="1"/>
  <c r="C30" i="11"/>
  <c r="C50" i="11" s="1"/>
  <c r="B30" i="11"/>
  <c r="B50" i="11" s="1"/>
  <c r="A29" i="11"/>
  <c r="A28" i="11"/>
  <c r="A25" i="11"/>
  <c r="A24" i="11"/>
  <c r="A23" i="11"/>
  <c r="A22" i="11"/>
  <c r="A21" i="11"/>
  <c r="A20" i="11"/>
  <c r="C21" i="11"/>
  <c r="C23" i="11" s="1"/>
  <c r="C25" i="11" s="1"/>
  <c r="A19" i="11"/>
  <c r="A18" i="11"/>
  <c r="A17" i="11"/>
  <c r="A16" i="11"/>
  <c r="A15" i="11"/>
  <c r="A14" i="11"/>
  <c r="A13" i="11"/>
  <c r="G12" i="11"/>
  <c r="G18" i="11" s="1"/>
  <c r="G21" i="11" s="1"/>
  <c r="G23" i="11" s="1"/>
  <c r="G25" i="11" s="1"/>
  <c r="C12" i="11"/>
  <c r="C18" i="11" s="1"/>
  <c r="A12" i="11"/>
  <c r="A11" i="11"/>
  <c r="E12" i="11"/>
  <c r="E18" i="11" s="1"/>
  <c r="E21" i="11" s="1"/>
  <c r="E23" i="11" s="1"/>
  <c r="E25" i="11" s="1"/>
  <c r="D12" i="11"/>
  <c r="D18" i="11" s="1"/>
  <c r="D21" i="11" s="1"/>
  <c r="D23" i="11" s="1"/>
  <c r="D25" i="11" s="1"/>
  <c r="A10" i="11"/>
  <c r="B12" i="11"/>
  <c r="B18" i="11" s="1"/>
  <c r="B21" i="11" s="1"/>
  <c r="B23" i="11" s="1"/>
  <c r="B25" i="11" s="1"/>
  <c r="A9" i="11"/>
  <c r="F12" i="11"/>
  <c r="F18" i="11" s="1"/>
  <c r="F21" i="11" s="1"/>
  <c r="F23" i="11" s="1"/>
  <c r="F25" i="11" s="1"/>
  <c r="A8" i="11"/>
  <c r="F6" i="11"/>
  <c r="F118" i="11" s="1"/>
  <c r="B6" i="11"/>
  <c r="A4" i="11"/>
  <c r="A3" i="11"/>
  <c r="A1" i="11"/>
  <c r="A169" i="10"/>
  <c r="A168" i="10"/>
  <c r="A167" i="10"/>
  <c r="A166" i="10"/>
  <c r="A165" i="10"/>
  <c r="A164" i="10"/>
  <c r="A163" i="10"/>
  <c r="E162" i="10"/>
  <c r="C162" i="10"/>
  <c r="B162" i="10"/>
  <c r="A161" i="10"/>
  <c r="A160" i="10"/>
  <c r="A157" i="10"/>
  <c r="C156" i="10"/>
  <c r="A156" i="10"/>
  <c r="A154" i="10"/>
  <c r="H156" i="10"/>
  <c r="A153" i="10"/>
  <c r="A152" i="10"/>
  <c r="G156" i="10"/>
  <c r="B156" i="10"/>
  <c r="A151" i="10"/>
  <c r="I156" i="10"/>
  <c r="F156" i="10"/>
  <c r="D156" i="10"/>
  <c r="A150" i="10"/>
  <c r="I149" i="10"/>
  <c r="H149" i="10"/>
  <c r="G149" i="10"/>
  <c r="A149" i="10"/>
  <c r="A148" i="10"/>
  <c r="A146" i="10"/>
  <c r="A145" i="10"/>
  <c r="A144" i="10"/>
  <c r="F149" i="10"/>
  <c r="E149" i="10"/>
  <c r="D149" i="10"/>
  <c r="A143" i="10"/>
  <c r="E142" i="10"/>
  <c r="C142" i="10"/>
  <c r="B142" i="10"/>
  <c r="A141" i="10"/>
  <c r="A140" i="10"/>
  <c r="A137" i="10"/>
  <c r="A136" i="10"/>
  <c r="A135" i="10"/>
  <c r="A134" i="10"/>
  <c r="A133" i="10"/>
  <c r="A132" i="10"/>
  <c r="B133" i="10"/>
  <c r="B135" i="10" s="1"/>
  <c r="B137" i="10" s="1"/>
  <c r="A131" i="10"/>
  <c r="A130" i="10"/>
  <c r="A129" i="10"/>
  <c r="A128" i="10"/>
  <c r="A127" i="10"/>
  <c r="A126" i="10"/>
  <c r="A125" i="10"/>
  <c r="F124" i="10"/>
  <c r="F130" i="10" s="1"/>
  <c r="F133" i="10" s="1"/>
  <c r="F135" i="10" s="1"/>
  <c r="F137" i="10" s="1"/>
  <c r="B124" i="10"/>
  <c r="B130" i="10" s="1"/>
  <c r="A124" i="10"/>
  <c r="A123" i="10"/>
  <c r="D124" i="10"/>
  <c r="D130" i="10" s="1"/>
  <c r="D133" i="10" s="1"/>
  <c r="D135" i="10" s="1"/>
  <c r="D137" i="10" s="1"/>
  <c r="C124" i="10"/>
  <c r="C130" i="10" s="1"/>
  <c r="C133" i="10" s="1"/>
  <c r="C135" i="10" s="1"/>
  <c r="C137" i="10" s="1"/>
  <c r="A122" i="10"/>
  <c r="A121" i="10"/>
  <c r="I124" i="10"/>
  <c r="I130" i="10" s="1"/>
  <c r="E124" i="10"/>
  <c r="E130" i="10" s="1"/>
  <c r="E133" i="10" s="1"/>
  <c r="E135" i="10" s="1"/>
  <c r="E137" i="10" s="1"/>
  <c r="A120" i="10"/>
  <c r="F118" i="10"/>
  <c r="B118" i="10"/>
  <c r="A116" i="10"/>
  <c r="A115" i="10"/>
  <c r="A113" i="10"/>
  <c r="A112" i="10"/>
  <c r="A111" i="10"/>
  <c r="A110" i="10"/>
  <c r="A109" i="10"/>
  <c r="H65" i="24"/>
  <c r="A108" i="10"/>
  <c r="A107" i="10"/>
  <c r="E106" i="10"/>
  <c r="C106" i="10"/>
  <c r="B106" i="10"/>
  <c r="A105" i="10"/>
  <c r="A104" i="10"/>
  <c r="A101" i="10"/>
  <c r="E100" i="10"/>
  <c r="A100" i="10"/>
  <c r="A98" i="10"/>
  <c r="A97" i="10"/>
  <c r="A96" i="10"/>
  <c r="C100" i="10"/>
  <c r="A95" i="10"/>
  <c r="G100" i="10"/>
  <c r="B93" i="10"/>
  <c r="A94" i="10"/>
  <c r="F93" i="10"/>
  <c r="E93" i="10"/>
  <c r="D93" i="10"/>
  <c r="C93" i="10"/>
  <c r="A93" i="10"/>
  <c r="A92" i="10"/>
  <c r="A90" i="10"/>
  <c r="A89" i="10"/>
  <c r="G93" i="10"/>
  <c r="A88" i="10"/>
  <c r="A87" i="10"/>
  <c r="I86" i="10"/>
  <c r="C86" i="10"/>
  <c r="A85" i="10"/>
  <c r="A84" i="10"/>
  <c r="A81" i="10"/>
  <c r="A80" i="10"/>
  <c r="A79" i="10"/>
  <c r="A78" i="10"/>
  <c r="A77" i="10"/>
  <c r="A76" i="10"/>
  <c r="A75" i="10"/>
  <c r="A74" i="10"/>
  <c r="A73" i="10"/>
  <c r="A72" i="10"/>
  <c r="A71" i="10"/>
  <c r="A70" i="10"/>
  <c r="A69" i="10"/>
  <c r="A68" i="10"/>
  <c r="I68" i="10"/>
  <c r="I74" i="10" s="1"/>
  <c r="I77" i="10" s="1"/>
  <c r="I79" i="10" s="1"/>
  <c r="I81" i="10" s="1"/>
  <c r="B68" i="10"/>
  <c r="B74" i="10" s="1"/>
  <c r="B77" i="10" s="1"/>
  <c r="B79" i="10" s="1"/>
  <c r="B81" i="10" s="1"/>
  <c r="A67" i="10"/>
  <c r="A66" i="10"/>
  <c r="D68" i="10"/>
  <c r="D74" i="10" s="1"/>
  <c r="D77" i="10" s="1"/>
  <c r="D79" i="10" s="1"/>
  <c r="D81" i="10" s="1"/>
  <c r="A65" i="10"/>
  <c r="H68" i="10"/>
  <c r="H74" i="10" s="1"/>
  <c r="H77" i="10" s="1"/>
  <c r="H79" i="10" s="1"/>
  <c r="H81" i="10" s="1"/>
  <c r="G68" i="10"/>
  <c r="G74" i="10" s="1"/>
  <c r="G77" i="10" s="1"/>
  <c r="G79" i="10" s="1"/>
  <c r="G81" i="10" s="1"/>
  <c r="F68" i="10"/>
  <c r="E68" i="10"/>
  <c r="E74" i="10" s="1"/>
  <c r="E77" i="10" s="1"/>
  <c r="E79" i="10" s="1"/>
  <c r="E81" i="10" s="1"/>
  <c r="C68" i="10"/>
  <c r="C74" i="10" s="1"/>
  <c r="C77" i="10" s="1"/>
  <c r="C79" i="10" s="1"/>
  <c r="C81" i="10" s="1"/>
  <c r="A64" i="10"/>
  <c r="F62" i="10"/>
  <c r="B62" i="10"/>
  <c r="A60" i="10"/>
  <c r="A59" i="10"/>
  <c r="A57" i="10"/>
  <c r="A56" i="10"/>
  <c r="A55" i="10"/>
  <c r="A54" i="10"/>
  <c r="A53" i="10"/>
  <c r="A52" i="10"/>
  <c r="A51" i="10"/>
  <c r="E50" i="10"/>
  <c r="C50" i="10"/>
  <c r="B50" i="10"/>
  <c r="A49" i="10"/>
  <c r="A48" i="10"/>
  <c r="A45" i="10"/>
  <c r="A44" i="10"/>
  <c r="A42" i="10"/>
  <c r="A41" i="10"/>
  <c r="A40" i="10"/>
  <c r="A39" i="10"/>
  <c r="I44" i="10"/>
  <c r="H44" i="10"/>
  <c r="A38" i="10"/>
  <c r="D37" i="10"/>
  <c r="C37" i="10"/>
  <c r="B37" i="10"/>
  <c r="A37" i="10"/>
  <c r="F37" i="10"/>
  <c r="A36" i="10"/>
  <c r="A34" i="10"/>
  <c r="A33" i="10"/>
  <c r="H37" i="10"/>
  <c r="A32" i="10"/>
  <c r="A31" i="10"/>
  <c r="I30" i="10"/>
  <c r="H30" i="10"/>
  <c r="H86" i="10" s="1"/>
  <c r="G30" i="10"/>
  <c r="F30" i="10"/>
  <c r="E30" i="10"/>
  <c r="E86" i="10" s="1"/>
  <c r="D30" i="10"/>
  <c r="C30" i="10"/>
  <c r="B30" i="10"/>
  <c r="B86" i="10" s="1"/>
  <c r="A29" i="10"/>
  <c r="A28" i="10"/>
  <c r="A25" i="10"/>
  <c r="A24" i="10"/>
  <c r="A23" i="10"/>
  <c r="A22" i="10"/>
  <c r="A21" i="10"/>
  <c r="A20" i="10"/>
  <c r="A19" i="10"/>
  <c r="A18" i="10"/>
  <c r="A17" i="10"/>
  <c r="A16" i="10"/>
  <c r="A15" i="10"/>
  <c r="A14" i="10"/>
  <c r="A13" i="10"/>
  <c r="E12" i="10"/>
  <c r="E18" i="10" s="1"/>
  <c r="E21" i="10" s="1"/>
  <c r="E23" i="10" s="1"/>
  <c r="E25" i="10" s="1"/>
  <c r="A12" i="10"/>
  <c r="A11" i="10"/>
  <c r="G12" i="10"/>
  <c r="G18" i="10" s="1"/>
  <c r="B12" i="10"/>
  <c r="B18" i="10" s="1"/>
  <c r="B21" i="10" s="1"/>
  <c r="B23" i="10" s="1"/>
  <c r="B25" i="10" s="1"/>
  <c r="A10" i="10"/>
  <c r="A9" i="10"/>
  <c r="H12" i="10"/>
  <c r="H18" i="10" s="1"/>
  <c r="H21" i="10" s="1"/>
  <c r="H23" i="10" s="1"/>
  <c r="H25" i="10" s="1"/>
  <c r="F12" i="10"/>
  <c r="F18" i="10" s="1"/>
  <c r="F21" i="10" s="1"/>
  <c r="F23" i="10" s="1"/>
  <c r="F25" i="10" s="1"/>
  <c r="D12" i="10"/>
  <c r="D18" i="10" s="1"/>
  <c r="D21" i="10" s="1"/>
  <c r="D23" i="10" s="1"/>
  <c r="D25" i="10" s="1"/>
  <c r="C12" i="10"/>
  <c r="C18" i="10" s="1"/>
  <c r="C21" i="10" s="1"/>
  <c r="C23" i="10" s="1"/>
  <c r="C25" i="10" s="1"/>
  <c r="A8" i="10"/>
  <c r="F6" i="10"/>
  <c r="B6" i="10"/>
  <c r="A4" i="10"/>
  <c r="A3" i="10"/>
  <c r="A1" i="10"/>
  <c r="A169" i="9"/>
  <c r="A168" i="9"/>
  <c r="A167" i="9"/>
  <c r="A166" i="9"/>
  <c r="A165" i="9"/>
  <c r="A164" i="9"/>
  <c r="A163" i="9"/>
  <c r="I162" i="9"/>
  <c r="G162" i="9"/>
  <c r="F162" i="9"/>
  <c r="D162" i="9"/>
  <c r="A161" i="9"/>
  <c r="A160" i="9"/>
  <c r="A157" i="9"/>
  <c r="C156" i="9"/>
  <c r="A156" i="9"/>
  <c r="A154" i="9"/>
  <c r="A153" i="9"/>
  <c r="I156" i="9"/>
  <c r="A152" i="9"/>
  <c r="B156" i="9"/>
  <c r="A151" i="9"/>
  <c r="D156" i="9"/>
  <c r="A150" i="9"/>
  <c r="I149" i="9"/>
  <c r="H149" i="9"/>
  <c r="C149" i="9"/>
  <c r="B149" i="9"/>
  <c r="A149" i="9"/>
  <c r="A148" i="9"/>
  <c r="A146" i="9"/>
  <c r="A145" i="9"/>
  <c r="G149" i="9"/>
  <c r="F149" i="9"/>
  <c r="A144" i="9"/>
  <c r="A143" i="9"/>
  <c r="I142" i="9"/>
  <c r="H142" i="9"/>
  <c r="G142" i="9"/>
  <c r="A141" i="9"/>
  <c r="A140" i="9"/>
  <c r="A137" i="9"/>
  <c r="A136" i="9"/>
  <c r="A135" i="9"/>
  <c r="A134" i="9"/>
  <c r="A133" i="9"/>
  <c r="A132" i="9"/>
  <c r="A131" i="9"/>
  <c r="A130" i="9"/>
  <c r="A129" i="9"/>
  <c r="A128" i="9"/>
  <c r="A127" i="9"/>
  <c r="A126" i="9"/>
  <c r="A125" i="9"/>
  <c r="E124" i="9"/>
  <c r="E130" i="9" s="1"/>
  <c r="D124" i="9"/>
  <c r="D130" i="9" s="1"/>
  <c r="D133" i="9" s="1"/>
  <c r="D135" i="9" s="1"/>
  <c r="D137" i="9" s="1"/>
  <c r="A124" i="9"/>
  <c r="A123" i="9"/>
  <c r="F124" i="9"/>
  <c r="F130" i="9" s="1"/>
  <c r="F133" i="9" s="1"/>
  <c r="F135" i="9" s="1"/>
  <c r="F137" i="9" s="1"/>
  <c r="A122" i="9"/>
  <c r="A121" i="9"/>
  <c r="C124" i="9"/>
  <c r="C130" i="9" s="1"/>
  <c r="C133" i="9" s="1"/>
  <c r="C135" i="9" s="1"/>
  <c r="C137" i="9" s="1"/>
  <c r="B124" i="9"/>
  <c r="B130" i="9" s="1"/>
  <c r="B133" i="9" s="1"/>
  <c r="B135" i="9" s="1"/>
  <c r="B137" i="9" s="1"/>
  <c r="A120" i="9"/>
  <c r="B118" i="9"/>
  <c r="A116" i="9"/>
  <c r="A115" i="9"/>
  <c r="A113" i="9"/>
  <c r="A112" i="9"/>
  <c r="A111" i="9"/>
  <c r="A110" i="9"/>
  <c r="A109" i="9"/>
  <c r="B64" i="24"/>
  <c r="A108" i="9"/>
  <c r="A107" i="9"/>
  <c r="I106" i="9"/>
  <c r="G106" i="9"/>
  <c r="F106" i="9"/>
  <c r="D106" i="9"/>
  <c r="A105" i="9"/>
  <c r="A104" i="9"/>
  <c r="A101" i="9"/>
  <c r="H100" i="9"/>
  <c r="E100" i="9"/>
  <c r="B100" i="9"/>
  <c r="A100" i="9"/>
  <c r="A98" i="9"/>
  <c r="A97" i="9"/>
  <c r="A96" i="9"/>
  <c r="A95" i="9"/>
  <c r="I100" i="9"/>
  <c r="G100" i="9"/>
  <c r="E93" i="9"/>
  <c r="B93" i="9"/>
  <c r="A94" i="9"/>
  <c r="H93" i="9"/>
  <c r="G93" i="9"/>
  <c r="A93" i="9"/>
  <c r="A92" i="9"/>
  <c r="A90" i="9"/>
  <c r="A89" i="9"/>
  <c r="A88" i="9"/>
  <c r="A87" i="9"/>
  <c r="G86" i="9"/>
  <c r="F86" i="9"/>
  <c r="D86" i="9"/>
  <c r="A85" i="9"/>
  <c r="A84" i="9"/>
  <c r="A81" i="9"/>
  <c r="A80" i="9"/>
  <c r="A79" i="9"/>
  <c r="A78" i="9"/>
  <c r="A77" i="9"/>
  <c r="A76" i="9"/>
  <c r="A75" i="9"/>
  <c r="A74" i="9"/>
  <c r="A73" i="9"/>
  <c r="A72" i="9"/>
  <c r="A71" i="9"/>
  <c r="A70" i="9"/>
  <c r="A69" i="9"/>
  <c r="D68" i="9"/>
  <c r="D74" i="9" s="1"/>
  <c r="D77" i="9" s="1"/>
  <c r="D79" i="9" s="1"/>
  <c r="D81" i="9" s="1"/>
  <c r="C68" i="9"/>
  <c r="C74" i="9" s="1"/>
  <c r="C77" i="9" s="1"/>
  <c r="C79" i="9" s="1"/>
  <c r="C81" i="9" s="1"/>
  <c r="A68" i="9"/>
  <c r="A67" i="9"/>
  <c r="A66" i="9"/>
  <c r="A65" i="9"/>
  <c r="H68" i="9"/>
  <c r="H74" i="9" s="1"/>
  <c r="H77" i="9" s="1"/>
  <c r="H79" i="9" s="1"/>
  <c r="H81" i="9" s="1"/>
  <c r="G68" i="9"/>
  <c r="G74" i="9" s="1"/>
  <c r="G77" i="9" s="1"/>
  <c r="G79" i="9" s="1"/>
  <c r="G81" i="9" s="1"/>
  <c r="E68" i="9"/>
  <c r="E74" i="9" s="1"/>
  <c r="E77" i="9" s="1"/>
  <c r="E79" i="9" s="1"/>
  <c r="E81" i="9" s="1"/>
  <c r="B68" i="9"/>
  <c r="B74" i="9" s="1"/>
  <c r="B77" i="9" s="1"/>
  <c r="B79" i="9" s="1"/>
  <c r="A64" i="9"/>
  <c r="B62" i="9"/>
  <c r="A60" i="9"/>
  <c r="A59" i="9"/>
  <c r="A57" i="9"/>
  <c r="A56" i="9"/>
  <c r="A55" i="9"/>
  <c r="A54" i="9"/>
  <c r="A53" i="9"/>
  <c r="A52" i="9"/>
  <c r="A51" i="9"/>
  <c r="I50" i="9"/>
  <c r="G50" i="9"/>
  <c r="A49" i="9"/>
  <c r="A48" i="9"/>
  <c r="A45" i="9"/>
  <c r="A44" i="9"/>
  <c r="A42" i="9"/>
  <c r="A41" i="9"/>
  <c r="H44" i="9"/>
  <c r="C44" i="9"/>
  <c r="A40" i="9"/>
  <c r="A39" i="9"/>
  <c r="I44" i="9"/>
  <c r="C37" i="9"/>
  <c r="A38" i="9"/>
  <c r="D37" i="9"/>
  <c r="B37" i="9"/>
  <c r="A37" i="9"/>
  <c r="A36" i="9"/>
  <c r="A34" i="9"/>
  <c r="A33" i="9"/>
  <c r="I37" i="9"/>
  <c r="A32" i="9"/>
  <c r="A31" i="9"/>
  <c r="I30" i="9"/>
  <c r="I86" i="9" s="1"/>
  <c r="H30" i="9"/>
  <c r="H50" i="9" s="1"/>
  <c r="G30" i="9"/>
  <c r="F30" i="9"/>
  <c r="F50" i="9" s="1"/>
  <c r="E30" i="9"/>
  <c r="E162" i="9" s="1"/>
  <c r="D30" i="9"/>
  <c r="D142" i="9" s="1"/>
  <c r="C30" i="9"/>
  <c r="B30" i="9"/>
  <c r="A29" i="9"/>
  <c r="A28" i="9"/>
  <c r="A25" i="9"/>
  <c r="A24" i="9"/>
  <c r="A23" i="9"/>
  <c r="A22" i="9"/>
  <c r="A21" i="9"/>
  <c r="A20" i="9"/>
  <c r="A19" i="9"/>
  <c r="A18" i="9"/>
  <c r="A17" i="9"/>
  <c r="A16" i="9"/>
  <c r="A15" i="9"/>
  <c r="A14" i="9"/>
  <c r="A13" i="9"/>
  <c r="I12" i="9"/>
  <c r="I18" i="9" s="1"/>
  <c r="I21" i="9" s="1"/>
  <c r="D12" i="9"/>
  <c r="D18" i="9" s="1"/>
  <c r="D21" i="9" s="1"/>
  <c r="D23" i="9" s="1"/>
  <c r="D25" i="9" s="1"/>
  <c r="A12" i="9"/>
  <c r="A11" i="9"/>
  <c r="F12" i="9"/>
  <c r="F18" i="9" s="1"/>
  <c r="F21" i="9" s="1"/>
  <c r="F23" i="9" s="1"/>
  <c r="F25" i="9" s="1"/>
  <c r="B12" i="9"/>
  <c r="B18" i="9" s="1"/>
  <c r="B21" i="9" s="1"/>
  <c r="B23" i="9" s="1"/>
  <c r="B25" i="9" s="1"/>
  <c r="A10" i="9"/>
  <c r="A9" i="9"/>
  <c r="H12" i="9"/>
  <c r="H18" i="9" s="1"/>
  <c r="H21" i="9" s="1"/>
  <c r="H23" i="9" s="1"/>
  <c r="H25" i="9" s="1"/>
  <c r="G12" i="9"/>
  <c r="C12" i="9"/>
  <c r="C18" i="9" s="1"/>
  <c r="A8" i="9"/>
  <c r="F6" i="9"/>
  <c r="F118" i="9" s="1"/>
  <c r="B6" i="9"/>
  <c r="A4" i="9"/>
  <c r="A3" i="9"/>
  <c r="A1" i="9"/>
  <c r="A113" i="8"/>
  <c r="A112" i="8"/>
  <c r="A111" i="8"/>
  <c r="A110" i="8"/>
  <c r="A109" i="8"/>
  <c r="D68" i="24"/>
  <c r="A108" i="8"/>
  <c r="A107" i="8"/>
  <c r="E106" i="8"/>
  <c r="D106" i="8"/>
  <c r="A105" i="8"/>
  <c r="A104" i="8"/>
  <c r="A101" i="8"/>
  <c r="H100" i="8"/>
  <c r="G100" i="8"/>
  <c r="A100" i="8"/>
  <c r="E100" i="8"/>
  <c r="A98" i="8"/>
  <c r="A97" i="8"/>
  <c r="A96" i="8"/>
  <c r="B100" i="8"/>
  <c r="A95" i="8"/>
  <c r="I100" i="8"/>
  <c r="F100" i="8"/>
  <c r="A94" i="8"/>
  <c r="B93" i="8"/>
  <c r="A93" i="8"/>
  <c r="A92" i="8"/>
  <c r="A90" i="8"/>
  <c r="E93" i="8"/>
  <c r="A89" i="8"/>
  <c r="A88" i="8"/>
  <c r="A87" i="8"/>
  <c r="I86" i="8"/>
  <c r="H86" i="8"/>
  <c r="F86" i="8"/>
  <c r="E86" i="8"/>
  <c r="A85" i="8"/>
  <c r="A84" i="8"/>
  <c r="B81" i="8"/>
  <c r="A81" i="8"/>
  <c r="A80" i="8"/>
  <c r="A79" i="8"/>
  <c r="A78" i="8"/>
  <c r="F77" i="8"/>
  <c r="F79" i="8" s="1"/>
  <c r="F81" i="8" s="1"/>
  <c r="A77" i="8"/>
  <c r="A76" i="8"/>
  <c r="A75" i="8"/>
  <c r="B74" i="8"/>
  <c r="B77" i="8" s="1"/>
  <c r="B79" i="8" s="1"/>
  <c r="A74" i="8"/>
  <c r="A73" i="8"/>
  <c r="A72" i="8"/>
  <c r="A71" i="8"/>
  <c r="A70" i="8"/>
  <c r="A69" i="8"/>
  <c r="H68" i="8"/>
  <c r="H74" i="8" s="1"/>
  <c r="H77" i="8" s="1"/>
  <c r="H79" i="8" s="1"/>
  <c r="H81" i="8" s="1"/>
  <c r="G68" i="8"/>
  <c r="G74" i="8" s="1"/>
  <c r="G77" i="8" s="1"/>
  <c r="G79" i="8" s="1"/>
  <c r="G81" i="8" s="1"/>
  <c r="A68" i="8"/>
  <c r="A67" i="8"/>
  <c r="A66" i="8"/>
  <c r="B68" i="8"/>
  <c r="A65" i="8"/>
  <c r="I68" i="8"/>
  <c r="I74" i="8" s="1"/>
  <c r="I77" i="8" s="1"/>
  <c r="I79" i="8" s="1"/>
  <c r="I81" i="8" s="1"/>
  <c r="F68" i="8"/>
  <c r="F74" i="8" s="1"/>
  <c r="E68" i="8"/>
  <c r="E74" i="8" s="1"/>
  <c r="E77" i="8" s="1"/>
  <c r="E79" i="8" s="1"/>
  <c r="E81" i="8" s="1"/>
  <c r="D68" i="8"/>
  <c r="D74" i="8" s="1"/>
  <c r="D77" i="8" s="1"/>
  <c r="D79" i="8" s="1"/>
  <c r="D81" i="8" s="1"/>
  <c r="C68" i="8"/>
  <c r="C74" i="8" s="1"/>
  <c r="C77" i="8" s="1"/>
  <c r="C79" i="8" s="1"/>
  <c r="C81" i="8" s="1"/>
  <c r="A64" i="8"/>
  <c r="A60" i="8"/>
  <c r="A59" i="8"/>
  <c r="A57" i="8"/>
  <c r="A56" i="8"/>
  <c r="A55" i="8"/>
  <c r="A54" i="8"/>
  <c r="A53" i="8"/>
  <c r="A52" i="8"/>
  <c r="A51" i="8"/>
  <c r="I50" i="8"/>
  <c r="G50" i="8"/>
  <c r="E50" i="8"/>
  <c r="B50" i="8"/>
  <c r="A49" i="8"/>
  <c r="A48" i="8"/>
  <c r="A45" i="8"/>
  <c r="H44" i="8"/>
  <c r="C44" i="8"/>
  <c r="B44" i="8"/>
  <c r="A44" i="8"/>
  <c r="A42" i="8"/>
  <c r="A41" i="8"/>
  <c r="A40" i="8"/>
  <c r="G44" i="8"/>
  <c r="A39" i="8"/>
  <c r="I44" i="8"/>
  <c r="G37" i="8"/>
  <c r="F44" i="8"/>
  <c r="D37" i="8"/>
  <c r="A38" i="8"/>
  <c r="I37" i="8"/>
  <c r="H37" i="8"/>
  <c r="A37" i="8"/>
  <c r="A36" i="8"/>
  <c r="A34" i="8"/>
  <c r="C37" i="8"/>
  <c r="A33" i="8"/>
  <c r="A32" i="8"/>
  <c r="A31" i="8"/>
  <c r="I30" i="8"/>
  <c r="I106" i="8" s="1"/>
  <c r="H30" i="8"/>
  <c r="H50" i="8" s="1"/>
  <c r="G30" i="8"/>
  <c r="G106" i="8" s="1"/>
  <c r="F30" i="8"/>
  <c r="F50" i="8" s="1"/>
  <c r="E30" i="8"/>
  <c r="D30" i="8"/>
  <c r="D50" i="8" s="1"/>
  <c r="C30" i="8"/>
  <c r="C106" i="8" s="1"/>
  <c r="B30" i="8"/>
  <c r="B106" i="8" s="1"/>
  <c r="A29" i="8"/>
  <c r="A28" i="8"/>
  <c r="A25" i="8"/>
  <c r="A24" i="8"/>
  <c r="A23" i="8"/>
  <c r="A22" i="8"/>
  <c r="A21" i="8"/>
  <c r="A20" i="8"/>
  <c r="A19" i="8"/>
  <c r="A18" i="8"/>
  <c r="A17" i="8"/>
  <c r="A16" i="8"/>
  <c r="A15" i="8"/>
  <c r="A14" i="8"/>
  <c r="A13" i="8"/>
  <c r="F12" i="8"/>
  <c r="F18" i="8" s="1"/>
  <c r="F21" i="8" s="1"/>
  <c r="F23" i="8" s="1"/>
  <c r="F25" i="8" s="1"/>
  <c r="E12" i="8"/>
  <c r="E18" i="8" s="1"/>
  <c r="E21" i="8" s="1"/>
  <c r="E23" i="8" s="1"/>
  <c r="E25" i="8" s="1"/>
  <c r="A12" i="8"/>
  <c r="A11" i="8"/>
  <c r="A10" i="8"/>
  <c r="H12" i="8"/>
  <c r="H18" i="8" s="1"/>
  <c r="H21" i="8" s="1"/>
  <c r="H23" i="8" s="1"/>
  <c r="H25" i="8" s="1"/>
  <c r="A9" i="8"/>
  <c r="I12" i="8"/>
  <c r="I18" i="8" s="1"/>
  <c r="I21" i="8" s="1"/>
  <c r="I23" i="8" s="1"/>
  <c r="I25" i="8" s="1"/>
  <c r="G12" i="8"/>
  <c r="G18" i="8" s="1"/>
  <c r="G21" i="8" s="1"/>
  <c r="G23" i="8" s="1"/>
  <c r="G25" i="8" s="1"/>
  <c r="D12" i="8"/>
  <c r="D18" i="8" s="1"/>
  <c r="D21" i="8" s="1"/>
  <c r="D23" i="8" s="1"/>
  <c r="D25" i="8" s="1"/>
  <c r="C12" i="8"/>
  <c r="C18" i="8" s="1"/>
  <c r="C21" i="8" s="1"/>
  <c r="C23" i="8" s="1"/>
  <c r="C25" i="8" s="1"/>
  <c r="B12" i="8"/>
  <c r="B18" i="8" s="1"/>
  <c r="B21" i="8" s="1"/>
  <c r="B23" i="8" s="1"/>
  <c r="B25" i="8" s="1"/>
  <c r="A8" i="8"/>
  <c r="F6" i="8"/>
  <c r="F62" i="8" s="1"/>
  <c r="B6" i="8"/>
  <c r="B62" i="8" s="1"/>
  <c r="A4" i="8"/>
  <c r="A3" i="8"/>
  <c r="A1" i="8"/>
  <c r="A169" i="7"/>
  <c r="A168" i="7"/>
  <c r="A167" i="7"/>
  <c r="A166" i="7"/>
  <c r="A165" i="7"/>
  <c r="A164" i="7"/>
  <c r="A163" i="7"/>
  <c r="H162" i="7"/>
  <c r="F162" i="7"/>
  <c r="A161" i="7"/>
  <c r="A160" i="7"/>
  <c r="A157" i="7"/>
  <c r="G156" i="7"/>
  <c r="B156" i="7"/>
  <c r="A156" i="7"/>
  <c r="A154" i="7"/>
  <c r="I156" i="7"/>
  <c r="A153" i="7"/>
  <c r="A152" i="7"/>
  <c r="F156" i="7"/>
  <c r="A151" i="7"/>
  <c r="I149" i="7"/>
  <c r="H156" i="7"/>
  <c r="F149" i="7"/>
  <c r="E156" i="7"/>
  <c r="C149" i="7"/>
  <c r="A150" i="7"/>
  <c r="H149" i="7"/>
  <c r="G149" i="7"/>
  <c r="A149" i="7"/>
  <c r="A148" i="7"/>
  <c r="A146" i="7"/>
  <c r="B149" i="7"/>
  <c r="A145" i="7"/>
  <c r="A144" i="7"/>
  <c r="A143" i="7"/>
  <c r="F142" i="7"/>
  <c r="B142" i="7"/>
  <c r="A141" i="7"/>
  <c r="A140" i="7"/>
  <c r="A137" i="7"/>
  <c r="A136" i="7"/>
  <c r="A135" i="7"/>
  <c r="A134" i="7"/>
  <c r="A133" i="7"/>
  <c r="A132" i="7"/>
  <c r="A131" i="7"/>
  <c r="I130" i="7"/>
  <c r="I133" i="7" s="1"/>
  <c r="I135" i="7" s="1"/>
  <c r="I137" i="7" s="1"/>
  <c r="A130" i="7"/>
  <c r="A129" i="7"/>
  <c r="A128" i="7"/>
  <c r="A127" i="7"/>
  <c r="A126" i="7"/>
  <c r="A125" i="7"/>
  <c r="E124" i="7"/>
  <c r="E130" i="7" s="1"/>
  <c r="E133" i="7" s="1"/>
  <c r="E135" i="7" s="1"/>
  <c r="E137" i="7" s="1"/>
  <c r="A124" i="7"/>
  <c r="A123" i="7"/>
  <c r="G124" i="7"/>
  <c r="G130" i="7" s="1"/>
  <c r="A122" i="7"/>
  <c r="B124" i="7"/>
  <c r="B130" i="7" s="1"/>
  <c r="B133" i="7" s="1"/>
  <c r="B135" i="7" s="1"/>
  <c r="B137" i="7" s="1"/>
  <c r="A121" i="7"/>
  <c r="I124" i="7"/>
  <c r="H124" i="7"/>
  <c r="H130" i="7" s="1"/>
  <c r="F124" i="7"/>
  <c r="F130" i="7" s="1"/>
  <c r="F133" i="7" s="1"/>
  <c r="F135" i="7" s="1"/>
  <c r="F137" i="7" s="1"/>
  <c r="D124" i="7"/>
  <c r="D130" i="7" s="1"/>
  <c r="D133" i="7" s="1"/>
  <c r="D135" i="7" s="1"/>
  <c r="C124" i="7"/>
  <c r="C130" i="7" s="1"/>
  <c r="C133" i="7" s="1"/>
  <c r="C135" i="7" s="1"/>
  <c r="A120" i="7"/>
  <c r="F118" i="7"/>
  <c r="A116" i="7"/>
  <c r="A115" i="7"/>
  <c r="A113" i="7"/>
  <c r="A112" i="7"/>
  <c r="A111" i="7"/>
  <c r="A110" i="7"/>
  <c r="A109" i="7"/>
  <c r="F29" i="24"/>
  <c r="A108" i="7"/>
  <c r="A107" i="7"/>
  <c r="H106" i="7"/>
  <c r="G106" i="7"/>
  <c r="A105" i="7"/>
  <c r="A104" i="7"/>
  <c r="A101" i="7"/>
  <c r="A100" i="7"/>
  <c r="A98" i="7"/>
  <c r="B100" i="7"/>
  <c r="A97" i="7"/>
  <c r="A96" i="7"/>
  <c r="A95" i="7"/>
  <c r="I100" i="7"/>
  <c r="F100" i="7"/>
  <c r="E100" i="7"/>
  <c r="B93" i="7"/>
  <c r="A94" i="7"/>
  <c r="F93" i="7"/>
  <c r="A93" i="7"/>
  <c r="I93" i="7"/>
  <c r="A92" i="7"/>
  <c r="A90" i="7"/>
  <c r="C93" i="7"/>
  <c r="A89" i="7"/>
  <c r="E93" i="7"/>
  <c r="A88" i="7"/>
  <c r="A87" i="7"/>
  <c r="G86" i="7"/>
  <c r="F86" i="7"/>
  <c r="A85" i="7"/>
  <c r="A84" i="7"/>
  <c r="A81" i="7"/>
  <c r="A80" i="7"/>
  <c r="A79" i="7"/>
  <c r="A78" i="7"/>
  <c r="A77" i="7"/>
  <c r="A76" i="7"/>
  <c r="A75" i="7"/>
  <c r="H74" i="7"/>
  <c r="H77" i="7" s="1"/>
  <c r="H79" i="7" s="1"/>
  <c r="H81" i="7" s="1"/>
  <c r="G74" i="7"/>
  <c r="G77" i="7" s="1"/>
  <c r="G79" i="7" s="1"/>
  <c r="G81" i="7" s="1"/>
  <c r="A74" i="7"/>
  <c r="A73" i="7"/>
  <c r="A72" i="7"/>
  <c r="A71" i="7"/>
  <c r="A70" i="7"/>
  <c r="A69" i="7"/>
  <c r="C68" i="7"/>
  <c r="C74" i="7" s="1"/>
  <c r="C77" i="7" s="1"/>
  <c r="A68" i="7"/>
  <c r="A67" i="7"/>
  <c r="E68" i="7"/>
  <c r="E74" i="7" s="1"/>
  <c r="A66" i="7"/>
  <c r="H68" i="7"/>
  <c r="A65" i="7"/>
  <c r="I68" i="7"/>
  <c r="I74" i="7" s="1"/>
  <c r="I77" i="7" s="1"/>
  <c r="I79" i="7" s="1"/>
  <c r="I81" i="7" s="1"/>
  <c r="G68" i="7"/>
  <c r="F68" i="7"/>
  <c r="F74" i="7" s="1"/>
  <c r="D68" i="7"/>
  <c r="D74" i="7" s="1"/>
  <c r="D77" i="7" s="1"/>
  <c r="D79" i="7" s="1"/>
  <c r="D81" i="7" s="1"/>
  <c r="B68" i="7"/>
  <c r="B74" i="7" s="1"/>
  <c r="B77" i="7" s="1"/>
  <c r="B79" i="7" s="1"/>
  <c r="A64" i="7"/>
  <c r="B62" i="7"/>
  <c r="A60" i="7"/>
  <c r="A59" i="7"/>
  <c r="A57" i="7"/>
  <c r="A56" i="7"/>
  <c r="A55" i="7"/>
  <c r="A54" i="7"/>
  <c r="A53" i="7"/>
  <c r="A52" i="7"/>
  <c r="A51" i="7"/>
  <c r="H50" i="7"/>
  <c r="F50" i="7"/>
  <c r="E50" i="7"/>
  <c r="A49" i="7"/>
  <c r="A48" i="7"/>
  <c r="A45" i="7"/>
  <c r="I44" i="7"/>
  <c r="H44" i="7"/>
  <c r="A44" i="7"/>
  <c r="A42" i="7"/>
  <c r="A41" i="7"/>
  <c r="A40" i="7"/>
  <c r="B44" i="7"/>
  <c r="A39" i="7"/>
  <c r="H37" i="7"/>
  <c r="G44" i="7"/>
  <c r="D44" i="7"/>
  <c r="A38" i="7"/>
  <c r="D37" i="7"/>
  <c r="A37" i="7"/>
  <c r="G37" i="7"/>
  <c r="A36" i="7"/>
  <c r="A34" i="7"/>
  <c r="I37" i="7"/>
  <c r="A33" i="7"/>
  <c r="C37" i="7"/>
  <c r="A32" i="7"/>
  <c r="A31" i="7"/>
  <c r="I30" i="7"/>
  <c r="I142" i="7" s="1"/>
  <c r="H30" i="7"/>
  <c r="H142" i="7" s="1"/>
  <c r="G30" i="7"/>
  <c r="G142" i="7" s="1"/>
  <c r="F30" i="7"/>
  <c r="F106" i="7" s="1"/>
  <c r="E30" i="7"/>
  <c r="D30" i="7"/>
  <c r="C30" i="7"/>
  <c r="C50" i="7" s="1"/>
  <c r="B30" i="7"/>
  <c r="B50" i="7" s="1"/>
  <c r="A29" i="7"/>
  <c r="A28" i="7"/>
  <c r="A25" i="7"/>
  <c r="A24" i="7"/>
  <c r="H23" i="7"/>
  <c r="H25" i="7" s="1"/>
  <c r="A23" i="7"/>
  <c r="A22" i="7"/>
  <c r="A21" i="7"/>
  <c r="A20" i="7"/>
  <c r="A19" i="7"/>
  <c r="F18" i="7"/>
  <c r="F21" i="7" s="1"/>
  <c r="F23" i="7" s="1"/>
  <c r="F25" i="7" s="1"/>
  <c r="A18" i="7"/>
  <c r="A17" i="7"/>
  <c r="A16" i="7"/>
  <c r="A15" i="7"/>
  <c r="A14" i="7"/>
  <c r="A13" i="7"/>
  <c r="A12" i="7"/>
  <c r="I12" i="7"/>
  <c r="I18" i="7" s="1"/>
  <c r="I21" i="7" s="1"/>
  <c r="I23" i="7" s="1"/>
  <c r="I25" i="7" s="1"/>
  <c r="A11" i="7"/>
  <c r="C12" i="7"/>
  <c r="C18" i="7" s="1"/>
  <c r="C21" i="7" s="1"/>
  <c r="C23" i="7" s="1"/>
  <c r="C25" i="7" s="1"/>
  <c r="A10" i="7"/>
  <c r="F12" i="7"/>
  <c r="A9" i="7"/>
  <c r="H12" i="7"/>
  <c r="H18" i="7" s="1"/>
  <c r="H21" i="7" s="1"/>
  <c r="E12" i="7"/>
  <c r="E18" i="7" s="1"/>
  <c r="E21" i="7" s="1"/>
  <c r="E23" i="7" s="1"/>
  <c r="E25" i="7" s="1"/>
  <c r="D12" i="7"/>
  <c r="D18" i="7" s="1"/>
  <c r="D21" i="7" s="1"/>
  <c r="D23" i="7" s="1"/>
  <c r="D25" i="7" s="1"/>
  <c r="A8" i="7"/>
  <c r="F6" i="7"/>
  <c r="F62" i="7" s="1"/>
  <c r="B6" i="7"/>
  <c r="B118" i="7" s="1"/>
  <c r="A4" i="7"/>
  <c r="A3" i="7"/>
  <c r="A1" i="7"/>
  <c r="A169" i="6"/>
  <c r="A168" i="6"/>
  <c r="A167" i="6"/>
  <c r="A166" i="6"/>
  <c r="A165" i="6"/>
  <c r="A164" i="6"/>
  <c r="A163" i="6"/>
  <c r="C162" i="6"/>
  <c r="A161" i="6"/>
  <c r="A160" i="6"/>
  <c r="A157" i="6"/>
  <c r="A156" i="6"/>
  <c r="F156" i="6"/>
  <c r="A154" i="6"/>
  <c r="A153" i="6"/>
  <c r="H156" i="6"/>
  <c r="G156" i="6"/>
  <c r="A152" i="6"/>
  <c r="A151" i="6"/>
  <c r="C156" i="6"/>
  <c r="A150" i="6"/>
  <c r="A149" i="6"/>
  <c r="F149" i="6"/>
  <c r="A148" i="6"/>
  <c r="A146" i="6"/>
  <c r="H149" i="6"/>
  <c r="A145" i="6"/>
  <c r="B149" i="6"/>
  <c r="A144" i="6"/>
  <c r="A143" i="6"/>
  <c r="F142" i="6"/>
  <c r="C142" i="6"/>
  <c r="A141" i="6"/>
  <c r="A140" i="6"/>
  <c r="A137" i="6"/>
  <c r="A136" i="6"/>
  <c r="A135" i="6"/>
  <c r="A134" i="6"/>
  <c r="H133" i="6"/>
  <c r="H135" i="6" s="1"/>
  <c r="H137" i="6" s="1"/>
  <c r="A133" i="6"/>
  <c r="A132" i="6"/>
  <c r="A131" i="6"/>
  <c r="E130" i="6"/>
  <c r="E133" i="6" s="1"/>
  <c r="E135" i="6" s="1"/>
  <c r="E137" i="6" s="1"/>
  <c r="A130" i="6"/>
  <c r="A129" i="6"/>
  <c r="A128" i="6"/>
  <c r="A127" i="6"/>
  <c r="A126" i="6"/>
  <c r="A125" i="6"/>
  <c r="A124" i="6"/>
  <c r="I124" i="6"/>
  <c r="I130" i="6" s="1"/>
  <c r="I133" i="6" s="1"/>
  <c r="I135" i="6" s="1"/>
  <c r="I137" i="6" s="1"/>
  <c r="H124" i="6"/>
  <c r="H130" i="6" s="1"/>
  <c r="A123" i="6"/>
  <c r="B124" i="6"/>
  <c r="B130" i="6" s="1"/>
  <c r="B133" i="6" s="1"/>
  <c r="B135" i="6" s="1"/>
  <c r="B137" i="6" s="1"/>
  <c r="A122" i="6"/>
  <c r="E124" i="6"/>
  <c r="A121" i="6"/>
  <c r="G124" i="6"/>
  <c r="G130" i="6" s="1"/>
  <c r="G133" i="6" s="1"/>
  <c r="G135" i="6" s="1"/>
  <c r="G137" i="6" s="1"/>
  <c r="F124" i="6"/>
  <c r="D124" i="6"/>
  <c r="D130" i="6" s="1"/>
  <c r="D133" i="6" s="1"/>
  <c r="D135" i="6" s="1"/>
  <c r="D137" i="6" s="1"/>
  <c r="A120" i="6"/>
  <c r="B118" i="6"/>
  <c r="A116" i="6"/>
  <c r="A115" i="6"/>
  <c r="A113" i="6"/>
  <c r="A112" i="6"/>
  <c r="A111" i="6"/>
  <c r="A110" i="6"/>
  <c r="A109" i="6"/>
  <c r="A108" i="6"/>
  <c r="A107" i="6"/>
  <c r="C106" i="6"/>
  <c r="A105" i="6"/>
  <c r="A104" i="6"/>
  <c r="A101" i="6"/>
  <c r="E100" i="6"/>
  <c r="D100" i="6"/>
  <c r="A100" i="6"/>
  <c r="A98" i="6"/>
  <c r="F100" i="6"/>
  <c r="A97" i="6"/>
  <c r="A96" i="6"/>
  <c r="A95" i="6"/>
  <c r="I100" i="6"/>
  <c r="C100" i="6"/>
  <c r="A94" i="6"/>
  <c r="C93" i="6"/>
  <c r="A93" i="6"/>
  <c r="D93" i="6"/>
  <c r="A92" i="6"/>
  <c r="A90" i="6"/>
  <c r="F93" i="6"/>
  <c r="A89" i="6"/>
  <c r="A88" i="6"/>
  <c r="A87" i="6"/>
  <c r="G86" i="6"/>
  <c r="F86" i="6"/>
  <c r="A85" i="6"/>
  <c r="A84" i="6"/>
  <c r="A81" i="6"/>
  <c r="A80" i="6"/>
  <c r="A79" i="6"/>
  <c r="A78" i="6"/>
  <c r="F77" i="6"/>
  <c r="F79" i="6" s="1"/>
  <c r="F81" i="6" s="1"/>
  <c r="E77" i="6"/>
  <c r="E79" i="6" s="1"/>
  <c r="E81" i="6" s="1"/>
  <c r="A77" i="6"/>
  <c r="A76" i="6"/>
  <c r="A75" i="6"/>
  <c r="C74" i="6"/>
  <c r="C77" i="6" s="1"/>
  <c r="C79" i="6" s="1"/>
  <c r="C81" i="6" s="1"/>
  <c r="A74" i="6"/>
  <c r="A73" i="6"/>
  <c r="A72" i="6"/>
  <c r="A71" i="6"/>
  <c r="A70" i="6"/>
  <c r="A69" i="6"/>
  <c r="H68" i="6"/>
  <c r="H74" i="6" s="1"/>
  <c r="H77" i="6" s="1"/>
  <c r="H79" i="6" s="1"/>
  <c r="H81" i="6" s="1"/>
  <c r="G68" i="6"/>
  <c r="G74" i="6" s="1"/>
  <c r="G77" i="6" s="1"/>
  <c r="G79" i="6" s="1"/>
  <c r="G81" i="6" s="1"/>
  <c r="F68" i="6"/>
  <c r="F74" i="6" s="1"/>
  <c r="A68" i="6"/>
  <c r="A67" i="6"/>
  <c r="A66" i="6"/>
  <c r="I68" i="6"/>
  <c r="I74" i="6" s="1"/>
  <c r="I77" i="6" s="1"/>
  <c r="I79" i="6" s="1"/>
  <c r="I81" i="6" s="1"/>
  <c r="C68" i="6"/>
  <c r="A65" i="6"/>
  <c r="E68" i="6"/>
  <c r="E74" i="6" s="1"/>
  <c r="D68" i="6"/>
  <c r="D74" i="6" s="1"/>
  <c r="D77" i="6" s="1"/>
  <c r="D79" i="6" s="1"/>
  <c r="D81" i="6" s="1"/>
  <c r="B68" i="6"/>
  <c r="B74" i="6" s="1"/>
  <c r="B77" i="6" s="1"/>
  <c r="B79" i="6" s="1"/>
  <c r="B81" i="6" s="1"/>
  <c r="A64" i="6"/>
  <c r="A60" i="6"/>
  <c r="A59" i="6"/>
  <c r="A57" i="6"/>
  <c r="A56" i="6"/>
  <c r="A55" i="6"/>
  <c r="A54" i="6"/>
  <c r="A53" i="6"/>
  <c r="A52" i="6"/>
  <c r="A51" i="6"/>
  <c r="F50" i="6"/>
  <c r="C50" i="6"/>
  <c r="A49" i="6"/>
  <c r="A48" i="6"/>
  <c r="I44" i="6"/>
  <c r="A45" i="6"/>
  <c r="H44" i="6"/>
  <c r="A44" i="6"/>
  <c r="B44" i="6"/>
  <c r="A42" i="6"/>
  <c r="C44" i="6"/>
  <c r="A41" i="6"/>
  <c r="D44" i="6"/>
  <c r="A40" i="6"/>
  <c r="A39" i="6"/>
  <c r="G44" i="6"/>
  <c r="A38" i="6"/>
  <c r="C37" i="6"/>
  <c r="A37" i="6"/>
  <c r="H37" i="6"/>
  <c r="A36" i="6"/>
  <c r="A34" i="6"/>
  <c r="I37" i="6"/>
  <c r="A33" i="6"/>
  <c r="G37" i="6"/>
  <c r="A32" i="6"/>
  <c r="A31" i="6"/>
  <c r="I30" i="6"/>
  <c r="H30" i="6"/>
  <c r="G30" i="6"/>
  <c r="F30" i="6"/>
  <c r="F106" i="6" s="1"/>
  <c r="E30" i="6"/>
  <c r="D30" i="6"/>
  <c r="C30" i="6"/>
  <c r="C86" i="6" s="1"/>
  <c r="B30" i="6"/>
  <c r="A29" i="6"/>
  <c r="A28" i="6"/>
  <c r="A25" i="6"/>
  <c r="A24" i="6"/>
  <c r="A23" i="6"/>
  <c r="A22" i="6"/>
  <c r="A21" i="6"/>
  <c r="A20" i="6"/>
  <c r="A19" i="6"/>
  <c r="A18" i="6"/>
  <c r="A17" i="6"/>
  <c r="A16" i="6"/>
  <c r="A15" i="6"/>
  <c r="A14" i="6"/>
  <c r="A13" i="6"/>
  <c r="E12" i="6"/>
  <c r="E18" i="6" s="1"/>
  <c r="E21" i="6" s="1"/>
  <c r="E23" i="6" s="1"/>
  <c r="E25" i="6" s="1"/>
  <c r="A12" i="6"/>
  <c r="A11" i="6"/>
  <c r="A10" i="6"/>
  <c r="G12" i="6"/>
  <c r="G18" i="6" s="1"/>
  <c r="G21" i="6" s="1"/>
  <c r="G23" i="6" s="1"/>
  <c r="G25" i="6" s="1"/>
  <c r="F12" i="6"/>
  <c r="F18" i="6" s="1"/>
  <c r="F21" i="6" s="1"/>
  <c r="F23" i="6" s="1"/>
  <c r="F25" i="6" s="1"/>
  <c r="A9" i="6"/>
  <c r="I12" i="6"/>
  <c r="I18" i="6" s="1"/>
  <c r="I21" i="6" s="1"/>
  <c r="I23" i="6" s="1"/>
  <c r="I25" i="6" s="1"/>
  <c r="D12" i="6"/>
  <c r="D18" i="6" s="1"/>
  <c r="D21" i="6" s="1"/>
  <c r="D23" i="6" s="1"/>
  <c r="D25" i="6" s="1"/>
  <c r="C12" i="6"/>
  <c r="C18" i="6" s="1"/>
  <c r="C21" i="6" s="1"/>
  <c r="C23" i="6" s="1"/>
  <c r="C25" i="6" s="1"/>
  <c r="A8" i="6"/>
  <c r="F6" i="6"/>
  <c r="B6" i="6"/>
  <c r="B62" i="6" s="1"/>
  <c r="A4" i="6"/>
  <c r="A3" i="6"/>
  <c r="A1" i="6"/>
  <c r="A59" i="5"/>
  <c r="A58" i="5"/>
  <c r="A57" i="5"/>
  <c r="A56" i="5"/>
  <c r="A55" i="5"/>
  <c r="B11" i="24"/>
  <c r="A54" i="5"/>
  <c r="A53" i="5"/>
  <c r="I52" i="5"/>
  <c r="H52" i="5"/>
  <c r="G52" i="5"/>
  <c r="F52" i="5"/>
  <c r="E52" i="5"/>
  <c r="D52" i="5"/>
  <c r="C52" i="5"/>
  <c r="B52" i="5"/>
  <c r="A51" i="5"/>
  <c r="A50" i="5"/>
  <c r="I48" i="14"/>
  <c r="H48" i="14"/>
  <c r="G48" i="14"/>
  <c r="F48" i="14"/>
  <c r="C48" i="14"/>
  <c r="C47" i="14" s="1"/>
  <c r="B48" i="14"/>
  <c r="A47" i="5"/>
  <c r="A46" i="5"/>
  <c r="A45" i="5"/>
  <c r="G46" i="5"/>
  <c r="C46" i="5"/>
  <c r="A44" i="5"/>
  <c r="A43" i="5"/>
  <c r="E46" i="5"/>
  <c r="A42" i="5"/>
  <c r="B46" i="5"/>
  <c r="A41" i="5"/>
  <c r="G39" i="5"/>
  <c r="E39" i="5"/>
  <c r="D46" i="5"/>
  <c r="A40" i="5"/>
  <c r="I39" i="5"/>
  <c r="B39" i="5"/>
  <c r="A39" i="5"/>
  <c r="D39" i="5"/>
  <c r="A38" i="5"/>
  <c r="A37" i="5"/>
  <c r="A36" i="5"/>
  <c r="A35" i="5"/>
  <c r="A34" i="5"/>
  <c r="A33" i="5"/>
  <c r="A31" i="5"/>
  <c r="A30" i="5"/>
  <c r="A25" i="5"/>
  <c r="A24" i="5"/>
  <c r="A23" i="5"/>
  <c r="A22" i="5"/>
  <c r="A21" i="5"/>
  <c r="A20" i="5"/>
  <c r="A19" i="5"/>
  <c r="A18" i="5"/>
  <c r="A17" i="5"/>
  <c r="A16" i="5"/>
  <c r="A15" i="5"/>
  <c r="A14" i="5"/>
  <c r="A13" i="5"/>
  <c r="I12" i="5"/>
  <c r="I18" i="5" s="1"/>
  <c r="I21" i="5" s="1"/>
  <c r="I23" i="5" s="1"/>
  <c r="I25" i="5" s="1"/>
  <c r="H12" i="5"/>
  <c r="H18" i="5" s="1"/>
  <c r="H21" i="5" s="1"/>
  <c r="H23" i="5" s="1"/>
  <c r="H25" i="5" s="1"/>
  <c r="A12" i="5"/>
  <c r="A11" i="5"/>
  <c r="A10" i="5"/>
  <c r="A9" i="5"/>
  <c r="G12" i="5"/>
  <c r="G18" i="5" s="1"/>
  <c r="G21" i="5" s="1"/>
  <c r="G23" i="5" s="1"/>
  <c r="G25" i="5" s="1"/>
  <c r="F12" i="5"/>
  <c r="F18" i="5" s="1"/>
  <c r="F21" i="5" s="1"/>
  <c r="F23" i="5" s="1"/>
  <c r="F25" i="5" s="1"/>
  <c r="E12" i="5"/>
  <c r="E18" i="5" s="1"/>
  <c r="E21" i="5" s="1"/>
  <c r="E23" i="5" s="1"/>
  <c r="E25" i="5" s="1"/>
  <c r="D12" i="5"/>
  <c r="D18" i="5" s="1"/>
  <c r="D21" i="5" s="1"/>
  <c r="D23" i="5" s="1"/>
  <c r="D25" i="5" s="1"/>
  <c r="C12" i="5"/>
  <c r="C18" i="5" s="1"/>
  <c r="C21" i="5" s="1"/>
  <c r="C23" i="5" s="1"/>
  <c r="C25" i="5" s="1"/>
  <c r="B12" i="5"/>
  <c r="B18" i="5" s="1"/>
  <c r="B21" i="5" s="1"/>
  <c r="B23" i="5" s="1"/>
  <c r="B25" i="5" s="1"/>
  <c r="A8" i="5"/>
  <c r="I7" i="5"/>
  <c r="I7" i="7" s="1"/>
  <c r="H7" i="5"/>
  <c r="H7" i="7" s="1"/>
  <c r="G7" i="5"/>
  <c r="G41" i="3" s="1"/>
  <c r="F7" i="5"/>
  <c r="F41" i="3" s="1"/>
  <c r="E7" i="5"/>
  <c r="D7" i="5"/>
  <c r="D7" i="10" s="1"/>
  <c r="C7" i="5"/>
  <c r="C7" i="6" s="1"/>
  <c r="C119" i="6" s="1"/>
  <c r="B7" i="5"/>
  <c r="B7" i="3" s="1"/>
  <c r="A4" i="5"/>
  <c r="A3" i="5"/>
  <c r="A1" i="5"/>
  <c r="A40" i="4"/>
  <c r="A37" i="4"/>
  <c r="I35" i="4"/>
  <c r="F35" i="4"/>
  <c r="C35" i="4"/>
  <c r="B35" i="4"/>
  <c r="A35" i="4"/>
  <c r="A34" i="4"/>
  <c r="H35" i="4"/>
  <c r="G35" i="4"/>
  <c r="A33" i="4"/>
  <c r="E35" i="4"/>
  <c r="D35" i="4"/>
  <c r="A32" i="4"/>
  <c r="F30" i="4"/>
  <c r="A30" i="4"/>
  <c r="A29" i="4"/>
  <c r="A28" i="4"/>
  <c r="A27" i="4"/>
  <c r="A26" i="4"/>
  <c r="A25" i="4"/>
  <c r="A24" i="4"/>
  <c r="I30" i="4"/>
  <c r="A23" i="4"/>
  <c r="D30" i="4"/>
  <c r="B30" i="4"/>
  <c r="A22" i="4"/>
  <c r="H30" i="4"/>
  <c r="G30" i="4"/>
  <c r="E30" i="4"/>
  <c r="C30" i="4"/>
  <c r="A21" i="4"/>
  <c r="H20" i="4"/>
  <c r="H37" i="4" s="1"/>
  <c r="A20" i="4"/>
  <c r="A19" i="4"/>
  <c r="A18" i="4"/>
  <c r="A17" i="4"/>
  <c r="A16" i="4"/>
  <c r="A15" i="4"/>
  <c r="A14" i="4"/>
  <c r="A13" i="4"/>
  <c r="A12" i="4"/>
  <c r="A11" i="4"/>
  <c r="A10" i="4"/>
  <c r="C20" i="4"/>
  <c r="C37" i="4" s="1"/>
  <c r="A9" i="4"/>
  <c r="A8" i="4"/>
  <c r="D20" i="4"/>
  <c r="D37" i="4" s="1"/>
  <c r="C39" i="4"/>
  <c r="A7" i="4"/>
  <c r="I20" i="4"/>
  <c r="I37" i="4" s="1"/>
  <c r="H39" i="4"/>
  <c r="D39" i="4"/>
  <c r="A6" i="4"/>
  <c r="I5" i="4"/>
  <c r="H5" i="4"/>
  <c r="G5" i="4"/>
  <c r="F5" i="4"/>
  <c r="E5" i="4"/>
  <c r="D5" i="4"/>
  <c r="C5" i="4"/>
  <c r="B5" i="4"/>
  <c r="A4" i="4"/>
  <c r="A3" i="4"/>
  <c r="A1" i="4"/>
  <c r="A62" i="3"/>
  <c r="A61" i="3"/>
  <c r="A60" i="3"/>
  <c r="A59" i="3"/>
  <c r="A58" i="3"/>
  <c r="A57" i="3"/>
  <c r="A56" i="3"/>
  <c r="A55" i="3"/>
  <c r="A54" i="3"/>
  <c r="A53" i="3"/>
  <c r="A52" i="3"/>
  <c r="A51" i="3"/>
  <c r="A50" i="3"/>
  <c r="A49" i="3"/>
  <c r="H48" i="3"/>
  <c r="H54" i="3" s="1"/>
  <c r="H58" i="3" s="1"/>
  <c r="H60" i="3" s="1"/>
  <c r="H62" i="3" s="1"/>
  <c r="A48" i="3"/>
  <c r="A47" i="3"/>
  <c r="A46" i="3"/>
  <c r="C48" i="3"/>
  <c r="C54" i="3" s="1"/>
  <c r="C58" i="3" s="1"/>
  <c r="C60" i="3" s="1"/>
  <c r="C62" i="3" s="1"/>
  <c r="A45" i="3"/>
  <c r="A44" i="3"/>
  <c r="E48" i="3"/>
  <c r="E54" i="3" s="1"/>
  <c r="E58" i="3" s="1"/>
  <c r="E60" i="3" s="1"/>
  <c r="E62" i="3" s="1"/>
  <c r="D48" i="3"/>
  <c r="D54" i="3" s="1"/>
  <c r="D58" i="3" s="1"/>
  <c r="D60" i="3" s="1"/>
  <c r="D62" i="3" s="1"/>
  <c r="A43" i="3"/>
  <c r="I48" i="3"/>
  <c r="I54" i="3" s="1"/>
  <c r="I58" i="3" s="1"/>
  <c r="I60" i="3" s="1"/>
  <c r="I62" i="3" s="1"/>
  <c r="G48" i="3"/>
  <c r="G54" i="3" s="1"/>
  <c r="G58" i="3" s="1"/>
  <c r="G60" i="3" s="1"/>
  <c r="G62" i="3" s="1"/>
  <c r="F48" i="3"/>
  <c r="F54" i="3" s="1"/>
  <c r="F58" i="3" s="1"/>
  <c r="F60" i="3" s="1"/>
  <c r="F62" i="3" s="1"/>
  <c r="B48" i="3"/>
  <c r="B54" i="3" s="1"/>
  <c r="B58" i="3" s="1"/>
  <c r="B60" i="3" s="1"/>
  <c r="B62" i="3" s="1"/>
  <c r="A42" i="3"/>
  <c r="F40" i="3"/>
  <c r="B40" i="3"/>
  <c r="A38" i="3"/>
  <c r="A37" i="3"/>
  <c r="A28" i="3"/>
  <c r="A27" i="3"/>
  <c r="A26" i="3"/>
  <c r="A25" i="3"/>
  <c r="A24" i="3"/>
  <c r="A23" i="3"/>
  <c r="A22" i="3"/>
  <c r="A21" i="3"/>
  <c r="A20" i="3"/>
  <c r="A19" i="3"/>
  <c r="A18" i="3"/>
  <c r="A17" i="3"/>
  <c r="A16" i="3"/>
  <c r="A15" i="3"/>
  <c r="B14" i="3"/>
  <c r="B20" i="3" s="1"/>
  <c r="B24" i="3" s="1"/>
  <c r="B26" i="3" s="1"/>
  <c r="B28" i="3" s="1"/>
  <c r="A14" i="3"/>
  <c r="A13" i="3"/>
  <c r="A12" i="3"/>
  <c r="D14" i="3"/>
  <c r="D20" i="3" s="1"/>
  <c r="D24" i="3" s="1"/>
  <c r="D26" i="3" s="1"/>
  <c r="D28" i="3" s="1"/>
  <c r="A11" i="3"/>
  <c r="I14" i="3"/>
  <c r="I20" i="3" s="1"/>
  <c r="I24" i="3" s="1"/>
  <c r="I26" i="3" s="1"/>
  <c r="I28" i="3" s="1"/>
  <c r="A10" i="3"/>
  <c r="F14" i="3"/>
  <c r="F20" i="3" s="1"/>
  <c r="F24" i="3" s="1"/>
  <c r="F26" i="3" s="1"/>
  <c r="F28" i="3" s="1"/>
  <c r="E14" i="3"/>
  <c r="E20" i="3" s="1"/>
  <c r="E24" i="3" s="1"/>
  <c r="E26" i="3" s="1"/>
  <c r="E28" i="3" s="1"/>
  <c r="A9" i="3"/>
  <c r="H14" i="3"/>
  <c r="H20" i="3" s="1"/>
  <c r="H24" i="3" s="1"/>
  <c r="H26" i="3" s="1"/>
  <c r="H28" i="3" s="1"/>
  <c r="G14" i="3"/>
  <c r="G20" i="3" s="1"/>
  <c r="G24" i="3" s="1"/>
  <c r="G26" i="3" s="1"/>
  <c r="G28" i="3" s="1"/>
  <c r="C14" i="3"/>
  <c r="C20" i="3" s="1"/>
  <c r="C24" i="3" s="1"/>
  <c r="C26" i="3" s="1"/>
  <c r="C28" i="3" s="1"/>
  <c r="A8" i="3"/>
  <c r="C7" i="3"/>
  <c r="F6" i="3"/>
  <c r="B6" i="3"/>
  <c r="A4" i="3"/>
  <c r="A3" i="3"/>
  <c r="A1" i="3"/>
  <c r="F32" i="2"/>
  <c r="C32" i="2"/>
  <c r="F31" i="2"/>
  <c r="C31" i="2"/>
  <c r="F30" i="2"/>
  <c r="C30" i="2"/>
  <c r="F29" i="2"/>
  <c r="C29" i="2"/>
  <c r="F28" i="2"/>
  <c r="C28" i="2"/>
  <c r="F27" i="2"/>
  <c r="C27" i="2"/>
  <c r="F26" i="2"/>
  <c r="C26" i="2"/>
  <c r="F25" i="2"/>
  <c r="C25" i="2"/>
  <c r="C24" i="2"/>
  <c r="C23" i="2"/>
  <c r="F22" i="2"/>
  <c r="C22" i="2"/>
  <c r="C21" i="2"/>
  <c r="C20" i="2"/>
  <c r="F19" i="2"/>
  <c r="F18" i="2"/>
  <c r="C18" i="2"/>
  <c r="F17" i="2"/>
  <c r="C17" i="2"/>
  <c r="F16" i="2"/>
  <c r="C16" i="2"/>
  <c r="F15" i="2"/>
  <c r="C15" i="2"/>
  <c r="F14" i="2"/>
  <c r="C14" i="2"/>
  <c r="F13" i="2"/>
  <c r="C13" i="2"/>
  <c r="F12" i="2"/>
  <c r="C12" i="2"/>
  <c r="F11" i="2"/>
  <c r="C11" i="2"/>
  <c r="F10" i="2"/>
  <c r="C10" i="2"/>
  <c r="F9" i="2"/>
  <c r="C9" i="2"/>
  <c r="C8" i="2"/>
  <c r="C7" i="2"/>
  <c r="F6" i="2"/>
  <c r="F5" i="2"/>
  <c r="C5" i="2"/>
  <c r="C4" i="2"/>
  <c r="C2" i="2"/>
  <c r="D7" i="3" l="1"/>
  <c r="B7" i="6"/>
  <c r="C41" i="3"/>
  <c r="G7" i="3"/>
  <c r="B41" i="3"/>
  <c r="D41" i="3"/>
  <c r="C7" i="8"/>
  <c r="C63" i="8" s="1"/>
  <c r="H41" i="3"/>
  <c r="H7" i="3"/>
  <c r="I7" i="3"/>
  <c r="D7" i="6"/>
  <c r="D119" i="6" s="1"/>
  <c r="I39" i="4"/>
  <c r="H63" i="7"/>
  <c r="H119" i="7"/>
  <c r="I63" i="7"/>
  <c r="I119" i="7"/>
  <c r="G39" i="4"/>
  <c r="I38" i="4"/>
  <c r="H38" i="4"/>
  <c r="D38" i="4"/>
  <c r="C38" i="4"/>
  <c r="D63" i="10"/>
  <c r="D119" i="10"/>
  <c r="E7" i="13"/>
  <c r="E63" i="13" s="1"/>
  <c r="E7" i="15"/>
  <c r="E63" i="15" s="1"/>
  <c r="E7" i="11"/>
  <c r="E7" i="7"/>
  <c r="E7" i="9"/>
  <c r="E7" i="14"/>
  <c r="E7" i="12"/>
  <c r="E7" i="8"/>
  <c r="E63" i="8" s="1"/>
  <c r="E7" i="6"/>
  <c r="B63" i="6"/>
  <c r="B119" i="6"/>
  <c r="F37" i="6"/>
  <c r="F44" i="6"/>
  <c r="F7" i="15"/>
  <c r="F63" i="15" s="1"/>
  <c r="F7" i="10"/>
  <c r="F7" i="13"/>
  <c r="F63" i="13" s="1"/>
  <c r="F7" i="11"/>
  <c r="F7" i="12"/>
  <c r="F7" i="7"/>
  <c r="F7" i="9"/>
  <c r="F7" i="14"/>
  <c r="F7" i="8"/>
  <c r="F63" i="8" s="1"/>
  <c r="B162" i="6"/>
  <c r="B50" i="6"/>
  <c r="D156" i="6"/>
  <c r="D149" i="6"/>
  <c r="E44" i="7"/>
  <c r="E37" i="7"/>
  <c r="D149" i="7"/>
  <c r="E37" i="8"/>
  <c r="C149" i="11"/>
  <c r="C156" i="11"/>
  <c r="C68" i="24"/>
  <c r="B20" i="4"/>
  <c r="B37" i="4" s="1"/>
  <c r="G7" i="15"/>
  <c r="G63" i="15" s="1"/>
  <c r="G7" i="14"/>
  <c r="G7" i="10"/>
  <c r="G7" i="13"/>
  <c r="G63" i="13" s="1"/>
  <c r="G7" i="11"/>
  <c r="G7" i="7"/>
  <c r="G7" i="9"/>
  <c r="G7" i="12"/>
  <c r="G7" i="8"/>
  <c r="G63" i="8" s="1"/>
  <c r="G7" i="6"/>
  <c r="F46" i="5"/>
  <c r="F130" i="6"/>
  <c r="F133" i="6" s="1"/>
  <c r="F135" i="6" s="1"/>
  <c r="F137" i="6" s="1"/>
  <c r="E156" i="6"/>
  <c r="E149" i="6"/>
  <c r="F44" i="7"/>
  <c r="F37" i="7"/>
  <c r="F77" i="7"/>
  <c r="F79" i="7" s="1"/>
  <c r="F81" i="7" s="1"/>
  <c r="C79" i="7"/>
  <c r="C81" i="7" s="1"/>
  <c r="D93" i="7"/>
  <c r="C44" i="10"/>
  <c r="H7" i="14"/>
  <c r="H7" i="13"/>
  <c r="H63" i="13" s="1"/>
  <c r="H7" i="15"/>
  <c r="H63" i="15" s="1"/>
  <c r="H7" i="11"/>
  <c r="H7" i="12"/>
  <c r="H7" i="9"/>
  <c r="H7" i="8"/>
  <c r="H63" i="8" s="1"/>
  <c r="H7" i="10"/>
  <c r="F7" i="6"/>
  <c r="D50" i="6"/>
  <c r="D86" i="6"/>
  <c r="D106" i="6"/>
  <c r="E77" i="7"/>
  <c r="E79" i="7" s="1"/>
  <c r="E81" i="7" s="1"/>
  <c r="H133" i="7"/>
  <c r="H135" i="7" s="1"/>
  <c r="H137" i="7" s="1"/>
  <c r="E44" i="9"/>
  <c r="E37" i="9"/>
  <c r="I7" i="13"/>
  <c r="I63" i="13" s="1"/>
  <c r="I7" i="10"/>
  <c r="I7" i="15"/>
  <c r="I63" i="15" s="1"/>
  <c r="I7" i="11"/>
  <c r="I7" i="12"/>
  <c r="I7" i="14"/>
  <c r="I7" i="9"/>
  <c r="I7" i="8"/>
  <c r="I63" i="8" s="1"/>
  <c r="H39" i="5"/>
  <c r="H7" i="6"/>
  <c r="E86" i="6"/>
  <c r="E106" i="6"/>
  <c r="E142" i="6"/>
  <c r="B106" i="6"/>
  <c r="G149" i="6"/>
  <c r="G133" i="7"/>
  <c r="G135" i="7" s="1"/>
  <c r="G137" i="7" s="1"/>
  <c r="F44" i="9"/>
  <c r="F37" i="9"/>
  <c r="E7" i="3"/>
  <c r="E20" i="4"/>
  <c r="E37" i="4" s="1"/>
  <c r="I46" i="5"/>
  <c r="I7" i="6"/>
  <c r="B86" i="6"/>
  <c r="I93" i="6"/>
  <c r="B12" i="7"/>
  <c r="B18" i="7" s="1"/>
  <c r="B21" i="7" s="1"/>
  <c r="B23" i="7" s="1"/>
  <c r="B25" i="7" s="1"/>
  <c r="G100" i="7"/>
  <c r="G93" i="7"/>
  <c r="G23" i="13"/>
  <c r="G25" i="13" s="1"/>
  <c r="F7" i="3"/>
  <c r="E41" i="3"/>
  <c r="F20" i="4"/>
  <c r="F37" i="4" s="1"/>
  <c r="G50" i="6"/>
  <c r="G142" i="6"/>
  <c r="G162" i="6"/>
  <c r="G106" i="6"/>
  <c r="I149" i="6"/>
  <c r="I156" i="6"/>
  <c r="H100" i="7"/>
  <c r="H93" i="7"/>
  <c r="E149" i="7"/>
  <c r="F37" i="8"/>
  <c r="G20" i="4"/>
  <c r="G37" i="4" s="1"/>
  <c r="B12" i="6"/>
  <c r="B18" i="6" s="1"/>
  <c r="B21" i="6" s="1"/>
  <c r="B23" i="6" s="1"/>
  <c r="B25" i="6" s="1"/>
  <c r="H86" i="6"/>
  <c r="H162" i="6"/>
  <c r="H106" i="6"/>
  <c r="B86" i="9"/>
  <c r="B142" i="9"/>
  <c r="B162" i="9"/>
  <c r="B50" i="9"/>
  <c r="H46" i="5"/>
  <c r="I50" i="6"/>
  <c r="I106" i="6"/>
  <c r="I86" i="6"/>
  <c r="B142" i="6"/>
  <c r="D50" i="7"/>
  <c r="D86" i="7"/>
  <c r="D106" i="7"/>
  <c r="D142" i="7"/>
  <c r="D162" i="7"/>
  <c r="C106" i="9"/>
  <c r="C162" i="9"/>
  <c r="C142" i="9"/>
  <c r="C50" i="9"/>
  <c r="C86" i="9"/>
  <c r="G21" i="10"/>
  <c r="G23" i="10" s="1"/>
  <c r="G25" i="10" s="1"/>
  <c r="B62" i="11"/>
  <c r="B118" i="11"/>
  <c r="B100" i="6"/>
  <c r="B93" i="6"/>
  <c r="E86" i="7"/>
  <c r="E106" i="7"/>
  <c r="E142" i="7"/>
  <c r="E162" i="7"/>
  <c r="G124" i="9"/>
  <c r="G130" i="9" s="1"/>
  <c r="G133" i="9" s="1"/>
  <c r="G135" i="9" s="1"/>
  <c r="G137" i="9" s="1"/>
  <c r="E133" i="9"/>
  <c r="E135" i="9" s="1"/>
  <c r="E137" i="9" s="1"/>
  <c r="I41" i="3"/>
  <c r="F39" i="5"/>
  <c r="E50" i="6"/>
  <c r="D142" i="6"/>
  <c r="G12" i="7"/>
  <c r="G18" i="7" s="1"/>
  <c r="G21" i="7" s="1"/>
  <c r="G23" i="7" s="1"/>
  <c r="G25" i="7" s="1"/>
  <c r="C100" i="7"/>
  <c r="C100" i="8"/>
  <c r="C93" i="8"/>
  <c r="B93" i="13"/>
  <c r="B100" i="13"/>
  <c r="D162" i="6"/>
  <c r="D100" i="7"/>
  <c r="D100" i="8"/>
  <c r="D93" i="8"/>
  <c r="C21" i="9"/>
  <c r="C23" i="9" s="1"/>
  <c r="C25" i="9" s="1"/>
  <c r="G156" i="9"/>
  <c r="E44" i="10"/>
  <c r="E37" i="10"/>
  <c r="H50" i="6"/>
  <c r="E93" i="6"/>
  <c r="H142" i="6"/>
  <c r="E162" i="6"/>
  <c r="B106" i="9"/>
  <c r="B7" i="15"/>
  <c r="B63" i="15" s="1"/>
  <c r="B7" i="14"/>
  <c r="B7" i="13"/>
  <c r="B63" i="13" s="1"/>
  <c r="B7" i="12"/>
  <c r="B7" i="9"/>
  <c r="B7" i="10"/>
  <c r="B7" i="7"/>
  <c r="B7" i="11"/>
  <c r="H12" i="6"/>
  <c r="H18" i="6" s="1"/>
  <c r="H21" i="6" s="1"/>
  <c r="H23" i="6" s="1"/>
  <c r="H25" i="6" s="1"/>
  <c r="I142" i="6"/>
  <c r="C149" i="6"/>
  <c r="I162" i="6"/>
  <c r="B81" i="9"/>
  <c r="C7" i="15"/>
  <c r="C63" i="15" s="1"/>
  <c r="C7" i="14"/>
  <c r="C7" i="13"/>
  <c r="C63" i="13" s="1"/>
  <c r="C7" i="12"/>
  <c r="C7" i="10"/>
  <c r="C7" i="7"/>
  <c r="C7" i="9"/>
  <c r="C7" i="11"/>
  <c r="D37" i="6"/>
  <c r="B37" i="6"/>
  <c r="C63" i="6"/>
  <c r="G93" i="6"/>
  <c r="G100" i="6"/>
  <c r="B37" i="7"/>
  <c r="B81" i="7"/>
  <c r="C137" i="7"/>
  <c r="B37" i="8"/>
  <c r="D44" i="10"/>
  <c r="D7" i="14"/>
  <c r="D7" i="13"/>
  <c r="D63" i="13" s="1"/>
  <c r="D7" i="9"/>
  <c r="D7" i="15"/>
  <c r="D63" i="15" s="1"/>
  <c r="D7" i="7"/>
  <c r="D7" i="12"/>
  <c r="D7" i="11"/>
  <c r="D7" i="8"/>
  <c r="D63" i="8" s="1"/>
  <c r="C39" i="5"/>
  <c r="F62" i="6"/>
  <c r="F118" i="6"/>
  <c r="E37" i="6"/>
  <c r="E44" i="6"/>
  <c r="H93" i="6"/>
  <c r="H100" i="6"/>
  <c r="C124" i="6"/>
  <c r="C130" i="6" s="1"/>
  <c r="C133" i="6" s="1"/>
  <c r="C135" i="6" s="1"/>
  <c r="C137" i="6" s="1"/>
  <c r="B156" i="6"/>
  <c r="C44" i="7"/>
  <c r="D137" i="7"/>
  <c r="B7" i="8"/>
  <c r="B63" i="8" s="1"/>
  <c r="H93" i="8"/>
  <c r="G18" i="9"/>
  <c r="G21" i="9" s="1"/>
  <c r="G23" i="9" s="1"/>
  <c r="G25" i="9" s="1"/>
  <c r="I23" i="9"/>
  <c r="I25" i="9" s="1"/>
  <c r="E7" i="10"/>
  <c r="F162" i="6"/>
  <c r="G50" i="7"/>
  <c r="H86" i="7"/>
  <c r="I106" i="7"/>
  <c r="G29" i="24"/>
  <c r="C156" i="7"/>
  <c r="D44" i="8"/>
  <c r="B86" i="8"/>
  <c r="F106" i="8"/>
  <c r="G37" i="9"/>
  <c r="I68" i="9"/>
  <c r="I74" i="9" s="1"/>
  <c r="I77" i="9" s="1"/>
  <c r="I79" i="9" s="1"/>
  <c r="I81" i="9" s="1"/>
  <c r="E106" i="9"/>
  <c r="D149" i="9"/>
  <c r="D50" i="10"/>
  <c r="D86" i="10"/>
  <c r="D106" i="10"/>
  <c r="D142" i="10"/>
  <c r="D162" i="10"/>
  <c r="I100" i="10"/>
  <c r="I93" i="10"/>
  <c r="B149" i="10"/>
  <c r="D149" i="11"/>
  <c r="I86" i="7"/>
  <c r="D156" i="7"/>
  <c r="E44" i="8"/>
  <c r="C86" i="8"/>
  <c r="H106" i="8"/>
  <c r="E12" i="9"/>
  <c r="E18" i="9" s="1"/>
  <c r="E21" i="9" s="1"/>
  <c r="E23" i="9" s="1"/>
  <c r="E25" i="9" s="1"/>
  <c r="H37" i="9"/>
  <c r="D64" i="24"/>
  <c r="G44" i="10"/>
  <c r="G124" i="10"/>
  <c r="G130" i="10" s="1"/>
  <c r="G133" i="10" s="1"/>
  <c r="G135" i="10" s="1"/>
  <c r="G137" i="10" s="1"/>
  <c r="C149" i="10"/>
  <c r="B37" i="11"/>
  <c r="E149" i="11"/>
  <c r="I50" i="7"/>
  <c r="B162" i="7"/>
  <c r="C50" i="8"/>
  <c r="D86" i="8"/>
  <c r="G93" i="8"/>
  <c r="G68" i="24"/>
  <c r="F62" i="9"/>
  <c r="C93" i="9"/>
  <c r="E156" i="9"/>
  <c r="F50" i="10"/>
  <c r="F86" i="10"/>
  <c r="F106" i="10"/>
  <c r="F142" i="10"/>
  <c r="F162" i="10"/>
  <c r="H124" i="10"/>
  <c r="H130" i="10" s="1"/>
  <c r="H133" i="10" s="1"/>
  <c r="H135" i="10" s="1"/>
  <c r="H137" i="10" s="1"/>
  <c r="C37" i="11"/>
  <c r="D37" i="11"/>
  <c r="I44" i="11"/>
  <c r="C162" i="7"/>
  <c r="D100" i="9"/>
  <c r="H106" i="9"/>
  <c r="G86" i="10"/>
  <c r="G106" i="10"/>
  <c r="G142" i="10"/>
  <c r="G162" i="10"/>
  <c r="I133" i="10"/>
  <c r="I135" i="10" s="1"/>
  <c r="I137" i="10" s="1"/>
  <c r="E44" i="11"/>
  <c r="H86" i="12"/>
  <c r="H142" i="12"/>
  <c r="H50" i="12"/>
  <c r="H162" i="12"/>
  <c r="H106" i="12"/>
  <c r="C142" i="7"/>
  <c r="I93" i="8"/>
  <c r="I68" i="24"/>
  <c r="G64" i="24"/>
  <c r="H124" i="9"/>
  <c r="H130" i="9" s="1"/>
  <c r="H133" i="9" s="1"/>
  <c r="H135" i="9" s="1"/>
  <c r="H137" i="9" s="1"/>
  <c r="H106" i="10"/>
  <c r="H142" i="10"/>
  <c r="H162" i="10"/>
  <c r="I106" i="12"/>
  <c r="I86" i="12"/>
  <c r="I50" i="12"/>
  <c r="I162" i="12"/>
  <c r="F47" i="14"/>
  <c r="I47" i="14"/>
  <c r="G86" i="8"/>
  <c r="F100" i="9"/>
  <c r="I124" i="9"/>
  <c r="I130" i="9" s="1"/>
  <c r="I133" i="9" s="1"/>
  <c r="I135" i="9" s="1"/>
  <c r="I137" i="9" s="1"/>
  <c r="I142" i="10"/>
  <c r="I162" i="10"/>
  <c r="I106" i="10"/>
  <c r="G44" i="11"/>
  <c r="E93" i="11"/>
  <c r="G47" i="14"/>
  <c r="I64" i="24"/>
  <c r="H162" i="9"/>
  <c r="D106" i="15"/>
  <c r="D50" i="15"/>
  <c r="D86" i="15"/>
  <c r="G162" i="7"/>
  <c r="F74" i="10"/>
  <c r="F77" i="10" s="1"/>
  <c r="F79" i="10" s="1"/>
  <c r="F81" i="10" s="1"/>
  <c r="G133" i="11"/>
  <c r="G135" i="11" s="1"/>
  <c r="G137" i="11" s="1"/>
  <c r="F149" i="11"/>
  <c r="H106" i="13"/>
  <c r="H50" i="13"/>
  <c r="H86" i="13"/>
  <c r="E86" i="9"/>
  <c r="I93" i="9"/>
  <c r="G37" i="10"/>
  <c r="H100" i="10"/>
  <c r="F100" i="10"/>
  <c r="G149" i="11"/>
  <c r="C12" i="12"/>
  <c r="C18" i="12" s="1"/>
  <c r="C21" i="12" s="1"/>
  <c r="C23" i="12" s="1"/>
  <c r="C25" i="12" s="1"/>
  <c r="I106" i="13"/>
  <c r="I50" i="13"/>
  <c r="I86" i="13"/>
  <c r="D48" i="14"/>
  <c r="D47" i="14" s="1"/>
  <c r="B106" i="7"/>
  <c r="I162" i="7"/>
  <c r="E149" i="9"/>
  <c r="I12" i="10"/>
  <c r="I18" i="10" s="1"/>
  <c r="I21" i="10" s="1"/>
  <c r="I23" i="10" s="1"/>
  <c r="I25" i="10" s="1"/>
  <c r="F44" i="10"/>
  <c r="B100" i="10"/>
  <c r="H77" i="11"/>
  <c r="H79" i="11" s="1"/>
  <c r="H81" i="11" s="1"/>
  <c r="C79" i="13"/>
  <c r="C81" i="13" s="1"/>
  <c r="D23" i="15"/>
  <c r="D25" i="15" s="1"/>
  <c r="E48" i="14"/>
  <c r="B86" i="7"/>
  <c r="C106" i="7"/>
  <c r="F93" i="8"/>
  <c r="F156" i="9"/>
  <c r="I37" i="10"/>
  <c r="G50" i="10"/>
  <c r="I81" i="11"/>
  <c r="D79" i="13"/>
  <c r="D81" i="13" s="1"/>
  <c r="B37" i="15"/>
  <c r="C86" i="7"/>
  <c r="B44" i="9"/>
  <c r="G44" i="9"/>
  <c r="D50" i="9"/>
  <c r="H86" i="9"/>
  <c r="D93" i="9"/>
  <c r="C100" i="9"/>
  <c r="E142" i="9"/>
  <c r="H50" i="10"/>
  <c r="D100" i="10"/>
  <c r="H12" i="11"/>
  <c r="H18" i="11" s="1"/>
  <c r="H21" i="11" s="1"/>
  <c r="H23" i="11" s="1"/>
  <c r="H25" i="11" s="1"/>
  <c r="D44" i="11"/>
  <c r="F100" i="11"/>
  <c r="H21" i="15"/>
  <c r="H23" i="15" s="1"/>
  <c r="H25" i="15" s="1"/>
  <c r="E50" i="9"/>
  <c r="F142" i="9"/>
  <c r="H156" i="9"/>
  <c r="B44" i="10"/>
  <c r="I50" i="10"/>
  <c r="E156" i="10"/>
  <c r="I12" i="11"/>
  <c r="I18" i="11" s="1"/>
  <c r="I21" i="11" s="1"/>
  <c r="I23" i="11" s="1"/>
  <c r="I25" i="11" s="1"/>
  <c r="F68" i="12"/>
  <c r="F74" i="12" s="1"/>
  <c r="F77" i="12" s="1"/>
  <c r="F79" i="12" s="1"/>
  <c r="F81" i="12" s="1"/>
  <c r="G37" i="13"/>
  <c r="I21" i="15"/>
  <c r="I23" i="15" s="1"/>
  <c r="I25" i="15" s="1"/>
  <c r="D29" i="24"/>
  <c r="B68" i="24"/>
  <c r="D44" i="9"/>
  <c r="F68" i="9"/>
  <c r="F74" i="9" s="1"/>
  <c r="F77" i="9" s="1"/>
  <c r="F79" i="9" s="1"/>
  <c r="F81" i="9" s="1"/>
  <c r="F93" i="9"/>
  <c r="H93" i="10"/>
  <c r="F44" i="11"/>
  <c r="H100" i="11"/>
  <c r="H156" i="11"/>
  <c r="I142" i="12"/>
  <c r="C100" i="11"/>
  <c r="E156" i="11"/>
  <c r="E106" i="15"/>
  <c r="E50" i="15"/>
  <c r="G13" i="19"/>
  <c r="E64" i="24"/>
  <c r="E66" i="24"/>
  <c r="F37" i="13"/>
  <c r="B29" i="24"/>
  <c r="F64" i="24"/>
  <c r="F66" i="24"/>
  <c r="E100" i="12"/>
  <c r="E93" i="12"/>
  <c r="E93" i="13"/>
  <c r="B41" i="14"/>
  <c r="B47" i="14" s="1"/>
  <c r="C29" i="24"/>
  <c r="F68" i="24"/>
  <c r="D142" i="11"/>
  <c r="F100" i="12"/>
  <c r="F93" i="12"/>
  <c r="H68" i="13"/>
  <c r="H74" i="13" s="1"/>
  <c r="H77" i="13" s="1"/>
  <c r="H79" i="13" s="1"/>
  <c r="H81" i="13" s="1"/>
  <c r="H106" i="15"/>
  <c r="H50" i="15"/>
  <c r="H64" i="24"/>
  <c r="H66" i="24"/>
  <c r="E68" i="24"/>
  <c r="C86" i="11"/>
  <c r="D106" i="11"/>
  <c r="B66" i="24"/>
  <c r="F162" i="11"/>
  <c r="D68" i="12"/>
  <c r="D74" i="12" s="1"/>
  <c r="D77" i="12" s="1"/>
  <c r="D79" i="12" s="1"/>
  <c r="D81" i="12" s="1"/>
  <c r="G93" i="12"/>
  <c r="E44" i="13"/>
  <c r="F50" i="13"/>
  <c r="G100" i="13"/>
  <c r="D12" i="14"/>
  <c r="D18" i="14" s="1"/>
  <c r="D21" i="14" s="1"/>
  <c r="D23" i="14" s="1"/>
  <c r="D25" i="14" s="1"/>
  <c r="D37" i="15"/>
  <c r="C68" i="15"/>
  <c r="C74" i="15" s="1"/>
  <c r="C77" i="15" s="1"/>
  <c r="C79" i="15" s="1"/>
  <c r="C81" i="15" s="1"/>
  <c r="E86" i="15"/>
  <c r="F14" i="23"/>
  <c r="E29" i="24"/>
  <c r="H68" i="24"/>
  <c r="D86" i="11"/>
  <c r="F142" i="11"/>
  <c r="E68" i="12"/>
  <c r="E74" i="12" s="1"/>
  <c r="E77" i="12" s="1"/>
  <c r="E79" i="12" s="1"/>
  <c r="E81" i="12" s="1"/>
  <c r="H93" i="12"/>
  <c r="E41" i="14"/>
  <c r="E44" i="15"/>
  <c r="G86" i="15"/>
  <c r="C93" i="15"/>
  <c r="B26" i="22"/>
  <c r="F106" i="11"/>
  <c r="D66" i="24"/>
  <c r="C44" i="12"/>
  <c r="G156" i="12"/>
  <c r="G149" i="12"/>
  <c r="E100" i="13"/>
  <c r="F12" i="14"/>
  <c r="F18" i="14" s="1"/>
  <c r="F21" i="14" s="1"/>
  <c r="F23" i="14" s="1"/>
  <c r="F25" i="14" s="1"/>
  <c r="E68" i="15"/>
  <c r="E74" i="15" s="1"/>
  <c r="E77" i="15" s="1"/>
  <c r="E79" i="15" s="1"/>
  <c r="E81" i="15" s="1"/>
  <c r="H86" i="15"/>
  <c r="D93" i="15"/>
  <c r="D13" i="19"/>
  <c r="F43" i="19"/>
  <c r="C26" i="22"/>
  <c r="I26" i="22"/>
  <c r="I10" i="22"/>
  <c r="G14" i="23"/>
  <c r="B27" i="23"/>
  <c r="B48" i="23"/>
  <c r="C65" i="24"/>
  <c r="C67" i="24"/>
  <c r="B149" i="11"/>
  <c r="I162" i="11"/>
  <c r="D44" i="12"/>
  <c r="B124" i="12"/>
  <c r="B130" i="12" s="1"/>
  <c r="B133" i="12" s="1"/>
  <c r="B135" i="12" s="1"/>
  <c r="B137" i="12" s="1"/>
  <c r="H156" i="12"/>
  <c r="H149" i="12"/>
  <c r="C44" i="13"/>
  <c r="G12" i="14"/>
  <c r="G18" i="14" s="1"/>
  <c r="G21" i="14" s="1"/>
  <c r="G23" i="14" s="1"/>
  <c r="G25" i="14" s="1"/>
  <c r="E12" i="14"/>
  <c r="E18" i="14" s="1"/>
  <c r="E21" i="14" s="1"/>
  <c r="E23" i="14" s="1"/>
  <c r="E25" i="14" s="1"/>
  <c r="F68" i="15"/>
  <c r="F74" i="15" s="1"/>
  <c r="F77" i="15" s="1"/>
  <c r="F79" i="15" s="1"/>
  <c r="F81" i="15" s="1"/>
  <c r="D68" i="15"/>
  <c r="D74" i="15" s="1"/>
  <c r="D77" i="15" s="1"/>
  <c r="D79" i="15" s="1"/>
  <c r="D81" i="15" s="1"/>
  <c r="E100" i="15"/>
  <c r="C27" i="23"/>
  <c r="H11" i="24"/>
  <c r="H29" i="24"/>
  <c r="D65" i="24"/>
  <c r="D67" i="24"/>
  <c r="I142" i="11"/>
  <c r="B86" i="12"/>
  <c r="B106" i="12"/>
  <c r="H68" i="12"/>
  <c r="H74" i="12" s="1"/>
  <c r="H77" i="12" s="1"/>
  <c r="H79" i="12" s="1"/>
  <c r="H81" i="12" s="1"/>
  <c r="I149" i="12"/>
  <c r="H41" i="14"/>
  <c r="H47" i="14" s="1"/>
  <c r="H44" i="15"/>
  <c r="F13" i="19"/>
  <c r="H43" i="19"/>
  <c r="I14" i="23"/>
  <c r="I11" i="24"/>
  <c r="I29" i="24"/>
  <c r="E65" i="24"/>
  <c r="E67" i="24"/>
  <c r="B65" i="24"/>
  <c r="I106" i="11"/>
  <c r="G66" i="24"/>
  <c r="C106" i="12"/>
  <c r="C142" i="12"/>
  <c r="F37" i="12"/>
  <c r="I68" i="12"/>
  <c r="I74" i="12" s="1"/>
  <c r="I77" i="12" s="1"/>
  <c r="I79" i="12" s="1"/>
  <c r="I81" i="12" s="1"/>
  <c r="D124" i="12"/>
  <c r="D130" i="12" s="1"/>
  <c r="D133" i="12" s="1"/>
  <c r="D135" i="12" s="1"/>
  <c r="D137" i="12" s="1"/>
  <c r="B21" i="13"/>
  <c r="B23" i="13" s="1"/>
  <c r="B25" i="13" s="1"/>
  <c r="C106" i="13"/>
  <c r="C50" i="13"/>
  <c r="C100" i="13"/>
  <c r="C44" i="15"/>
  <c r="I86" i="11"/>
  <c r="D142" i="12"/>
  <c r="D162" i="12"/>
  <c r="C12" i="13"/>
  <c r="C18" i="13" s="1"/>
  <c r="C21" i="13" s="1"/>
  <c r="C23" i="13" s="1"/>
  <c r="C25" i="13" s="1"/>
  <c r="I68" i="15"/>
  <c r="I74" i="15" s="1"/>
  <c r="I77" i="15" s="1"/>
  <c r="I79" i="15" s="1"/>
  <c r="I81" i="15" s="1"/>
  <c r="H100" i="15"/>
  <c r="C28" i="19"/>
  <c r="G26" i="22"/>
  <c r="D11" i="24"/>
  <c r="G65" i="24"/>
  <c r="I66" i="24"/>
  <c r="F62" i="12"/>
  <c r="F118" i="12"/>
  <c r="G86" i="12"/>
  <c r="F124" i="12"/>
  <c r="F130" i="12" s="1"/>
  <c r="F133" i="12" s="1"/>
  <c r="F135" i="12" s="1"/>
  <c r="F137" i="12" s="1"/>
  <c r="G37" i="15"/>
  <c r="G50" i="15"/>
  <c r="I100" i="15"/>
  <c r="C100" i="15"/>
  <c r="B13" i="19"/>
  <c r="B10" i="22"/>
  <c r="E11" i="24"/>
  <c r="I37" i="12"/>
  <c r="D93" i="12"/>
  <c r="G124" i="12"/>
  <c r="G130" i="12" s="1"/>
  <c r="G133" i="12" s="1"/>
  <c r="G135" i="12" s="1"/>
  <c r="G137" i="12" s="1"/>
  <c r="E130" i="12"/>
  <c r="E133" i="12" s="1"/>
  <c r="E135" i="12" s="1"/>
  <c r="E137" i="12" s="1"/>
  <c r="E18" i="13"/>
  <c r="E21" i="13" s="1"/>
  <c r="E23" i="13" s="1"/>
  <c r="E25" i="13" s="1"/>
  <c r="C13" i="19"/>
  <c r="F11" i="24"/>
  <c r="C11" i="24"/>
  <c r="I65" i="24"/>
  <c r="I67" i="24"/>
  <c r="F65" i="24"/>
  <c r="E106" i="12"/>
  <c r="B149" i="12"/>
  <c r="C162" i="12"/>
  <c r="B37" i="13"/>
  <c r="B44" i="13"/>
  <c r="B68" i="13"/>
  <c r="B74" i="13" s="1"/>
  <c r="B77" i="13" s="1"/>
  <c r="B79" i="13" s="1"/>
  <c r="B81" i="13" s="1"/>
  <c r="C86" i="13"/>
  <c r="C12" i="15"/>
  <c r="C18" i="15" s="1"/>
  <c r="C21" i="15" s="1"/>
  <c r="C23" i="15" s="1"/>
  <c r="C25" i="15" s="1"/>
  <c r="G93" i="15"/>
  <c r="D43" i="19"/>
  <c r="I27" i="23"/>
  <c r="B93" i="12"/>
  <c r="D149" i="12"/>
  <c r="H10" i="24"/>
  <c r="I27" i="24"/>
  <c r="H46" i="24"/>
  <c r="G48" i="24"/>
  <c r="C18" i="25"/>
  <c r="I10" i="24"/>
  <c r="H13" i="24"/>
  <c r="B19" i="24"/>
  <c r="B28" i="24"/>
  <c r="H48" i="24"/>
  <c r="B31" i="23"/>
  <c r="D52" i="23"/>
  <c r="B9" i="24"/>
  <c r="I13" i="24"/>
  <c r="C19" i="24"/>
  <c r="H22" i="24"/>
  <c r="I48" i="24"/>
  <c r="B20" i="18"/>
  <c r="C17" i="22"/>
  <c r="D31" i="23"/>
  <c r="F52" i="23"/>
  <c r="D31" i="24"/>
  <c r="D41" i="24"/>
  <c r="G18" i="25"/>
  <c r="C20" i="18"/>
  <c r="I5" i="20"/>
  <c r="D17" i="22"/>
  <c r="D26" i="22" s="1"/>
  <c r="G52" i="23"/>
  <c r="E31" i="24"/>
  <c r="E41" i="24"/>
  <c r="D20" i="18"/>
  <c r="B17" i="19"/>
  <c r="E17" i="22"/>
  <c r="E26" i="22" s="1"/>
  <c r="F31" i="23"/>
  <c r="G28" i="24"/>
  <c r="F31" i="24"/>
  <c r="F41" i="24"/>
  <c r="I18" i="25"/>
  <c r="E20" i="18"/>
  <c r="G9" i="24"/>
  <c r="G11" i="24" s="1"/>
  <c r="H19" i="24"/>
  <c r="H28" i="24"/>
  <c r="E51" i="24"/>
  <c r="I19" i="24"/>
  <c r="H31" i="24"/>
  <c r="H41" i="24"/>
  <c r="F51" i="24"/>
  <c r="G67" i="24"/>
  <c r="B31" i="25"/>
  <c r="F44" i="13"/>
  <c r="D86" i="13"/>
  <c r="F100" i="13"/>
  <c r="D44" i="15"/>
  <c r="B86" i="15"/>
  <c r="D100" i="15"/>
  <c r="G20" i="18"/>
  <c r="H17" i="22"/>
  <c r="H26" i="22" s="1"/>
  <c r="H20" i="24"/>
  <c r="I31" i="24"/>
  <c r="D50" i="13"/>
  <c r="B50" i="15"/>
  <c r="H20" i="18"/>
  <c r="F17" i="19"/>
  <c r="B43" i="23"/>
  <c r="B10" i="24"/>
  <c r="I20" i="24"/>
  <c r="C46" i="24"/>
  <c r="C48" i="24"/>
  <c r="F86" i="15"/>
  <c r="E46" i="24"/>
  <c r="E48" i="24" s="1"/>
  <c r="F43" i="23"/>
  <c r="F46" i="24"/>
  <c r="G43" i="23"/>
  <c r="F48" i="24"/>
  <c r="D63" i="6" l="1"/>
  <c r="I63" i="6"/>
  <c r="I119" i="6"/>
  <c r="H119" i="9"/>
  <c r="H63" i="9"/>
  <c r="C63" i="10"/>
  <c r="C119" i="10"/>
  <c r="E39" i="4"/>
  <c r="G63" i="11"/>
  <c r="G119" i="11"/>
  <c r="E119" i="11"/>
  <c r="E63" i="11"/>
  <c r="B38" i="4"/>
  <c r="F63" i="12"/>
  <c r="F119" i="12"/>
  <c r="G63" i="6"/>
  <c r="G119" i="6"/>
  <c r="G119" i="12"/>
  <c r="G63" i="12"/>
  <c r="E119" i="6"/>
  <c r="E63" i="6"/>
  <c r="E47" i="14"/>
  <c r="G63" i="7"/>
  <c r="G119" i="7"/>
  <c r="F63" i="9"/>
  <c r="F119" i="9"/>
  <c r="F63" i="7"/>
  <c r="F119" i="7"/>
  <c r="E119" i="10"/>
  <c r="E63" i="10"/>
  <c r="B119" i="11"/>
  <c r="B63" i="11"/>
  <c r="F63" i="11"/>
  <c r="F119" i="11"/>
  <c r="D63" i="7"/>
  <c r="D119" i="7"/>
  <c r="B63" i="12"/>
  <c r="B119" i="12"/>
  <c r="I119" i="9"/>
  <c r="I63" i="9"/>
  <c r="C63" i="7"/>
  <c r="C119" i="7"/>
  <c r="I119" i="12"/>
  <c r="I63" i="12"/>
  <c r="H119" i="12"/>
  <c r="H63" i="12"/>
  <c r="E38" i="4"/>
  <c r="H63" i="11"/>
  <c r="H119" i="11"/>
  <c r="I63" i="10"/>
  <c r="I119" i="10"/>
  <c r="E63" i="12"/>
  <c r="E119" i="12"/>
  <c r="F38" i="4"/>
  <c r="G63" i="10"/>
  <c r="G119" i="10"/>
  <c r="E63" i="7"/>
  <c r="E119" i="7"/>
  <c r="B63" i="7"/>
  <c r="B119" i="7"/>
  <c r="G38" i="4"/>
  <c r="H63" i="6"/>
  <c r="H119" i="6"/>
  <c r="C63" i="9"/>
  <c r="C119" i="9"/>
  <c r="D63" i="9"/>
  <c r="D119" i="9"/>
  <c r="C119" i="12"/>
  <c r="C63" i="12"/>
  <c r="I63" i="11"/>
  <c r="I119" i="11"/>
  <c r="G119" i="9"/>
  <c r="G63" i="9"/>
  <c r="E119" i="9"/>
  <c r="E63" i="9"/>
  <c r="D63" i="11"/>
  <c r="D119" i="11"/>
  <c r="B63" i="10"/>
  <c r="B119" i="10"/>
  <c r="F119" i="6"/>
  <c r="F63" i="6"/>
  <c r="F119" i="10"/>
  <c r="F63" i="10"/>
  <c r="D119" i="12"/>
  <c r="D63" i="12"/>
  <c r="C63" i="11"/>
  <c r="C119" i="11"/>
  <c r="B119" i="9"/>
  <c r="B63" i="9"/>
  <c r="H63" i="10"/>
  <c r="H119" i="10"/>
  <c r="B39" i="4"/>
  <c r="F39" i="4"/>
</calcChain>
</file>

<file path=xl/sharedStrings.xml><?xml version="1.0" encoding="utf-8"?>
<sst xmlns="http://schemas.openxmlformats.org/spreadsheetml/2006/main" count="683" uniqueCount="563">
  <si>
    <t>Orden</t>
  </si>
  <si>
    <t>Castellano</t>
  </si>
  <si>
    <t>Inglés</t>
  </si>
  <si>
    <t>IDIOMA/LANGUAGE</t>
  </si>
  <si>
    <t>Series trimestrales 2025-2026</t>
  </si>
  <si>
    <t>Quarterly series 2025-2026</t>
  </si>
  <si>
    <t>ESPAÑOL</t>
  </si>
  <si>
    <t>Grupo BBVA</t>
  </si>
  <si>
    <t>BBVA Group</t>
  </si>
  <si>
    <t>ENGLISH</t>
  </si>
  <si>
    <t>Cuentas de resultados consolidadas</t>
  </si>
  <si>
    <t>Consolidated income statement</t>
  </si>
  <si>
    <t>Balances de situación consolidados</t>
  </si>
  <si>
    <t>Consolidated balance sheet</t>
  </si>
  <si>
    <t>Áreas de negocio</t>
  </si>
  <si>
    <t>Business areas</t>
  </si>
  <si>
    <t>España</t>
  </si>
  <si>
    <t>Spain</t>
  </si>
  <si>
    <t>Actividad bancaria en España</t>
  </si>
  <si>
    <t>Banking activity in Spain</t>
  </si>
  <si>
    <t>Non Core Real Estate</t>
  </si>
  <si>
    <t>EEUU</t>
  </si>
  <si>
    <t>USA</t>
  </si>
  <si>
    <t>México</t>
  </si>
  <si>
    <t>Mexico</t>
  </si>
  <si>
    <t xml:space="preserve">Turquía </t>
  </si>
  <si>
    <t xml:space="preserve">Turkey </t>
  </si>
  <si>
    <t xml:space="preserve">América del Sur </t>
  </si>
  <si>
    <t>South America</t>
  </si>
  <si>
    <t>Argentina</t>
  </si>
  <si>
    <t>Chile</t>
  </si>
  <si>
    <t>Colombia</t>
  </si>
  <si>
    <t>Perú</t>
  </si>
  <si>
    <t>Peru</t>
  </si>
  <si>
    <t>Resto de Eurasia</t>
  </si>
  <si>
    <t>Rest of Eurasia</t>
  </si>
  <si>
    <t>Centro Corporativo</t>
  </si>
  <si>
    <t xml:space="preserve">Corporate Center </t>
  </si>
  <si>
    <t>Información adicional:</t>
  </si>
  <si>
    <t>Additional information:</t>
  </si>
  <si>
    <t>Corporate &amp; Investment Banking</t>
  </si>
  <si>
    <t>Anexo:</t>
  </si>
  <si>
    <t>Annex:</t>
  </si>
  <si>
    <t>Eficiencia</t>
  </si>
  <si>
    <t>Efficiency</t>
  </si>
  <si>
    <t>Tasas de mora, cobertura y coste de riesgo</t>
  </si>
  <si>
    <t>NPL, coverage ratios and cost of risk</t>
  </si>
  <si>
    <t>Empleados, oficinas y cajeros automáticos</t>
  </si>
  <si>
    <t>Branches, employees and atm´s</t>
  </si>
  <si>
    <t>Tipos de cambio</t>
  </si>
  <si>
    <t>Exchange rates</t>
  </si>
  <si>
    <t>Diferenciales de la clientela</t>
  </si>
  <si>
    <t>Customer Spreads</t>
  </si>
  <si>
    <t>Activos ponderados por riesgo. Desglose por áreas de negocio y principales países</t>
  </si>
  <si>
    <t>Risk-weighted assets. Breakdown by business areas and main countries</t>
  </si>
  <si>
    <t>Desglose del crédito no dudoso en gestión</t>
  </si>
  <si>
    <t>Breakdown of performing loans under management</t>
  </si>
  <si>
    <t>Desglose de los recursos de clientes en gestión</t>
  </si>
  <si>
    <t>Breakdown of customer funds under management</t>
  </si>
  <si>
    <t xml:space="preserve">Cuenta de resultados  </t>
  </si>
  <si>
    <t xml:space="preserve">Income statement  </t>
  </si>
  <si>
    <t>(Millones de euros)</t>
  </si>
  <si>
    <t>(Million euros)</t>
  </si>
  <si>
    <t>Margen de intereses</t>
  </si>
  <si>
    <t>Net interest income</t>
  </si>
  <si>
    <t>Comisiones netas</t>
  </si>
  <si>
    <t>Net fees and commissions</t>
  </si>
  <si>
    <t>Resultados de operaciones financieras</t>
  </si>
  <si>
    <t>Net trading income</t>
  </si>
  <si>
    <t>Otros ingresos y cargas de explotación</t>
  </si>
  <si>
    <t>Other operating income and expenses</t>
  </si>
  <si>
    <t>Margen bruto</t>
  </si>
  <si>
    <t>Gross income</t>
  </si>
  <si>
    <t>Gastos de explotación</t>
  </si>
  <si>
    <t>Operating expenses</t>
  </si>
  <si>
    <t xml:space="preserve">  Gastos de administración</t>
  </si>
  <si>
    <t xml:space="preserve">  Administration expenses</t>
  </si>
  <si>
    <t xml:space="preserve">  Gastos de personal</t>
  </si>
  <si>
    <t xml:space="preserve">  Personnel expenses</t>
  </si>
  <si>
    <t xml:space="preserve">  Otros gastos de administración</t>
  </si>
  <si>
    <t xml:space="preserve">  General and administrative expenses</t>
  </si>
  <si>
    <t xml:space="preserve">  Amortización</t>
  </si>
  <si>
    <t xml:space="preserve">  Depreciation</t>
  </si>
  <si>
    <t>Margen neto</t>
  </si>
  <si>
    <t>Operating income</t>
  </si>
  <si>
    <t>Deterioro de activos financieros no valorados a valor razonable con cambios en resultados</t>
  </si>
  <si>
    <t>Impaiment on financial assets not measured at fair value through profit or loss</t>
  </si>
  <si>
    <t>Provisiones o reversión de provisiones y otros resultados</t>
  </si>
  <si>
    <t>Provisions or reversal of provisions and other results</t>
  </si>
  <si>
    <t>Resultado antes de impuestos</t>
  </si>
  <si>
    <t>Profit/(loss) before tax</t>
  </si>
  <si>
    <t>Impuesto sobre beneficios</t>
  </si>
  <si>
    <t>Income tax</t>
  </si>
  <si>
    <t>Resultado del ejercicio</t>
  </si>
  <si>
    <t>Profit/(loss) for the year</t>
  </si>
  <si>
    <t>Minoritarios</t>
  </si>
  <si>
    <t>Non-controlling interests</t>
  </si>
  <si>
    <t>Resultado atribuido</t>
  </si>
  <si>
    <t>Net attributable profit</t>
  </si>
  <si>
    <t>Balances</t>
  </si>
  <si>
    <t>Balance sheets</t>
  </si>
  <si>
    <t>Efectivo, saldos en efectivo en bancos centrales y otros depósitos a la vista</t>
  </si>
  <si>
    <t>Cash, cash balances at central banks and other demand deposits</t>
  </si>
  <si>
    <t>Activos financieros a valor razonable</t>
  </si>
  <si>
    <t xml:space="preserve">Financial assets designated at fair value </t>
  </si>
  <si>
    <t>Activos financieros a coste amortizado</t>
  </si>
  <si>
    <t>Financial assets at amortized cost</t>
  </si>
  <si>
    <t xml:space="preserve">    de los que préstamos y anticipos a la clientela</t>
  </si>
  <si>
    <t xml:space="preserve">    of which loans and advances to customers</t>
  </si>
  <si>
    <t>Activos tangibles</t>
  </si>
  <si>
    <t>Tangible assets</t>
  </si>
  <si>
    <t>Otros activos</t>
  </si>
  <si>
    <t>Other assets</t>
  </si>
  <si>
    <t>Total activo / pasivo</t>
  </si>
  <si>
    <t>Total assets / Liabilities and equity</t>
  </si>
  <si>
    <t>Pasivos financieros mantenidos para negociar y designados a valor razonable con cambios en resultados</t>
  </si>
  <si>
    <t>Financial liabilities held for trading and designated at fair value through profit or loss</t>
  </si>
  <si>
    <t>Depósitos de bancos centrales y entidades de crédito</t>
  </si>
  <si>
    <t>Deposits from central banks and credit institutions</t>
  </si>
  <si>
    <t>Depósitos de la clientela</t>
  </si>
  <si>
    <t>Deposits from customers</t>
  </si>
  <si>
    <t>Valores representativos de deuda emitidos</t>
  </si>
  <si>
    <t>Debt certificates</t>
  </si>
  <si>
    <t>Otros pasivos</t>
  </si>
  <si>
    <t>Other liabilities</t>
  </si>
  <si>
    <t>Dotación de capital económico</t>
  </si>
  <si>
    <t>Economic capital allocated</t>
  </si>
  <si>
    <t>Indicadores relevantes y de gestión</t>
  </si>
  <si>
    <t>Relevant business indicators</t>
  </si>
  <si>
    <t>Préstamos y anticipos a la clientela bruto (*)</t>
  </si>
  <si>
    <t>Loans and advances to customers (gross) (*)</t>
  </si>
  <si>
    <t>Depósitos de clientes en gestión (**)</t>
  </si>
  <si>
    <t>Customer deposits under management (*)</t>
  </si>
  <si>
    <t>Fondos de inversión y carteras gestionadas</t>
  </si>
  <si>
    <t>Investment funds and managed portfolios</t>
  </si>
  <si>
    <t>Fondos de pensiones</t>
  </si>
  <si>
    <t>Pension funds</t>
  </si>
  <si>
    <t>Otros recursos fuera de balance</t>
  </si>
  <si>
    <t>Other off balance-sheet funds</t>
  </si>
  <si>
    <t>(*) No incluye las adquisiciones temporales de activos.</t>
  </si>
  <si>
    <t xml:space="preserve">(*) Excluding repos. </t>
  </si>
  <si>
    <t>(**) No incluye las cesiones temporales de activos.</t>
  </si>
  <si>
    <t>(Millones de euros constantes)</t>
  </si>
  <si>
    <t xml:space="preserve">(Constant million euros)    </t>
  </si>
  <si>
    <t>(Millones de pesos mexicanos)</t>
  </si>
  <si>
    <t>(Million Mexican pesos)</t>
  </si>
  <si>
    <t>(Millones de pesos colombianos)</t>
  </si>
  <si>
    <t>(Million Colombian pesos)</t>
  </si>
  <si>
    <t>(Millones de dolares)</t>
  </si>
  <si>
    <t>(Million dolars)</t>
  </si>
  <si>
    <t>(Millones de liras turcas)</t>
  </si>
  <si>
    <t>(Million Turkish liras)</t>
  </si>
  <si>
    <t>(Millones de pesos argentinos)</t>
  </si>
  <si>
    <t>(Million Argentinian pesos)</t>
  </si>
  <si>
    <t>(Millones de soles peruanos)</t>
  </si>
  <si>
    <t>(Million Peruvian soles)</t>
  </si>
  <si>
    <t>Venezuela</t>
  </si>
  <si>
    <t>(Millones de pesos chilenos)</t>
  </si>
  <si>
    <t>(Million Chilean pesos)</t>
  </si>
  <si>
    <t>Eficiencia (*)</t>
  </si>
  <si>
    <t>Efficiency (*)</t>
  </si>
  <si>
    <t>(*) Gastos de explotación / Margen bruto. Incluye amortizaciones</t>
  </si>
  <si>
    <t>(*) Operating expenses / Gross income. Including depreciation</t>
  </si>
  <si>
    <t>(Porcentaje)</t>
  </si>
  <si>
    <t>(Percentage)</t>
  </si>
  <si>
    <t>Tasa de mora</t>
  </si>
  <si>
    <t>NPL ratio</t>
  </si>
  <si>
    <t>Tasa de cobertura</t>
  </si>
  <si>
    <t>NPL coverage ratio</t>
  </si>
  <si>
    <t>Coste del riesgo acumulado</t>
  </si>
  <si>
    <t>Cost of risk YTD</t>
  </si>
  <si>
    <t>Resto de América del Sur</t>
  </si>
  <si>
    <t>Resto of South América</t>
  </si>
  <si>
    <t>CRD IV fully-loaded</t>
  </si>
  <si>
    <t>Grupo BBVA. Cuentas de resultados consolidadas</t>
  </si>
  <si>
    <t xml:space="preserve">BBVA Group. Consolidated Income statement </t>
  </si>
  <si>
    <t>1er Trim.</t>
  </si>
  <si>
    <t>1Q</t>
  </si>
  <si>
    <t>2º Trim.</t>
  </si>
  <si>
    <t>2Q</t>
  </si>
  <si>
    <t>3er Trim.</t>
  </si>
  <si>
    <t>3Q</t>
  </si>
  <si>
    <t>4º Trim.</t>
  </si>
  <si>
    <t>4Q</t>
  </si>
  <si>
    <t>Ingresos por dividendos</t>
  </si>
  <si>
    <t>Dividend income</t>
  </si>
  <si>
    <t>Part. gananc/pdas inversiones en dependientes, neg conjunt y asoc</t>
  </si>
  <si>
    <t>Share of  profit/loss of invest. in subsidaries, joint ventures and associates</t>
  </si>
  <si>
    <t>Otros productos/cargas de explotación</t>
  </si>
  <si>
    <t>Other products and expenses</t>
  </si>
  <si>
    <t>Resultado después de impuestos de operaciones continuadas</t>
  </si>
  <si>
    <t>Result after continuing operation tax</t>
  </si>
  <si>
    <t>Resultado de operaciones corporativas</t>
  </si>
  <si>
    <t>Result from corporate operations</t>
  </si>
  <si>
    <t>Resultado atribuido sin operaciones corporativas</t>
  </si>
  <si>
    <t xml:space="preserve">Attributable profit without corporate transactions </t>
  </si>
  <si>
    <t>Nota general: los datos de los trimestres estancos del 2018 se presentan como datos proforma que tienen la consideración de Medidas Alternativas de Rendimiento (MAR), recogiéndose íntegramente el efecto acumulado para reflejar el impacto derivado de la contabilización de la hiperinflación en Argentina entre el 1-1-2018 y el 30-9-2018 en el tercer trimestre del 2018, sin haberse reexpresado los datos mostrados en la tabla anterior del primer y segundo trimestre del 2018.</t>
  </si>
  <si>
    <t>General note: the data for the quarters of 2018 are presented as proforma data which are considered as Alternative Performance Measures (APM), the accumulated effect being fully collected to reflect the impact derived from the accounting for hyperinflation in Argentina between 1-1-2018 and the 30-9-2018 in the third quarter of 2018, without having been reexpressed the data shown in the previous table of the first and second quarter of 2018.</t>
  </si>
  <si>
    <t>(*) Incluye plusvalías netas de la venta de BBVA Chile.</t>
  </si>
  <si>
    <t>(*) Includes net capital gains  from the sale of BBVA Chile.</t>
  </si>
  <si>
    <t>Grupo BBVA. Balances de situación consolidados</t>
  </si>
  <si>
    <t>BBVA Group. Consolidated balance sheet</t>
  </si>
  <si>
    <t>Hipotecario</t>
  </si>
  <si>
    <t>Mortages</t>
  </si>
  <si>
    <t>Consumo</t>
  </si>
  <si>
    <t>Consumer</t>
  </si>
  <si>
    <t>Tarjetas de Crédito</t>
  </si>
  <si>
    <t>Credit Cards</t>
  </si>
  <si>
    <t>Sector público</t>
  </si>
  <si>
    <t>Public Sector</t>
  </si>
  <si>
    <t>Sociedades financieras y sociedades no financieras</t>
  </si>
  <si>
    <t>Financial and Non Financial Companies</t>
  </si>
  <si>
    <t>Pymes</t>
  </si>
  <si>
    <t>SMEs</t>
  </si>
  <si>
    <t>Otros</t>
  </si>
  <si>
    <t>Others</t>
  </si>
  <si>
    <t>Crédito no dudoso en gestión (*)</t>
  </si>
  <si>
    <t>Performing Loans under management (*)</t>
  </si>
  <si>
    <t>Depósitos a la vista + Disponibles con preaviso</t>
  </si>
  <si>
    <t>Demand deposits</t>
  </si>
  <si>
    <t>Depósitos a plazo</t>
  </si>
  <si>
    <t>Time deposits</t>
  </si>
  <si>
    <t>Recursos fuera de balance (*)</t>
  </si>
  <si>
    <t>Off balance sheet funds (*)</t>
  </si>
  <si>
    <t>Vista+Plazo</t>
  </si>
  <si>
    <t>Demand + Time deposits</t>
  </si>
  <si>
    <t>(*) Incluye fondos de inversión, fondos de pensiones y otros recursos fuera de balance.</t>
  </si>
  <si>
    <t>Posiciones inter-áreas activo</t>
  </si>
  <si>
    <t>Inter-area positions</t>
  </si>
  <si>
    <t>Posiciones inter-áreas pasivo</t>
  </si>
  <si>
    <t>Oficinas</t>
  </si>
  <si>
    <t>Branches</t>
  </si>
  <si>
    <t>Empleados</t>
  </si>
  <si>
    <t>Employees</t>
  </si>
  <si>
    <t>Cajeros automáticos</t>
  </si>
  <si>
    <t>ATM´s</t>
  </si>
  <si>
    <t>Uruguay</t>
  </si>
  <si>
    <t>Paraguay</t>
  </si>
  <si>
    <t>Bolivia</t>
  </si>
  <si>
    <t>Cuba</t>
  </si>
  <si>
    <t>Brasil</t>
  </si>
  <si>
    <t>Activos financieros mantenidos para negociar</t>
  </si>
  <si>
    <t>Financial assets held for trading</t>
  </si>
  <si>
    <t>Activos financieros no destinados a negociación valorados obligatoriamente a valor razonable con cambios en resultados</t>
  </si>
  <si>
    <t>Non-trading financial assets mandatorily at fair value through profit or loss</t>
  </si>
  <si>
    <t>Activos financieros designados a valor razonable con cambios en resultados</t>
  </si>
  <si>
    <t>Financial assets designated at fair value through profit or loss</t>
  </si>
  <si>
    <t>Activos financieros designados a valor razonable con cambios en otro resultado global acumulado</t>
  </si>
  <si>
    <t>Financial assets at fair value through accumulated other comprehensive income</t>
  </si>
  <si>
    <t>. Préstamos y anticipos en bancos centrales  y entidades de crédito</t>
  </si>
  <si>
    <t xml:space="preserve">. Loans and advances to central banks and credit institutions </t>
  </si>
  <si>
    <t>. Préstamos y anticipos a la clientela</t>
  </si>
  <si>
    <t>. Loans and advances to customers</t>
  </si>
  <si>
    <t>. Valores representativos de deuda</t>
  </si>
  <si>
    <t>. Debt securities</t>
  </si>
  <si>
    <t>Inversiones mantenidas hasta el vencimiento</t>
  </si>
  <si>
    <t>Held-to-maturity investments</t>
  </si>
  <si>
    <t>Inversiones en negocios conjuntos y asociadas</t>
  </si>
  <si>
    <t>Investments in subsidiaries, joint ventures and associates</t>
  </si>
  <si>
    <t>Activos Intangibles</t>
  </si>
  <si>
    <t>Intangible assets</t>
  </si>
  <si>
    <t>Pasivos financieros designados a valor razonable con cambios en resultados</t>
  </si>
  <si>
    <t>Other financial liabilities designated at fair value through profit or loss</t>
  </si>
  <si>
    <t>Pasivos financieros a coste amortizado</t>
  </si>
  <si>
    <t>Financial liabilities at amortized cost</t>
  </si>
  <si>
    <t>. Otros pasivos financieros</t>
  </si>
  <si>
    <t>. Other financial liabilities</t>
  </si>
  <si>
    <t>Pasivos amparados por contratos de seguros o reaseguro</t>
  </si>
  <si>
    <t>Liabilities under insurance and reinsurance contracts</t>
  </si>
  <si>
    <t>Total pasivo</t>
  </si>
  <si>
    <t>Total liabilities</t>
  </si>
  <si>
    <t>Intereses minoritarios</t>
  </si>
  <si>
    <t>Otro resultado global acumulado</t>
  </si>
  <si>
    <t>Accumulated other comprehensive income</t>
  </si>
  <si>
    <t>Fondos propios</t>
  </si>
  <si>
    <t>Shareholders' funds</t>
  </si>
  <si>
    <t>Patrimonio neto</t>
  </si>
  <si>
    <t>Total equity</t>
  </si>
  <si>
    <t>Total patrimonio neto y pasivo</t>
  </si>
  <si>
    <t>Total equity and liabilities</t>
  </si>
  <si>
    <t>Peso mexicano</t>
  </si>
  <si>
    <t>Mexican peso</t>
  </si>
  <si>
    <t>Dólar estadounidense</t>
  </si>
  <si>
    <t>U.S. dollar</t>
  </si>
  <si>
    <t>Peso argentino</t>
  </si>
  <si>
    <t>Argentine peso</t>
  </si>
  <si>
    <t>Peso chileno</t>
  </si>
  <si>
    <t>Chilean peso</t>
  </si>
  <si>
    <t>Peso colombiano</t>
  </si>
  <si>
    <t>Colombian peso</t>
  </si>
  <si>
    <t>Sol peruano</t>
  </si>
  <si>
    <t>Peruvian sol</t>
  </si>
  <si>
    <t>Lira turca</t>
  </si>
  <si>
    <t>Turkish lira</t>
  </si>
  <si>
    <t>(*) Utilizados en el cálculo de euros constantes de los datos de balance y actividad</t>
  </si>
  <si>
    <t>(*) Used in the constant euros comparisons for the balance sheet and business activity</t>
  </si>
  <si>
    <t>(**) Utilizados en el cálculo de euros constantes de los datos de resultados</t>
  </si>
  <si>
    <t>(**) Used in the constant euros comparisons for the profit and loss</t>
  </si>
  <si>
    <t>(Expresados en divisa/euro)</t>
  </si>
  <si>
    <t>(Expressed in currency/euro)</t>
  </si>
  <si>
    <t>Cambios finales (*)</t>
  </si>
  <si>
    <t>Year-end exchange rates (*)</t>
  </si>
  <si>
    <t>Cambios medios (**)</t>
  </si>
  <si>
    <t>Average exchange rates (**)</t>
  </si>
  <si>
    <t>∆% sobre</t>
  </si>
  <si>
    <t>∆% on</t>
  </si>
  <si>
    <t>Diferenciales de la clientela (*)</t>
  </si>
  <si>
    <t>Customer Spreads (*)</t>
  </si>
  <si>
    <t>Rentabilidad de los prestamos</t>
  </si>
  <si>
    <t>Lending Yield</t>
  </si>
  <si>
    <t>Coste de los depositos</t>
  </si>
  <si>
    <t>Cost of deposits</t>
  </si>
  <si>
    <t>Estados Unidos (**)</t>
  </si>
  <si>
    <t>The United States (**)</t>
  </si>
  <si>
    <t>México pesos mexicanos</t>
  </si>
  <si>
    <t>Mexico MXN</t>
  </si>
  <si>
    <t>México moneda extranjera</t>
  </si>
  <si>
    <t>Mexico  FC (Foreing currency)</t>
  </si>
  <si>
    <t>Turquía liras turcas</t>
  </si>
  <si>
    <t>Turkey TRY</t>
  </si>
  <si>
    <t>Turquía moneda extranjera</t>
  </si>
  <si>
    <t>Turkey FC (Foreing currency)</t>
  </si>
  <si>
    <t>(*) Diferencia entre el rendimiento de los préstamos y el coste de los depósitos de los clientes.</t>
  </si>
  <si>
    <t>(*) Difference between lending yield on loans and cost of deposits from customers.</t>
  </si>
  <si>
    <t>(**)  Excluye la actividad en Nueva York.</t>
  </si>
  <si>
    <t>(**) Excluding New York Business Activity.</t>
  </si>
  <si>
    <t>Nota: Los diferenciales de la clientela han sido actualizados.</t>
  </si>
  <si>
    <t>Note: Customer spreads have been restated.</t>
  </si>
  <si>
    <t>Capital y Reservas</t>
  </si>
  <si>
    <t xml:space="preserve">Hogares - Prestamos Hipotecarios </t>
  </si>
  <si>
    <t>Hogares - Consumo</t>
  </si>
  <si>
    <t>Hogares - Tarjetas  de crédito</t>
  </si>
  <si>
    <t>Resto de Empresas</t>
  </si>
  <si>
    <t>Sector Público</t>
  </si>
  <si>
    <t>Tarjeta de Crédito</t>
  </si>
  <si>
    <t>Resto Minorista</t>
  </si>
  <si>
    <t>Total Cartera Vigente</t>
  </si>
  <si>
    <t>Resto Comercial</t>
  </si>
  <si>
    <t>Other Commercial</t>
  </si>
  <si>
    <t>Mexico (***)</t>
  </si>
  <si>
    <t xml:space="preserve">Criterio Local Contable(***) </t>
  </si>
  <si>
    <t xml:space="preserve">According to Local GAAP(***) </t>
  </si>
  <si>
    <t>Incluye fondos de inversión, carteras gestionadas , fondos de pensiones y otros recursos fuera de balance.(*)</t>
  </si>
  <si>
    <t xml:space="preserve">Includes investment funds, managed portfolios, pension funds and other off-balance sheet funds. (*) </t>
  </si>
  <si>
    <t>No incluye las cesiones temporales de activos.  (**)</t>
  </si>
  <si>
    <t>Excluding repos  (**)</t>
  </si>
  <si>
    <t xml:space="preserve"> Recursos de clientes en gestión (**)</t>
  </si>
  <si>
    <t>Customer funds under management (**)</t>
  </si>
  <si>
    <t>Consumo  y tarjetas de Credito</t>
  </si>
  <si>
    <t>Consumer &amp; Credit Cards</t>
  </si>
  <si>
    <t>Negocios retail</t>
  </si>
  <si>
    <t>Very small business</t>
  </si>
  <si>
    <t>Empresas medianas</t>
  </si>
  <si>
    <t>Mid-size companies</t>
  </si>
  <si>
    <t>Corporativa + CIB</t>
  </si>
  <si>
    <t>Corporates + CIB</t>
  </si>
  <si>
    <t>Other</t>
  </si>
  <si>
    <t>Other Retail</t>
  </si>
  <si>
    <t>Resto Empresas</t>
  </si>
  <si>
    <t xml:space="preserve">Nota general: la aplicación de la contabilidad por hiperinflación en Argentina se realizó por primera vez en septiembre del 2018 con efectos contables 1 de enero del 2018, recogiéndose el impacto de los nueve meses en el tercer trimestre. Con el fin de que la información del 2019 sea comparable con la del 2018, se ha procedido a reexpresar el balance de situación de los tres primeros trimestres del 2018 para recoger los impactos de la inflación sobre los activos y pasivos del mismo. </t>
  </si>
  <si>
    <t>General note: the application of accounting for hyperinflation in Argentina was performed for the first time in September 2018 with accounting effects on January 1, 2018, recording the impact of the nine months in the third quarter. In order to make the 2019 information comparable to the 2018, the balance sheet of the first three quarters of 2018 has been reexpressed to reflect the impacts of inflation on its assets and liabilities.</t>
  </si>
  <si>
    <t>Nota general: la aplicación de la contabilidad por hiperinflación en Argentina se realizó por primera vez en septiembre del 2018 con efectos contables 1 de enero del 2018, recogiéndose el impacto de los 9 meses en el tercer trimestre. Con el fin de que la información del 2019 sea comparable con la del 2018, se ha procedido a reexpresar las cuentas de resultados de los tres primeros trimestres del 2018 para recoger los impactos de la inflación sobre los ingresos y gastos de las mismas. Adicionalmente, durante el ejercicio 2019 se ha modificado la NIC 12 “Impuesto sobre las ganancias” con efectos contables 1 de enero del 2019. Por ello, y con el fin de que la información sea comparable, se ha procedido a reexpresar la información trimestral de las cuentas de resultados del 2018 y del 2019.</t>
  </si>
  <si>
    <t>General note: the application of accounting for hyperinflation in Argentina was performed for the first time in September 2018 with accounting effects on January 1, 2018, recording the impact of the 9 months in the third quarter. In order to make the 2019 information comparable to the 2018, the income statements for the first three quarters of 2018 have been reexpressed to reflect the impacts of inflation on their income and expenses.</t>
  </si>
  <si>
    <t>(1) Incluye plusvalías netas de la venta de BBVA Chile.</t>
  </si>
  <si>
    <t>(1) Includes net capital gains  from the sale of BBVA Chile.</t>
  </si>
  <si>
    <t>(2) Ajustado por remuneración de instrumentos de capital de nivel 1 adicional.</t>
  </si>
  <si>
    <t>(2) Adjusted by additional Tier 1 instrument remuneration.</t>
  </si>
  <si>
    <t>CRD IV fully loaded</t>
  </si>
  <si>
    <t>Grupo BBVA. Cuentas de resultados proforma (*)</t>
  </si>
  <si>
    <t>BBVA group. Consolidated income statements proforma (*)</t>
  </si>
  <si>
    <t>(*) No se incluye los resultados de los dos primeros trimestres del 2018 de BBVA Chile ni las plusvalías por su venta del tercer trimestre del 2018.</t>
  </si>
  <si>
    <t>(*) Not including BBVA Chile`s profit for the 2 first quarters of 2018 and net capital gains in 3Q 2018 of its sale .</t>
  </si>
  <si>
    <t>Cuenta de resultados sin Chile</t>
  </si>
  <si>
    <t>Income statement w/o Chile</t>
  </si>
  <si>
    <t>Cuentas de resultados consolidadas proforma</t>
  </si>
  <si>
    <t>Consolidated income statement proforma</t>
  </si>
  <si>
    <t>(*) Se incluyen los resultados de los dos primeros trimestres del 2018 de BBVA Chile y las plusvalías por su venta del tercer trimestre del 2018.</t>
  </si>
  <si>
    <t>(*) Including BBVA Chile`s profit for the 2 first quarters of 2018 and net capital gains in 3Q 2018 of its sale .</t>
  </si>
  <si>
    <t>(*) Hay pequeñas diferencias en el 1T 2019 de APRs entre las Areas de Negocio por reclasificaciones hechas posteriores al cierre no habiendo variacíon ninguna en el total de los APRs.</t>
  </si>
  <si>
    <t>(*) There are slight differences in the RWAs of the Business Units in the 1st Q  2019 due to reclasifications. The total amount of BBVA RWAs did not change.</t>
  </si>
  <si>
    <t>Balance Euro</t>
  </si>
  <si>
    <t>Euro Balance</t>
  </si>
  <si>
    <t>Italia</t>
  </si>
  <si>
    <t>Italy</t>
  </si>
  <si>
    <t>Resto</t>
  </si>
  <si>
    <t>Rest</t>
  </si>
  <si>
    <t>Turquia</t>
  </si>
  <si>
    <t>Turkey</t>
  </si>
  <si>
    <t>Amércia del Sur</t>
  </si>
  <si>
    <t>Total Cartera COAP</t>
  </si>
  <si>
    <t>Total ALCO Portfolio</t>
  </si>
  <si>
    <t>Cartera COAP a Coste Amortizado</t>
  </si>
  <si>
    <t>ALCO Portfolio Hold to Collect</t>
  </si>
  <si>
    <t>Cartera COAP a Valor Razonable</t>
  </si>
  <si>
    <t>ALCO Portfolio Hold to Collect and Sell</t>
  </si>
  <si>
    <t>Carteras Coap</t>
  </si>
  <si>
    <t>ALCO Portfolio</t>
  </si>
  <si>
    <t>(*) Serie de datos revisada 18-19 debido a cambio de criterio en la contabilización de cajeros.</t>
  </si>
  <si>
    <t>(*) Reviewed data serie 18-19 due to a change in the amount criteria of ATMs</t>
  </si>
  <si>
    <t>(**) Reajuste del dato del 1T en 2T</t>
  </si>
  <si>
    <t>(**) Readjustment of 1Q19 in 2Q19</t>
  </si>
  <si>
    <t>EEUU (*)</t>
  </si>
  <si>
    <t>USA (*)</t>
  </si>
  <si>
    <t>Mexico (**)</t>
  </si>
  <si>
    <t>Provisiones o reversión de provisiones</t>
  </si>
  <si>
    <t>Provisions or reversal of provisions</t>
  </si>
  <si>
    <t>Otros resultados</t>
  </si>
  <si>
    <t>Other results</t>
  </si>
  <si>
    <t>Resultado atribuido sin el deterioro del fondo de comercio de Estados Unidos y sin BBVA Chile (*)</t>
  </si>
  <si>
    <t>Net attributable profit excluding the goodwill impairment in the United States and BBVA Chile (*)</t>
  </si>
  <si>
    <t>Resultado Atribuido (*)</t>
  </si>
  <si>
    <t>Net attributable profit (*)</t>
  </si>
  <si>
    <t>(*) Resultados generados por BBVA Chile hasta su venta el 6 de julio del 2018 y las plusvalías de la operación</t>
  </si>
  <si>
    <t>(*) BBVA Chile recurrent profit until the sale as of 6 July, 2018 and the capital gains of the operation</t>
  </si>
  <si>
    <t>(*)No incluye Resultados generados por BBVA Chile hasta su venta el 6 de julio del 2018 ni las plusvalías de la operación, tampoco el deterioro del fondo de comercio de Estados Unidos.</t>
  </si>
  <si>
    <t>(*) Not including BBVA Chile recurrent profit until the sale as of 6 July 2018 and and the capital gains of the operation neither the goodwill impairment in the United States</t>
  </si>
  <si>
    <t>Nota general: la aplicación de la contabilidad por hiperinflación en Argentina se realizó por primera vez en septiembre del 2018 con efectos contables 1 de enero del 2018, recogiéndose el impacto de los 9 meses en el tercer trimestre. Adicionalmente, durante el ejercicio 2019 se ha modificado la NIC 12 “Impuesto sobre las ganancias” con efectos contables 1 de enero del 2019. Por ello, y con el fin de que la información sea comparable, se ha procedido a reexpresar la información trimestral de las cuentas de resultados del 2018 y del 2019</t>
  </si>
  <si>
    <t>General note: the application of accounting for hyperinflation in Argentina was done  for the first time in September 2018 with accounting effects from  January 1, 2018, recording the impact of the 9 months in the third quarter. In addition, during 2019 an amendment to IAS 12 "Income Taxes" was introduced with accounting effects from  January 1, 2019. Therefore, in  order to make the information comparable, the quarterly income statements for 2019 and 2018 have been restated .</t>
  </si>
  <si>
    <t>Resultado atribuido sin BBVA Chile (*)</t>
  </si>
  <si>
    <t>Net Atributable Profit ex BBVA Chile (*)</t>
  </si>
  <si>
    <t>(*) Plusvalías por la venta de BBVA Chile del tercer trimestre de 2018.</t>
  </si>
  <si>
    <t>(*) Net capital gains of BBVA Chile sale on the 3rd Q of 2018.</t>
  </si>
  <si>
    <r>
      <rPr>
        <sz val="8"/>
        <color theme="1"/>
        <rFont val="Calibri"/>
        <family val="2"/>
        <scheme val="minor"/>
      </rPr>
      <t>(1)</t>
    </r>
    <r>
      <rPr>
        <sz val="11"/>
        <color theme="1"/>
        <rFont val="Calibri"/>
        <family val="2"/>
        <scheme val="minor"/>
      </rPr>
      <t xml:space="preserve"> En aplicación de la NIC 29 "Información en economías hiperinflacionarias", la conversión de la cuenta de resultados de Argentina Y Turquía se hace empleando el tipo de cambio final.</t>
    </r>
  </si>
  <si>
    <r>
      <rPr>
        <sz val="8"/>
        <color theme="1"/>
        <rFont val="Calibri"/>
        <family val="2"/>
        <scheme val="minor"/>
      </rPr>
      <t>(1)</t>
    </r>
    <r>
      <rPr>
        <sz val="11"/>
        <color theme="1"/>
        <rFont val="Calibri"/>
        <family val="2"/>
        <scheme val="minor"/>
      </rPr>
      <t xml:space="preserve"> According to IAS 29 "Financial information in hyperinflationary economies", the year-end exchange rate is used for the conversion of the Argentina and Turkey income statement. </t>
    </r>
  </si>
  <si>
    <t xml:space="preserve">Nota general: como consecuencia de una interpretación emitida por el IFRIC (International Financial Reporting Standards Interpretations Committee) relativa al cobro de intereses de fallidos en el marco de la NIIF 9, dichos cobros se presentan como menor saneamiento crediticio y no como un mayor ingreso por intereses, método de reconocimiento aplicado hasta diciembre de 2019. Por ello, y con el fin de que la información sea comparable, se ha procedido a reexpresar la información de la cuenta de resultados del primer semestre de 2019. </t>
  </si>
  <si>
    <t>General note: as a result of the interpretation issued by the International Financial Reporting Standards Interpretations Committee (IFRIC) regarding the collecting of interests of written-off financial assets for the purpose of IFRS 9, those collections are presented as reduction of the credit allowances and not as a higher interest income, recognition method applied until December 2019. Therefore, and in order to make the information comparable, the first six months information of the 2019 income statements has been restated.</t>
  </si>
  <si>
    <t>Resultado atribuido sin el deterioro del fondo de comercio de Estados Unidos (*)</t>
  </si>
  <si>
    <t>Net attributable profit excluding the goodwill impairment in the United States (*)</t>
  </si>
  <si>
    <t>Operaciones Corporativas (1)</t>
  </si>
  <si>
    <t>Corporate Operations (1)</t>
  </si>
  <si>
    <t>Resultado después de impuestos</t>
  </si>
  <si>
    <t>Result after Tax</t>
  </si>
  <si>
    <t>(1) Incluye el resultado neto de impuestos por la venta a Allianz de la mitad más una acción de la sociedad constituida para impulsar de forma conjunta el negocio de seguros de no vida en España, excluyendo el ramo de salud.</t>
  </si>
  <si>
    <t>(1) Include the net capital gain from the sale to Allianz the half plus one share of the company created to jointly develop the non-life insurance business in Spain, excluding the health insurance line.</t>
  </si>
  <si>
    <t>Resultado atribuido sin el deterioro del fondo de comercio de Estados Unidos y sin operaciones corporativas</t>
  </si>
  <si>
    <t>Net attributable profit/(loss) excluding the goodwill impairment in the United States and corporate operations</t>
  </si>
  <si>
    <t>Resto de Negocios</t>
  </si>
  <si>
    <t>Rest of Business</t>
  </si>
  <si>
    <t>Nuevo Holding</t>
  </si>
  <si>
    <t>New Holding</t>
  </si>
  <si>
    <t>Nota general: cifras sin considerar la clasificación de BBVA Paraguay como Activos y Pasivos No corrientes en Venta a 31-12-2020 y 31-12-2019 y a 31-12-2020 BBVA USA y el resto de sociedades del Grupo en Estados Unidos incluidas en el acuerdo de venta suscrito con PNC.</t>
  </si>
  <si>
    <t>General note: figures without considering the classification of BBVA Paraguay as Non-current Assets and Liabilities Held for Sale as of 31-12-2020 and 31-12-2019 and BBVA USA and the rest of Group's companies in the United States included in the sale agreement signed with PNC as Non-current Assets and Liabilities Held For Sale as of 31-12-2020.</t>
  </si>
  <si>
    <t>Centro Corporativo (para resto de negocios)</t>
  </si>
  <si>
    <t>Corporate Center (for rest of business)</t>
  </si>
  <si>
    <t>Sociedades de la filial de Estados Unidos excluidas del acuerdo de venta</t>
  </si>
  <si>
    <t>Companies excluded from the sale agreement of the BBVA subsidiary in the United States</t>
  </si>
  <si>
    <t>A partir del 1T21, a efectos de información de gestión, el negocio de EE.UU. vendido a PNC se mostrará como una rúbrica del balance y de la cuenta de resultados, en línea con la reclasificación contable a "Activo no corriente disponible para la venta" que tuvo lugar en el 4T20. A efectos informativos, ofrecemos a continuación una agregación del negocio de CIB en EE.UU. que no está incluido en el acuerdo con PNC y la información que se presenta actualmente como Resto de Eurasia.,</t>
  </si>
  <si>
    <t>Starting in 1Q21, for management reporting purposes, the US Business sold to PNC will be shown as one Balance Sheet and one P&amp;L heading, in line with the accounting reclassification to Non Current Asset Available for sale which took place in 4Q20. For informational purposes, we are providing below an aggregation of the CIB business in the US that is not included in the agreement with PNC and the information currently reported as Rest of Eurasia.</t>
  </si>
  <si>
    <t>A partir del 1T21, a efectos de información de gestión, el negocio de EE.UU. vendido a PNC se mostrará como una rúbrica del balance y de la cuenta de resultados, en línea con la reclasificación contable a "Activo no corriente disponible para la venta" que tuvo lugar en el 4T20. En consecuencia, se presenta a continuación a efectos informativos una agregación del Centro Corporativo y de todos los demás negocios de EE.UU. que no están incluidos en el acuerdo con PNC y que no han sido agregados al Resto de Eurasia en la página anterior.</t>
  </si>
  <si>
    <t>Starting in 1Q21, for management reporting purposes, the US Business sold to PNC will be shown as one Balance Sheet and one P&amp;L heading, in line with the accounting reclassification to Non Current Asset Available for sale which took place in 4Q20. As a result, for informational purposes, you can find below an aggregation of the Corporate Center and all the other US businesses that are not included in the agreement with PNC and have not been added to the Rest of Eurasia in the previous page. </t>
  </si>
  <si>
    <t>A efectos informativos, facilitamos a continuación 8 trimestres de información histórica del perímetro actualmente reportado como EE.UU. que permanecerá en BBVA una vez cerrado el acuerdo anunciado con PNC. </t>
  </si>
  <si>
    <t>For informational purposes, we are providing below 8 quarters of historical information of the perimeter currently reported as USA that will remain with BBVA once the announced agreement with PNC has been closed.   </t>
  </si>
  <si>
    <t>EEUU vendido</t>
  </si>
  <si>
    <t>USA sold</t>
  </si>
  <si>
    <t>Centro Corporativo (1)</t>
  </si>
  <si>
    <t>Corporate Center (1)</t>
  </si>
  <si>
    <t>(1) Incluye los APRs del negocio de EEUU vendido</t>
  </si>
  <si>
    <t>(1) Includes RWAs from the USA business sold.</t>
  </si>
  <si>
    <r>
      <t>(1) Incluye </t>
    </r>
    <r>
      <rPr>
        <sz val="12"/>
        <color theme="4" tint="-0.499984740745262"/>
        <rFont val="Arial"/>
        <family val="2"/>
      </rPr>
      <t>EEUU como operación discontinuada, el deterioro del fondo de comercio de Estados Unidos, y el resultado neto de impuestos por la venta a Allianz de la mitad más una acción de la sociedad constituida para impulsar de forma conjunta el negocio de seguros de no vida en España, excluyendo el ramo de salud</t>
    </r>
  </si>
  <si>
    <t>(1) Includes USA as discontinued operation, the goodwill impaiment in USA and the net capital gain from the sale to Allianz of the half plus one share of the company created to jointly develop the non-life insurance business in Spain, excluding the health insurance line.</t>
  </si>
  <si>
    <t>Grupo BBVA  (*)</t>
  </si>
  <si>
    <t>BBVA Group  (*)</t>
  </si>
  <si>
    <t>Grupo BBVA  (**)</t>
  </si>
  <si>
    <t>BBVA Group  (**)</t>
  </si>
  <si>
    <t>(**) Grupo BBVA no incluye el negocio vendido de EEUU vendido a PNC.</t>
  </si>
  <si>
    <t>(**) BBVA Group excludes  the US Business sold to PNC.</t>
  </si>
  <si>
    <t>(*) Grupo BBVA no incluye el negocio vendido de EEUU vendido a PNC.</t>
  </si>
  <si>
    <t>(*) BBVA Group excludes  the US Business sold to PNC.</t>
  </si>
  <si>
    <t>Resto de geografías</t>
  </si>
  <si>
    <t>Rest of geographies</t>
  </si>
  <si>
    <t>Corporate &amp; Investment Banking (*)</t>
  </si>
  <si>
    <t>(*) No incluye el negocio de CIB vendido a PNC.</t>
  </si>
  <si>
    <t>(*) Excludes  the CIB Business sold to PNC.</t>
  </si>
  <si>
    <t>Capital regulatorio asignado</t>
  </si>
  <si>
    <t>Allocated regulatory capital</t>
  </si>
  <si>
    <t xml:space="preserve">South America </t>
  </si>
  <si>
    <t>No incluye Paraguay (***)</t>
  </si>
  <si>
    <t>Paraguay excluded  (***)</t>
  </si>
  <si>
    <t>Préstamos Hogares TL</t>
  </si>
  <si>
    <t>Retail Loans TL</t>
  </si>
  <si>
    <t>Préstamos Empresas TL</t>
  </si>
  <si>
    <t>Commercial Loans TL</t>
  </si>
  <si>
    <t>Total Préstamos TL</t>
  </si>
  <si>
    <t>Total Loans TL</t>
  </si>
  <si>
    <t>Total Préstamos FC</t>
  </si>
  <si>
    <t>Total Loans FC</t>
  </si>
  <si>
    <t>Depósitos Vista TL</t>
  </si>
  <si>
    <t>Demand Deposits TL</t>
  </si>
  <si>
    <t>Depósitos Plazo TL</t>
  </si>
  <si>
    <t>Total Time Deposits TL</t>
  </si>
  <si>
    <t>Total Depósitos TL</t>
  </si>
  <si>
    <t>Total Deposits TL</t>
  </si>
  <si>
    <t>Depósitos Vista FC</t>
  </si>
  <si>
    <t>Demand Deposits FC</t>
  </si>
  <si>
    <t>Depósitos Plazo FC</t>
  </si>
  <si>
    <t>Total Time Deposits FC</t>
  </si>
  <si>
    <t>Total Depósitos FC</t>
  </si>
  <si>
    <t>Total Deposits FC</t>
  </si>
  <si>
    <t>(TL Lira Turca FC Moneda Extranjera)</t>
  </si>
  <si>
    <t>(TL Turkish Lira FC Foreign Currency)</t>
  </si>
  <si>
    <t>Turquia solo Banco</t>
  </si>
  <si>
    <t>Turkey Bank only</t>
  </si>
  <si>
    <t>Nota general : Cifras considerando la clasificación de las sociedades incluidas en el acuerdo de venta suscrito con PNC como Activos y Pasivos No corrientes en Venta.</t>
  </si>
  <si>
    <t>General note: figures considering companies in the United States included in the sale agreement signed with PNC as Non-current Assets and Liabilities Held for Sale</t>
  </si>
  <si>
    <t>Operaciones Corporativas y Discontinuadas</t>
  </si>
  <si>
    <t>Corporate &amp; discontinued operations</t>
  </si>
  <si>
    <t xml:space="preserve"> (***) No incluye Paraguay</t>
  </si>
  <si>
    <t xml:space="preserve">(***) Paraguay excluded </t>
  </si>
  <si>
    <t>América del Sur  (incluye Paraguay)</t>
  </si>
  <si>
    <t>South America (Paraguay Included)</t>
  </si>
  <si>
    <t>Resultado Atribuido sin Operaciones Corporativas y Discontinuadas</t>
  </si>
  <si>
    <t>Net attributable profit/(loss) excluding Corporate &amp; discontinued operations</t>
  </si>
  <si>
    <t>Operaciones interrumpidas y corporativas, y costes netos asociados al proceso de reestructuración.(1)</t>
  </si>
  <si>
    <t>Discontinued &amp; corporate operations, and net cost related to the restructuring process. (1)</t>
  </si>
  <si>
    <t> Beneficio Atribuido (sin operaciones interrumpidas y corporativas, y costes netos asociados al proceso de reestructuración).</t>
  </si>
  <si>
    <t> Net Attributable Profit (ex discontinued &amp; corporate operations, and net cost related to the restructuring process).</t>
  </si>
  <si>
    <r>
      <t>(1) Incluye </t>
    </r>
    <r>
      <rPr>
        <sz val="12"/>
        <color theme="4" tint="-0.499984740745262"/>
        <rFont val="Arial"/>
        <family val="2"/>
      </rPr>
      <t>EEUU como operación discontinuada, el deterioro del fondo de comercio de Estados Unidos,  el resultado neto de impuestos por la venta a Allianz de la mitad más una acción de la sociedad constituida para impulsar de forma conjunta el negocio de seguros de no vida en España, excluyendo el ramo de salud y los costes netos asociados al proceso de reestructuración.</t>
    </r>
  </si>
  <si>
    <t>(1) Includes USA as discontinued operation, the goodwill impaiment in USA, the net capital gain from the sale to Allianz of the half plus one share of the company created to jointly develop the non-life insurance business in Spain, excluding the health insurance line and net cost related to the reestructuring process.</t>
  </si>
  <si>
    <t>Resultado atribuido excluyendo impactos no recurrentes</t>
  </si>
  <si>
    <t>Net attributable profit excluding non recurring impacts</t>
  </si>
  <si>
    <t>Resultado después de impuestos de operaciones interrumpidas (1)</t>
  </si>
  <si>
    <t>Profit/(loss) after tax form discontinued operations (1)</t>
  </si>
  <si>
    <t>Operaciones Corporativas (2)</t>
  </si>
  <si>
    <t>Corporate Operations (2)</t>
  </si>
  <si>
    <t>Costes netos asociados al proceso de reestructuración</t>
  </si>
  <si>
    <t>Net cost related to the reestructuring process.</t>
  </si>
  <si>
    <r>
      <t>(1) Incluye </t>
    </r>
    <r>
      <rPr>
        <sz val="12"/>
        <color theme="4" tint="-0.499984740745262"/>
        <rFont val="Arial"/>
        <family val="2"/>
      </rPr>
      <t>EEUU como operación interrumpida y el deterioro del fondo de comercio de Estados Unidos registrado en el primer trimestre de 2020 por importe de 2084 millones de euros</t>
    </r>
  </si>
  <si>
    <t>(1) Includes USA as discontinued operation and the goodwill impaiment in USA for 2084 millions of euros registered in the 1stQ of 2020.</t>
  </si>
  <si>
    <r>
      <t>(2) Incluye el r</t>
    </r>
    <r>
      <rPr>
        <sz val="12"/>
        <color theme="4" tint="-0.499984740745262"/>
        <rFont val="Arial"/>
        <family val="2"/>
      </rPr>
      <t xml:space="preserve">esultado neto de impuestos por la venta a Allianz de la mitad más una acción de la sociedad constituida para impulsar de forma conjunta el negocio de seguros de no vida en España, excluyendo el ramo de salud </t>
    </r>
  </si>
  <si>
    <t xml:space="preserve">(2) Includes the net capital gain from the sale to Allianz of the half plus one share of the company created to jointly develop the non-life insurance business in Spain, excluding the health insurance line </t>
  </si>
  <si>
    <t>Operaciones Corporativas e Interrumpidas(1)</t>
  </si>
  <si>
    <t>Corporate &amp; discontinued operations(1)</t>
  </si>
  <si>
    <t>(1) Incluen los resultados generados por BBVA USA y el resto de sociedades de EEUU vendidas a PNC el 1 de junio de 2021</t>
  </si>
  <si>
    <t>(1) Includes the profit generated by BBVA USA and the rest of the US companies sold to PNC on 1st ofJjune of 2021.</t>
  </si>
  <si>
    <t>(1) En aplicación de la NIC 21 "Efectos de las variaciones en los tipos de cambio de la moneda extranjera", la conversión de la cuenta de resultados de Turquía y Argentina se hace empleando el tipo de cambio final.</t>
  </si>
  <si>
    <r>
      <rPr>
        <sz val="8"/>
        <color theme="1"/>
        <rFont val="Calibri"/>
        <family val="2"/>
        <scheme val="minor"/>
      </rPr>
      <t>(1)</t>
    </r>
    <r>
      <rPr>
        <sz val="11"/>
        <color theme="1"/>
        <rFont val="Calibri"/>
        <family val="2"/>
        <scheme val="minor"/>
      </rPr>
      <t xml:space="preserve"> According to IAS 21 "Effects of changes in foreign currency exchange rates", the translation of the income statement for Turkey and Argentina is made using the final exchange rate.</t>
    </r>
  </si>
  <si>
    <t>(1) Incluen los resultados generados por BBVA USA y el resto de sociedades de EEUU vendidas a PNC el 1 de junio de 2021 y la adquisición de la Socimi Tree.</t>
  </si>
  <si>
    <t>(1) Includes the profit generated by BBVA USA and the rest of the US companies sold to PNC on 1st ofJjune of 2021 and the acquisition of the Socimi Tree.</t>
  </si>
  <si>
    <t>Resultado de operaciones interrumpidas y otros (1)</t>
  </si>
  <si>
    <t>Discontinued operations and Others (1)</t>
  </si>
  <si>
    <t>(1) Incluen los resultados generados por BBVA USA y el resto de sociedades de EEUU vendidas a PNC el 1 de junio de 2021, los costes netos asociados al proceso de reestructuración y el impacto neto de la compra de oficinas en España. (más detalle en las áreas de España y Centro Corporativo)</t>
  </si>
  <si>
    <t>(1) Includes the profit generated by BBVA USA and the rest of the US companies sold to PNC on 1st of June of 2021, the net cost related to the reestructuring process. and net impact arisen form the purchase of offices in Spain. (for further detail in Spain and Corporate centre)</t>
  </si>
  <si>
    <t>(1)Adquisición de oficinas en España</t>
  </si>
  <si>
    <t>(1)Acquisition of branches in Spain.</t>
  </si>
  <si>
    <t>Operaciones Corporativas e Interrumpidas</t>
  </si>
  <si>
    <t>Impacto neto de la compra de oficinas en España</t>
  </si>
  <si>
    <t>Net impact arisen from the purchase of offices in Spain</t>
  </si>
  <si>
    <t>(*)El dato del trimestre en curso es provisional</t>
  </si>
  <si>
    <t>(*)The data for the current quarter is provisional</t>
  </si>
  <si>
    <t>CRD IV</t>
  </si>
  <si>
    <t>RORWA</t>
  </si>
  <si>
    <t>RORWA=Resultado Ejercicio/APRs medios</t>
  </si>
  <si>
    <t>RORWA= Profit/(loss) for the year/Average RWAs</t>
  </si>
  <si>
    <t>*Resultado del ejercicio 30/09/25 anualizado para el cálculo</t>
  </si>
  <si>
    <t>* Profit/(loss) for the year 30/09/25 annualized for calculation</t>
  </si>
  <si>
    <t>Nota general : Cifras considerando la clasificación de las sociedades Garanti Bank SA., Motoractive IFN SA. y Motoractive Multiservices SRL incluidas en el acuerdo de venta suscrito con  Raiffeisen Bank SA como Activos y Pasivos No corrientes en Venta desde el 1T2026.</t>
  </si>
  <si>
    <t>General note: figures considering Garanti Bank SA., Motoractive IFN SA. y Motoractive Multiservices SRL companies in the sale agreement signed with Raiffeisen Bank SA as Non-current Assets and Liabilities Held for Sale from 1Q2026</t>
  </si>
  <si>
    <t>MARCA</t>
  </si>
  <si>
    <t>.</t>
  </si>
  <si>
    <t>Resultado Atribuido</t>
  </si>
  <si>
    <t>Total</t>
  </si>
  <si>
    <t>(1)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</si>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</sst>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dd\-mm\-yy"/>
    <numFmt numFmtId="165" formatCode="#,##0.000"/>
    <numFmt numFmtId="166" formatCode="0.000%"/>
    <numFmt numFmtId="167" formatCode="0.0"/>
    <numFmt numFmtId="168" formatCode="0.0%"/>
    <numFmt numFmtId="169" formatCode="#,##0.0000"/>
    <numFmt numFmtId="170" formatCode="dd\-mm\-yy;@"/>
    <numFmt numFmtId="171" formatCode="_-* #,##0.00\ _€_-;\-* #,##0.00\ _€_-;_-* &quot;-&quot;??\ _€_-;_-@_-"/>
    <numFmt numFmtId="172" formatCode="_-* #,##0\ _P_t_s_-;\-* #,##0\ _P_t_s_-;_-* &quot;-&quot;??\ _P_t_s_-;_-@_-"/>
    <numFmt numFmtId="173" formatCode="0.00000000"/>
  </numFmts>
  <fonts count="58">
    <font>
      <sz val="11"/>
      <color theme="1"/>
      <name val="Calibri"/>
      <family val="2"/>
      <scheme val="minor"/>
    </font>
    <font>
      <sz val="11"/>
      <color theme="1"/>
      <name val="Calibri"/>
      <family val="2"/>
      <scheme val="minor"/>
    </font>
    <font>
      <sz val="11"/>
      <color theme="0"/>
      <name val="Calibri"/>
      <family val="2"/>
      <scheme val="minor"/>
    </font>
    <font>
      <sz val="10"/>
      <name val="Baskerville BE Regular"/>
    </font>
    <font>
      <sz val="8"/>
      <name val="Arial"/>
      <family val="2"/>
    </font>
    <font>
      <sz val="16"/>
      <color theme="1"/>
      <name val="BBVA Office Book"/>
      <family val="2"/>
    </font>
    <font>
      <sz val="12"/>
      <color rgb="FF002060"/>
      <name val="BBVA Office Book"/>
      <family val="2"/>
    </font>
    <font>
      <sz val="10"/>
      <name val="BBVA Office Book"/>
      <family val="2"/>
    </font>
    <font>
      <sz val="8"/>
      <name val="BBVA Office Book"/>
      <family val="2"/>
    </font>
    <font>
      <sz val="10"/>
      <color theme="4"/>
      <name val="BBVA Office Book"/>
      <family val="2"/>
    </font>
    <font>
      <sz val="10"/>
      <name val="Arial"/>
      <family val="2"/>
    </font>
    <font>
      <b/>
      <sz val="10"/>
      <name val="BBVA Office Book"/>
      <family val="2"/>
    </font>
    <font>
      <sz val="11"/>
      <name val="BBVA Office Book"/>
      <family val="2"/>
    </font>
    <font>
      <sz val="14"/>
      <color theme="1" tint="0.34998626667073579"/>
      <name val="BBVA Office Book"/>
      <family val="2"/>
    </font>
    <font>
      <b/>
      <sz val="10"/>
      <color theme="0"/>
      <name val="BBVA Office Book"/>
      <family val="2"/>
    </font>
    <font>
      <sz val="9"/>
      <name val="BBVA Office Book"/>
      <family val="2"/>
    </font>
    <font>
      <sz val="12"/>
      <color theme="3"/>
      <name val="BBVA Office Book"/>
      <family val="2"/>
    </font>
    <font>
      <sz val="11"/>
      <color theme="3"/>
      <name val="BBVA Office Book"/>
      <family val="2"/>
    </font>
    <font>
      <sz val="8"/>
      <color theme="1"/>
      <name val="Calibri"/>
      <family val="2"/>
      <scheme val="minor"/>
    </font>
    <font>
      <sz val="11"/>
      <color theme="4" tint="-0.499984740745262"/>
      <name val="Calibri"/>
      <family val="2"/>
      <scheme val="minor"/>
    </font>
    <font>
      <sz val="12"/>
      <color theme="4" tint="-0.499984740745262"/>
      <name val="Arial"/>
      <family val="2"/>
    </font>
    <font>
      <sz val="12"/>
      <color rgb="FF222222"/>
      <name val="Arial"/>
      <family val="2"/>
    </font>
    <font>
      <sz val="8"/>
      <color rgb="FF000000"/>
      <name val="Tahoma"/>
      <family val="2"/>
    </font>
    <font>
      <sz val="10"/>
      <name val="Lucida Sans Unicode"/>
      <family val="2"/>
    </font>
    <font>
      <vertAlign val="superscript"/>
      <sz val="10"/>
      <name val="Stag Sans Medium"/>
      <family val="2"/>
    </font>
    <font>
      <vertAlign val="superscript"/>
      <sz val="10"/>
      <name val="BBVA Office Book"/>
      <family val="2"/>
    </font>
    <font>
      <vertAlign val="superscript"/>
      <sz val="20"/>
      <name val="BBVA Office Book"/>
      <family val="2"/>
    </font>
    <font>
      <vertAlign val="superscript"/>
      <sz val="26"/>
      <color theme="1" tint="0.34998626667073579"/>
      <name val="BBVA Office Book"/>
      <family val="2"/>
    </font>
    <font>
      <vertAlign val="superscript"/>
      <sz val="10"/>
      <color indexed="21"/>
      <name val="Stag Sans Medium"/>
      <family val="2"/>
    </font>
    <font>
      <vertAlign val="superscript"/>
      <sz val="22"/>
      <color indexed="21"/>
      <name val="Stag Sans Medium"/>
      <family val="2"/>
    </font>
    <font>
      <vertAlign val="superscript"/>
      <sz val="22"/>
      <color theme="0"/>
      <name val="BBVA Office Book"/>
      <family val="2"/>
    </font>
    <font>
      <b/>
      <sz val="16"/>
      <name val="BBVA Office Book"/>
      <family val="2"/>
    </font>
    <font>
      <sz val="14"/>
      <color theme="1"/>
      <name val="BBVA Office Book"/>
      <family val="2"/>
    </font>
    <font>
      <vertAlign val="superscript"/>
      <sz val="10"/>
      <color indexed="9"/>
      <name val="Stag Sans Medium"/>
      <family val="2"/>
    </font>
    <font>
      <vertAlign val="superscript"/>
      <sz val="10"/>
      <color indexed="58"/>
      <name val="Stag Sans Medium"/>
      <family val="2"/>
    </font>
    <font>
      <vertAlign val="superscript"/>
      <sz val="10"/>
      <color indexed="58"/>
      <name val="BBVA Office Book"/>
      <family val="2"/>
    </font>
    <font>
      <vertAlign val="superscript"/>
      <sz val="20"/>
      <name val="Stag Sans Medium"/>
      <family val="2"/>
    </font>
    <font>
      <sz val="14"/>
      <name val="BBVA Office Book"/>
      <family val="2"/>
    </font>
    <font>
      <sz val="10"/>
      <color theme="1" tint="0.34998626667073579"/>
      <name val="BBVA Office Book"/>
      <family val="2"/>
    </font>
    <font>
      <sz val="11"/>
      <name val="Calibri"/>
      <family val="2"/>
      <scheme val="minor"/>
    </font>
    <font>
      <i/>
      <sz val="10"/>
      <name val="BBVA Office Book"/>
      <family val="2"/>
    </font>
    <font>
      <sz val="10"/>
      <color theme="0"/>
      <name val="BBVA Office Book"/>
      <family val="2"/>
    </font>
    <font>
      <sz val="8"/>
      <color theme="0"/>
      <name val="BBVA Office Book"/>
      <family val="2"/>
    </font>
    <font>
      <sz val="10"/>
      <color indexed="18"/>
      <name val="Tahoma"/>
      <family val="2"/>
    </font>
    <font>
      <sz val="10"/>
      <name val="Tahoma"/>
      <family val="2"/>
    </font>
    <font>
      <sz val="10"/>
      <color theme="5"/>
      <name val="Arial"/>
      <family val="2"/>
    </font>
    <font>
      <b/>
      <sz val="16"/>
      <color theme="1" tint="0.34998626667073579"/>
      <name val="BBVA Office Book"/>
      <family val="2"/>
    </font>
    <font>
      <b/>
      <sz val="10"/>
      <name val="Arial"/>
      <family val="2"/>
    </font>
    <font>
      <sz val="10"/>
      <color indexed="18"/>
      <name val="Arial"/>
      <family val="2"/>
    </font>
    <font>
      <sz val="11"/>
      <name val="Lucida Sans Unicode"/>
      <family val="2"/>
    </font>
    <font>
      <sz val="10"/>
      <color theme="3"/>
      <name val="BBVA Office Book"/>
      <family val="2"/>
    </font>
    <font>
      <sz val="16"/>
      <color theme="1" tint="0.34998626667073579"/>
      <name val="BBVA Office Book"/>
      <family val="2"/>
    </font>
    <font>
      <b/>
      <sz val="9"/>
      <color rgb="FFFF0000"/>
      <name val="BBVA Office Book"/>
      <family val="2"/>
    </font>
    <font>
      <sz val="12"/>
      <name val="BBVA Office Book"/>
      <family val="2"/>
    </font>
    <font>
      <sz val="10"/>
      <color rgb="FFFF0000"/>
      <name val="Arial"/>
      <family val="2"/>
    </font>
    <font>
      <sz val="11"/>
      <color theme="1" tint="0.34998626667073579"/>
      <name val="BBVA Office Book"/>
      <family val="2"/>
    </font>
    <font>
      <sz val="11"/>
      <color theme="0"/>
      <name val="BBVA Office Book"/>
      <family val="2"/>
    </font>
    <font>
      <sz val="11"/>
      <color theme="3"/>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3"/>
        <bgColor indexed="64"/>
      </patternFill>
    </fill>
    <fill>
      <patternFill patternType="solid">
        <fgColor theme="4" tint="0.59999389629810485"/>
        <bgColor indexed="64"/>
      </patternFill>
    </fill>
    <fill>
      <patternFill patternType="solid">
        <fgColor rgb="FFA7CFED"/>
        <bgColor indexed="64"/>
      </patternFill>
    </fill>
    <fill>
      <patternFill patternType="solid">
        <fgColor theme="2" tint="0.89999084444715716"/>
        <bgColor indexed="64"/>
      </patternFill>
    </fill>
    <fill>
      <patternFill patternType="solid">
        <fgColor theme="0"/>
        <bgColor indexed="64"/>
      </patternFill>
    </fill>
  </fills>
  <borders count="5">
    <border>
      <left/>
      <right/>
      <top/>
      <bottom/>
      <diagonal/>
    </border>
    <border>
      <left/>
      <right/>
      <top/>
      <bottom style="thin">
        <color indexed="64"/>
      </bottom>
      <diagonal/>
    </border>
    <border>
      <left/>
      <right style="thin">
        <color auto="1"/>
      </right>
      <top/>
      <bottom/>
      <diagonal/>
    </border>
    <border>
      <left style="thin">
        <color indexed="64"/>
      </left>
      <right/>
      <top/>
      <bottom/>
      <diagonal/>
    </border>
    <border>
      <left/>
      <right style="thin">
        <color indexed="64"/>
      </right>
      <top style="thin">
        <color indexed="64"/>
      </top>
      <bottom/>
      <diagonal/>
    </border>
  </borders>
  <cellStyleXfs count="14">
    <xf numFmtId="0" fontId="0" fillId="0" borderId="0"/>
    <xf numFmtId="171" fontId="1" fillId="0" borderId="0" applyFont="0" applyFill="0" applyBorder="0" applyAlignment="0" applyProtection="0"/>
    <xf numFmtId="9" fontId="1" fillId="0" borderId="0" applyFont="0" applyFill="0" applyBorder="0" applyAlignment="0" applyProtection="0"/>
    <xf numFmtId="0" fontId="3" fillId="0" borderId="0"/>
    <xf numFmtId="3" fontId="10" fillId="0" borderId="0"/>
    <xf numFmtId="0" fontId="1" fillId="0" borderId="0"/>
    <xf numFmtId="0" fontId="10" fillId="0" borderId="0"/>
    <xf numFmtId="0" fontId="23" fillId="0" borderId="0"/>
    <xf numFmtId="0" fontId="10" fillId="0" borderId="0"/>
    <xf numFmtId="0" fontId="23"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cellStyleXfs>
  <cellXfs count="267">
    <xf numFmtId="0" fontId="0" fillId="0" borderId="0" xfId="0"/>
    <xf numFmtId="0" fontId="4" fillId="0" borderId="0" xfId="3" applyFont="1" applyProtection="1">
      <protection locked="0" hidden="1"/>
    </xf>
    <xf numFmtId="0" fontId="4" fillId="0" borderId="0" xfId="3" applyFont="1" applyAlignment="1" applyProtection="1">
      <alignment horizontal="left"/>
      <protection locked="0" hidden="1"/>
    </xf>
    <xf numFmtId="0" fontId="4" fillId="0" borderId="1" xfId="3" applyFont="1" applyBorder="1" applyAlignment="1" applyProtection="1">
      <alignment horizontal="left"/>
      <protection locked="0" hidden="1"/>
    </xf>
    <xf numFmtId="0" fontId="5" fillId="0" borderId="0" xfId="0" applyFont="1"/>
    <xf numFmtId="0" fontId="6" fillId="0" borderId="0" xfId="3" applyFont="1" applyAlignment="1" applyProtection="1">
      <alignment horizontal="left"/>
      <protection locked="0" hidden="1"/>
    </xf>
    <xf numFmtId="0" fontId="6" fillId="0" borderId="0" xfId="0" applyFont="1"/>
    <xf numFmtId="3" fontId="7" fillId="0" borderId="0" xfId="0" applyNumberFormat="1" applyFont="1" applyAlignment="1">
      <alignment vertical="center"/>
    </xf>
    <xf numFmtId="3" fontId="8" fillId="0" borderId="0" xfId="0" applyNumberFormat="1" applyFont="1" applyAlignment="1">
      <alignment vertical="center"/>
    </xf>
    <xf numFmtId="0" fontId="9" fillId="0" borderId="0" xfId="0" applyFont="1" applyAlignment="1">
      <alignment horizontal="left" vertical="center"/>
    </xf>
    <xf numFmtId="3" fontId="10" fillId="0" borderId="0" xfId="4" quotePrefix="1"/>
    <xf numFmtId="0" fontId="0" fillId="0" borderId="0" xfId="0" quotePrefix="1"/>
    <xf numFmtId="3" fontId="7" fillId="0" borderId="0" xfId="5" applyNumberFormat="1" applyFont="1" applyAlignment="1">
      <alignment vertical="center"/>
    </xf>
    <xf numFmtId="3" fontId="11" fillId="0" borderId="0" xfId="5" applyNumberFormat="1" applyFont="1" applyAlignment="1">
      <alignment vertical="center"/>
    </xf>
    <xf numFmtId="0" fontId="12" fillId="0" borderId="0" xfId="5" applyFont="1"/>
    <xf numFmtId="0" fontId="8" fillId="0" borderId="0" xfId="5" applyFont="1" applyAlignment="1">
      <alignment horizontal="left"/>
    </xf>
    <xf numFmtId="0" fontId="13" fillId="2" borderId="0" xfId="5" applyFont="1" applyFill="1" applyAlignment="1">
      <alignment horizontal="left" vertical="center"/>
    </xf>
    <xf numFmtId="3" fontId="11" fillId="0" borderId="0" xfId="0" applyNumberFormat="1" applyFont="1" applyAlignment="1">
      <alignment vertical="center"/>
    </xf>
    <xf numFmtId="3" fontId="14" fillId="3" borderId="0" xfId="0" applyNumberFormat="1" applyFont="1" applyFill="1" applyAlignment="1">
      <alignment vertical="center"/>
    </xf>
    <xf numFmtId="0" fontId="15" fillId="0" borderId="0" xfId="0" applyFont="1" applyAlignment="1">
      <alignment horizontal="left"/>
    </xf>
    <xf numFmtId="0" fontId="16" fillId="0" borderId="1" xfId="0" applyFont="1" applyBorder="1" applyAlignment="1">
      <alignment vertical="center"/>
    </xf>
    <xf numFmtId="164" fontId="17" fillId="0" borderId="0" xfId="0" applyNumberFormat="1" applyFont="1" applyAlignment="1">
      <alignment horizontal="left" vertical="center"/>
    </xf>
    <xf numFmtId="0" fontId="7" fillId="0" borderId="0" xfId="5" applyFont="1" applyAlignment="1">
      <alignment vertical="center"/>
    </xf>
    <xf numFmtId="3" fontId="11" fillId="0" borderId="0" xfId="6" applyNumberFormat="1" applyFont="1" applyAlignment="1">
      <alignment vertical="center"/>
    </xf>
    <xf numFmtId="49" fontId="0" fillId="0" borderId="0" xfId="0" applyNumberFormat="1"/>
    <xf numFmtId="0" fontId="19" fillId="0" borderId="0" xfId="0" applyFont="1"/>
    <xf numFmtId="3" fontId="8" fillId="0" borderId="0" xfId="0" applyNumberFormat="1" applyFont="1" applyAlignment="1">
      <alignment vertical="top" wrapText="1"/>
    </xf>
    <xf numFmtId="0" fontId="21" fillId="0" borderId="0" xfId="0" applyFont="1"/>
    <xf numFmtId="0" fontId="0" fillId="0" borderId="0" xfId="0" applyAlignment="1">
      <alignment wrapText="1"/>
    </xf>
    <xf numFmtId="3" fontId="8" fillId="0" borderId="0" xfId="0" applyNumberFormat="1" applyFont="1" applyAlignment="1">
      <alignment vertical="top"/>
    </xf>
    <xf numFmtId="0" fontId="24" fillId="0" borderId="0" xfId="7" applyFont="1"/>
    <xf numFmtId="0" fontId="25" fillId="0" borderId="0" xfId="7" applyFont="1"/>
    <xf numFmtId="0" fontId="26" fillId="0" borderId="0" xfId="7" applyFont="1"/>
    <xf numFmtId="0" fontId="27" fillId="2" borderId="0" xfId="8" applyFont="1" applyFill="1" applyAlignment="1" applyProtection="1">
      <alignment horizontal="center" vertical="top"/>
      <protection hidden="1"/>
    </xf>
    <xf numFmtId="0" fontId="28" fillId="0" borderId="0" xfId="7" applyFont="1" applyProtection="1">
      <protection locked="0"/>
    </xf>
    <xf numFmtId="0" fontId="29" fillId="0" borderId="0" xfId="8" applyFont="1" applyAlignment="1" applyProtection="1">
      <alignment horizontal="left" indent="4"/>
      <protection hidden="1"/>
    </xf>
    <xf numFmtId="0" fontId="30" fillId="3" borderId="0" xfId="8" applyFont="1" applyFill="1" applyAlignment="1" applyProtection="1">
      <alignment horizontal="left" vertical="top"/>
      <protection hidden="1"/>
    </xf>
    <xf numFmtId="0" fontId="31" fillId="0" borderId="0" xfId="8" applyFont="1"/>
    <xf numFmtId="0" fontId="24" fillId="0" borderId="0" xfId="7" applyFont="1" applyProtection="1">
      <protection hidden="1"/>
    </xf>
    <xf numFmtId="0" fontId="32" fillId="4" borderId="0" xfId="0" applyFont="1" applyFill="1"/>
    <xf numFmtId="0" fontId="25" fillId="0" borderId="0" xfId="7" quotePrefix="1" applyFont="1"/>
    <xf numFmtId="0" fontId="33" fillId="0" borderId="0" xfId="7" quotePrefix="1" applyFont="1"/>
    <xf numFmtId="0" fontId="24" fillId="0" borderId="0" xfId="7" quotePrefix="1" applyFont="1" applyProtection="1">
      <protection hidden="1"/>
    </xf>
    <xf numFmtId="0" fontId="32" fillId="5" borderId="0" xfId="0" applyFont="1" applyFill="1"/>
    <xf numFmtId="0" fontId="24" fillId="0" borderId="0" xfId="7" applyFont="1" applyAlignment="1">
      <alignment horizontal="left" indent="5"/>
    </xf>
    <xf numFmtId="0" fontId="25" fillId="0" borderId="0" xfId="7" applyFont="1" applyAlignment="1">
      <alignment horizontal="left" indent="5"/>
    </xf>
    <xf numFmtId="0" fontId="24" fillId="0" borderId="0" xfId="7" applyFont="1" applyAlignment="1">
      <alignment horizontal="center"/>
    </xf>
    <xf numFmtId="0" fontId="24" fillId="0" borderId="0" xfId="7" applyFont="1" applyAlignment="1" applyProtection="1">
      <alignment horizontal="left" indent="5"/>
      <protection hidden="1"/>
    </xf>
    <xf numFmtId="0" fontId="26" fillId="0" borderId="0" xfId="7" applyFont="1" applyAlignment="1">
      <alignment horizontal="left" vertical="top"/>
    </xf>
    <xf numFmtId="0" fontId="34" fillId="0" borderId="0" xfId="7" applyFont="1"/>
    <xf numFmtId="0" fontId="32" fillId="6" borderId="0" xfId="0" applyFont="1" applyFill="1"/>
    <xf numFmtId="0" fontId="35" fillId="0" borderId="0" xfId="7" applyFont="1"/>
    <xf numFmtId="0" fontId="34" fillId="0" borderId="0" xfId="7" applyFont="1" applyProtection="1">
      <protection hidden="1"/>
    </xf>
    <xf numFmtId="3" fontId="8" fillId="0" borderId="0" xfId="0" applyNumberFormat="1" applyFont="1" applyAlignment="1">
      <alignment horizontal="left" vertical="top" wrapText="1"/>
    </xf>
    <xf numFmtId="0" fontId="36" fillId="0" borderId="0" xfId="7" applyFont="1"/>
    <xf numFmtId="3" fontId="24" fillId="0" borderId="0" xfId="7" applyNumberFormat="1" applyFont="1"/>
    <xf numFmtId="0" fontId="37" fillId="0" borderId="0" xfId="0" applyFont="1" applyAlignment="1">
      <alignment horizontal="left" vertical="center"/>
    </xf>
    <xf numFmtId="0" fontId="7" fillId="0" borderId="0" xfId="0" applyFont="1"/>
    <xf numFmtId="0" fontId="31" fillId="0" borderId="0" xfId="0" applyFont="1" applyAlignment="1">
      <alignment horizontal="left" vertical="center"/>
    </xf>
    <xf numFmtId="0" fontId="13" fillId="2" borderId="0" xfId="0" applyFont="1" applyFill="1" applyAlignment="1">
      <alignment horizontal="left" vertical="center"/>
    </xf>
    <xf numFmtId="0" fontId="38" fillId="2" borderId="0" xfId="0" applyFont="1" applyFill="1"/>
    <xf numFmtId="0" fontId="7" fillId="0" borderId="0" xfId="0" applyFont="1" applyAlignment="1">
      <alignment vertical="center"/>
    </xf>
    <xf numFmtId="0" fontId="7" fillId="0" borderId="0" xfId="0" applyFont="1" applyAlignment="1">
      <alignment horizontal="left" vertical="center"/>
    </xf>
    <xf numFmtId="0" fontId="7" fillId="0" borderId="0" xfId="0" applyFont="1" applyAlignment="1">
      <alignment horizontal="right" vertical="center"/>
    </xf>
    <xf numFmtId="0" fontId="17" fillId="0" borderId="0" xfId="0" applyFont="1" applyAlignment="1">
      <alignment horizontal="right" vertical="center"/>
    </xf>
    <xf numFmtId="0" fontId="17" fillId="0" borderId="2" xfId="0" applyFont="1" applyBorder="1" applyAlignment="1">
      <alignment horizontal="right" vertical="center"/>
    </xf>
    <xf numFmtId="3" fontId="11" fillId="0" borderId="2" xfId="0" applyNumberFormat="1" applyFont="1" applyBorder="1" applyAlignment="1">
      <alignment vertical="center"/>
    </xf>
    <xf numFmtId="3" fontId="11" fillId="0" borderId="0" xfId="0" applyNumberFormat="1" applyFont="1" applyAlignment="1">
      <alignment horizontal="right" vertical="center"/>
    </xf>
    <xf numFmtId="3" fontId="0" fillId="0" borderId="0" xfId="0" applyNumberFormat="1"/>
    <xf numFmtId="9" fontId="0" fillId="0" borderId="0" xfId="2" applyFont="1" applyFill="1"/>
    <xf numFmtId="3" fontId="7" fillId="0" borderId="0" xfId="0" applyNumberFormat="1" applyFont="1" applyAlignment="1">
      <alignment horizontal="right"/>
    </xf>
    <xf numFmtId="3" fontId="7" fillId="0" borderId="2" xfId="0" applyNumberFormat="1" applyFont="1" applyBorder="1" applyAlignment="1">
      <alignment horizontal="right"/>
    </xf>
    <xf numFmtId="3" fontId="7" fillId="0" borderId="0" xfId="0" applyNumberFormat="1" applyFont="1" applyAlignment="1">
      <alignment horizontal="left" vertical="center" indent="1"/>
    </xf>
    <xf numFmtId="3" fontId="14" fillId="0" borderId="0" xfId="0" applyNumberFormat="1" applyFont="1" applyAlignment="1">
      <alignment vertical="center"/>
    </xf>
    <xf numFmtId="3" fontId="8" fillId="0" borderId="0" xfId="0" applyNumberFormat="1" applyFont="1" applyAlignment="1">
      <alignment horizontal="left" vertical="top" wrapText="1"/>
    </xf>
    <xf numFmtId="3" fontId="2" fillId="0" borderId="0" xfId="0" applyNumberFormat="1" applyFont="1"/>
    <xf numFmtId="9" fontId="39" fillId="0" borderId="0" xfId="2" applyFont="1" applyFill="1"/>
    <xf numFmtId="165" fontId="39" fillId="0" borderId="0" xfId="0" applyNumberFormat="1" applyFont="1"/>
    <xf numFmtId="0" fontId="11" fillId="0" borderId="0" xfId="0" applyFont="1"/>
    <xf numFmtId="3" fontId="7" fillId="0" borderId="0" xfId="0" applyNumberFormat="1" applyFont="1"/>
    <xf numFmtId="164" fontId="17" fillId="0" borderId="0" xfId="0" applyNumberFormat="1" applyFont="1" applyAlignment="1">
      <alignment horizontal="right" vertical="center"/>
    </xf>
    <xf numFmtId="3" fontId="40" fillId="0" borderId="0" xfId="0" applyNumberFormat="1" applyFont="1" applyAlignment="1">
      <alignment vertical="center"/>
    </xf>
    <xf numFmtId="3" fontId="40" fillId="0" borderId="0" xfId="0" applyNumberFormat="1" applyFont="1" applyAlignment="1">
      <alignment horizontal="right"/>
    </xf>
    <xf numFmtId="3" fontId="7" fillId="6" borderId="0" xfId="0" applyNumberFormat="1" applyFont="1" applyFill="1" applyAlignment="1">
      <alignment horizontal="right"/>
    </xf>
    <xf numFmtId="3" fontId="11" fillId="0" borderId="0" xfId="0" applyNumberFormat="1" applyFont="1"/>
    <xf numFmtId="3" fontId="41" fillId="0" borderId="0" xfId="0" applyNumberFormat="1" applyFont="1"/>
    <xf numFmtId="1" fontId="41" fillId="0" borderId="0" xfId="0" applyNumberFormat="1" applyFont="1"/>
    <xf numFmtId="3" fontId="14" fillId="3" borderId="2" xfId="0" applyNumberFormat="1" applyFont="1" applyFill="1" applyBorder="1" applyAlignment="1">
      <alignment vertical="center"/>
    </xf>
    <xf numFmtId="3" fontId="14" fillId="3" borderId="0" xfId="0" applyNumberFormat="1" applyFont="1" applyFill="1" applyAlignment="1">
      <alignment horizontal="right" vertical="center"/>
    </xf>
    <xf numFmtId="3" fontId="7" fillId="0" borderId="2" xfId="0" applyNumberFormat="1" applyFont="1" applyBorder="1"/>
    <xf numFmtId="0" fontId="13" fillId="0" borderId="0" xfId="0" applyFont="1" applyAlignment="1">
      <alignment horizontal="left" vertical="center"/>
    </xf>
    <xf numFmtId="0" fontId="38" fillId="0" borderId="0" xfId="0" applyFont="1"/>
    <xf numFmtId="164" fontId="17" fillId="0" borderId="2" xfId="0" applyNumberFormat="1" applyFont="1" applyBorder="1" applyAlignment="1">
      <alignment horizontal="right" vertical="center"/>
    </xf>
    <xf numFmtId="3" fontId="42" fillId="0" borderId="0" xfId="0" applyNumberFormat="1" applyFont="1" applyAlignment="1">
      <alignment vertical="center" wrapText="1"/>
    </xf>
    <xf numFmtId="164" fontId="17" fillId="0" borderId="0" xfId="0" applyNumberFormat="1" applyFont="1" applyAlignment="1">
      <alignment vertical="center"/>
    </xf>
    <xf numFmtId="0" fontId="38" fillId="2" borderId="0" xfId="0" applyFont="1" applyFill="1" applyAlignment="1">
      <alignment horizontal="right"/>
    </xf>
    <xf numFmtId="0" fontId="7" fillId="0" borderId="0" xfId="0" applyFont="1" applyAlignment="1">
      <alignment horizontal="right"/>
    </xf>
    <xf numFmtId="0" fontId="38" fillId="0" borderId="0" xfId="0" applyFont="1" applyAlignment="1">
      <alignment horizontal="right"/>
    </xf>
    <xf numFmtId="0" fontId="43" fillId="0" borderId="0" xfId="0" applyFont="1"/>
    <xf numFmtId="0" fontId="44" fillId="0" borderId="0" xfId="0" applyFont="1"/>
    <xf numFmtId="3" fontId="14" fillId="3" borderId="2" xfId="0" applyNumberFormat="1" applyFont="1" applyFill="1" applyBorder="1" applyAlignment="1">
      <alignment horizontal="right" vertical="center"/>
    </xf>
    <xf numFmtId="4" fontId="11" fillId="0" borderId="0" xfId="0" applyNumberFormat="1" applyFont="1" applyAlignment="1">
      <alignment horizontal="right" vertical="center"/>
    </xf>
    <xf numFmtId="0" fontId="0" fillId="0" borderId="0" xfId="0" applyAlignment="1">
      <alignment horizontal="right"/>
    </xf>
    <xf numFmtId="3" fontId="11" fillId="0" borderId="2" xfId="0" applyNumberFormat="1" applyFont="1" applyBorder="1" applyAlignment="1">
      <alignment horizontal="right" vertical="center"/>
    </xf>
    <xf numFmtId="3" fontId="8" fillId="7" borderId="0" xfId="0" applyNumberFormat="1" applyFont="1" applyFill="1" applyAlignment="1">
      <alignment vertical="top"/>
    </xf>
    <xf numFmtId="0" fontId="37" fillId="0" borderId="0" xfId="0" quotePrefix="1" applyFont="1" applyAlignment="1">
      <alignment horizontal="left" vertical="center"/>
    </xf>
    <xf numFmtId="0" fontId="13" fillId="2" borderId="0" xfId="0" quotePrefix="1" applyFont="1" applyFill="1" applyAlignment="1">
      <alignment horizontal="left" vertical="center"/>
    </xf>
    <xf numFmtId="0" fontId="9" fillId="0" borderId="0" xfId="0" quotePrefix="1" applyFont="1" applyAlignment="1">
      <alignment horizontal="left" vertical="center"/>
    </xf>
    <xf numFmtId="0" fontId="17" fillId="0" borderId="0" xfId="0" quotePrefix="1" applyFont="1" applyAlignment="1">
      <alignment horizontal="right" vertical="center"/>
    </xf>
    <xf numFmtId="0" fontId="17" fillId="0" borderId="2" xfId="0" quotePrefix="1" applyFont="1" applyBorder="1" applyAlignment="1">
      <alignment horizontal="right" vertical="center"/>
    </xf>
    <xf numFmtId="3" fontId="11" fillId="0" borderId="0" xfId="0" quotePrefix="1" applyNumberFormat="1" applyFont="1" applyAlignment="1">
      <alignment horizontal="right" vertical="center"/>
    </xf>
    <xf numFmtId="3" fontId="7" fillId="0" borderId="0" xfId="0" quotePrefix="1" applyNumberFormat="1" applyFont="1" applyAlignment="1">
      <alignment vertical="center"/>
    </xf>
    <xf numFmtId="3" fontId="7" fillId="0" borderId="0" xfId="0" quotePrefix="1" applyNumberFormat="1" applyFont="1" applyAlignment="1">
      <alignment horizontal="left" vertical="center" indent="1"/>
    </xf>
    <xf numFmtId="3" fontId="11" fillId="0" borderId="0" xfId="0" quotePrefix="1" applyNumberFormat="1" applyFont="1" applyAlignment="1">
      <alignment vertical="center"/>
    </xf>
    <xf numFmtId="3" fontId="14" fillId="3" borderId="0" xfId="0" quotePrefix="1" applyNumberFormat="1" applyFont="1" applyFill="1" applyAlignment="1">
      <alignment vertical="center"/>
    </xf>
    <xf numFmtId="3" fontId="8" fillId="0" borderId="0" xfId="0" quotePrefix="1" applyNumberFormat="1" applyFont="1" applyAlignment="1">
      <alignment vertical="center"/>
    </xf>
    <xf numFmtId="3" fontId="14" fillId="0" borderId="0" xfId="0" quotePrefix="1" applyNumberFormat="1" applyFont="1" applyAlignment="1">
      <alignment vertical="center"/>
    </xf>
    <xf numFmtId="166" fontId="7" fillId="0" borderId="0" xfId="2" applyNumberFormat="1" applyFont="1" applyFill="1" applyBorder="1"/>
    <xf numFmtId="0" fontId="38" fillId="2" borderId="0" xfId="9" applyFont="1" applyFill="1"/>
    <xf numFmtId="0" fontId="44" fillId="0" borderId="0" xfId="9" applyFont="1"/>
    <xf numFmtId="0" fontId="9" fillId="0" borderId="0" xfId="0" applyFont="1" applyAlignment="1">
      <alignment horizontal="left"/>
    </xf>
    <xf numFmtId="0" fontId="7" fillId="0" borderId="0" xfId="9" applyFont="1"/>
    <xf numFmtId="164" fontId="11" fillId="0" borderId="0" xfId="10" applyNumberFormat="1" applyFont="1" applyAlignment="1">
      <alignment horizontal="right" vertical="center"/>
    </xf>
    <xf numFmtId="164" fontId="17" fillId="0" borderId="1" xfId="0" applyNumberFormat="1" applyFont="1" applyBorder="1" applyAlignment="1">
      <alignment horizontal="right"/>
    </xf>
    <xf numFmtId="49" fontId="7" fillId="0" borderId="0" xfId="9" applyNumberFormat="1" applyFont="1" applyAlignment="1">
      <alignment horizontal="right"/>
    </xf>
    <xf numFmtId="49" fontId="7" fillId="0" borderId="4" xfId="9" applyNumberFormat="1" applyFont="1" applyBorder="1" applyAlignment="1">
      <alignment horizontal="right"/>
    </xf>
    <xf numFmtId="167" fontId="11" fillId="0" borderId="0" xfId="0" applyNumberFormat="1" applyFont="1" applyAlignment="1">
      <alignment vertical="center"/>
    </xf>
    <xf numFmtId="167" fontId="11" fillId="0" borderId="2" xfId="0" applyNumberFormat="1" applyFont="1" applyBorder="1" applyAlignment="1">
      <alignment vertical="center"/>
    </xf>
    <xf numFmtId="167" fontId="11" fillId="0" borderId="0" xfId="0" applyNumberFormat="1" applyFont="1" applyAlignment="1">
      <alignment horizontal="right" vertical="center"/>
    </xf>
    <xf numFmtId="167" fontId="7" fillId="0" borderId="0" xfId="9" applyNumberFormat="1" applyFont="1" applyAlignment="1">
      <alignment horizontal="right"/>
    </xf>
    <xf numFmtId="167" fontId="7" fillId="0" borderId="2" xfId="9" applyNumberFormat="1" applyFont="1" applyBorder="1" applyAlignment="1">
      <alignment horizontal="right"/>
    </xf>
    <xf numFmtId="167" fontId="44" fillId="0" borderId="0" xfId="9" applyNumberFormat="1" applyFont="1"/>
    <xf numFmtId="167" fontId="7" fillId="0" borderId="0" xfId="0" applyNumberFormat="1" applyFont="1" applyAlignment="1">
      <alignment vertical="center"/>
    </xf>
    <xf numFmtId="167" fontId="7" fillId="0" borderId="2" xfId="0" applyNumberFormat="1" applyFont="1" applyBorder="1" applyAlignment="1">
      <alignment vertical="center"/>
    </xf>
    <xf numFmtId="167" fontId="7" fillId="0" borderId="0" xfId="0" applyNumberFormat="1" applyFont="1" applyAlignment="1">
      <alignment horizontal="right" vertical="center"/>
    </xf>
    <xf numFmtId="3" fontId="45" fillId="0" borderId="0" xfId="0" applyNumberFormat="1" applyFont="1"/>
    <xf numFmtId="167" fontId="7" fillId="0" borderId="0" xfId="11" applyNumberFormat="1" applyFont="1" applyFill="1" applyBorder="1" applyAlignment="1">
      <alignment horizontal="right"/>
    </xf>
    <xf numFmtId="167" fontId="7" fillId="0" borderId="0" xfId="9" applyNumberFormat="1" applyFont="1"/>
    <xf numFmtId="0" fontId="46" fillId="2" borderId="0" xfId="10" applyFont="1" applyFill="1" applyAlignment="1">
      <alignment horizontal="left" vertical="center"/>
    </xf>
    <xf numFmtId="0" fontId="10" fillId="0" borderId="0" xfId="9" applyFont="1"/>
    <xf numFmtId="164" fontId="17" fillId="0" borderId="1" xfId="0" applyNumberFormat="1" applyFont="1" applyBorder="1" applyAlignment="1">
      <alignment horizontal="right" vertical="center"/>
    </xf>
    <xf numFmtId="0" fontId="7" fillId="0" borderId="4" xfId="9" applyFont="1" applyBorder="1"/>
    <xf numFmtId="165" fontId="0" fillId="0" borderId="0" xfId="0" applyNumberFormat="1"/>
    <xf numFmtId="168" fontId="0" fillId="0" borderId="0" xfId="0" applyNumberFormat="1"/>
    <xf numFmtId="0" fontId="47" fillId="0" borderId="0" xfId="9" applyFont="1"/>
    <xf numFmtId="168" fontId="10" fillId="0" borderId="0" xfId="9" applyNumberFormat="1" applyFont="1"/>
    <xf numFmtId="167" fontId="7" fillId="0" borderId="0" xfId="0" applyNumberFormat="1" applyFont="1"/>
    <xf numFmtId="167" fontId="7" fillId="0" borderId="2" xfId="0" applyNumberFormat="1" applyFont="1" applyBorder="1"/>
    <xf numFmtId="167" fontId="7" fillId="0" borderId="0" xfId="0" applyNumberFormat="1" applyFont="1" applyAlignment="1">
      <alignment horizontal="right"/>
    </xf>
    <xf numFmtId="0" fontId="8" fillId="0" borderId="0" xfId="0" applyFont="1" applyAlignment="1">
      <alignment horizontal="left"/>
    </xf>
    <xf numFmtId="168" fontId="7" fillId="0" borderId="0" xfId="9" applyNumberFormat="1" applyFont="1"/>
    <xf numFmtId="168" fontId="38" fillId="2" borderId="0" xfId="9" applyNumberFormat="1" applyFont="1" applyFill="1"/>
    <xf numFmtId="2" fontId="7" fillId="0" borderId="0" xfId="9" applyNumberFormat="1" applyFont="1"/>
    <xf numFmtId="1" fontId="11" fillId="0" borderId="0" xfId="0" applyNumberFormat="1" applyFont="1" applyAlignment="1">
      <alignment vertical="center"/>
    </xf>
    <xf numFmtId="1" fontId="11" fillId="0" borderId="2" xfId="0" applyNumberFormat="1" applyFont="1" applyBorder="1" applyAlignment="1">
      <alignment vertical="center"/>
    </xf>
    <xf numFmtId="1" fontId="11" fillId="0" borderId="0" xfId="0" applyNumberFormat="1" applyFont="1" applyAlignment="1">
      <alignment horizontal="right" vertical="center"/>
    </xf>
    <xf numFmtId="169" fontId="0" fillId="0" borderId="0" xfId="0" applyNumberFormat="1"/>
    <xf numFmtId="1" fontId="7" fillId="0" borderId="0" xfId="9" applyNumberFormat="1" applyFont="1" applyAlignment="1">
      <alignment horizontal="right"/>
    </xf>
    <xf numFmtId="1" fontId="7" fillId="0" borderId="2" xfId="9" applyNumberFormat="1" applyFont="1" applyBorder="1" applyAlignment="1">
      <alignment horizontal="right"/>
    </xf>
    <xf numFmtId="1" fontId="7" fillId="0" borderId="0" xfId="0" applyNumberFormat="1" applyFont="1" applyAlignment="1">
      <alignment vertical="center"/>
    </xf>
    <xf numFmtId="1" fontId="7" fillId="0" borderId="2" xfId="0" applyNumberFormat="1" applyFont="1" applyBorder="1" applyAlignment="1">
      <alignment vertical="center"/>
    </xf>
    <xf numFmtId="1" fontId="7" fillId="0" borderId="0" xfId="0" applyNumberFormat="1" applyFont="1" applyAlignment="1">
      <alignment horizontal="right" vertical="center"/>
    </xf>
    <xf numFmtId="9" fontId="0" fillId="0" borderId="0" xfId="0" applyNumberFormat="1"/>
    <xf numFmtId="1" fontId="7" fillId="0" borderId="0" xfId="0" applyNumberFormat="1" applyFont="1"/>
    <xf numFmtId="1" fontId="7" fillId="0" borderId="2" xfId="0" applyNumberFormat="1" applyFont="1" applyBorder="1"/>
    <xf numFmtId="1" fontId="7" fillId="0" borderId="0" xfId="0" applyNumberFormat="1" applyFont="1" applyAlignment="1">
      <alignment horizontal="right"/>
    </xf>
    <xf numFmtId="2" fontId="11" fillId="0" borderId="0" xfId="0" applyNumberFormat="1" applyFont="1" applyAlignment="1">
      <alignment vertical="center"/>
    </xf>
    <xf numFmtId="2" fontId="11" fillId="0" borderId="2" xfId="0" applyNumberFormat="1" applyFont="1" applyBorder="1" applyAlignment="1">
      <alignment vertical="center"/>
    </xf>
    <xf numFmtId="2" fontId="11" fillId="0" borderId="0" xfId="0" applyNumberFormat="1" applyFont="1" applyAlignment="1">
      <alignment horizontal="right" vertical="center"/>
    </xf>
    <xf numFmtId="2" fontId="7" fillId="0" borderId="0" xfId="9" applyNumberFormat="1" applyFont="1" applyAlignment="1">
      <alignment horizontal="right"/>
    </xf>
    <xf numFmtId="2" fontId="7" fillId="0" borderId="2" xfId="9" applyNumberFormat="1" applyFont="1" applyBorder="1" applyAlignment="1">
      <alignment horizontal="right"/>
    </xf>
    <xf numFmtId="2" fontId="7" fillId="0" borderId="0" xfId="0" applyNumberFormat="1" applyFont="1" applyAlignment="1">
      <alignment vertical="center"/>
    </xf>
    <xf numFmtId="2" fontId="7" fillId="0" borderId="2" xfId="0" applyNumberFormat="1" applyFont="1" applyBorder="1" applyAlignment="1">
      <alignment vertical="center"/>
    </xf>
    <xf numFmtId="2" fontId="7" fillId="0" borderId="0" xfId="0" applyNumberFormat="1" applyFont="1" applyAlignment="1">
      <alignment horizontal="right" vertical="center"/>
    </xf>
    <xf numFmtId="2" fontId="7" fillId="0" borderId="0" xfId="0" applyNumberFormat="1" applyFont="1"/>
    <xf numFmtId="2" fontId="7" fillId="0" borderId="2" xfId="0" applyNumberFormat="1" applyFont="1" applyBorder="1"/>
    <xf numFmtId="2" fontId="7" fillId="0" borderId="0" xfId="0" applyNumberFormat="1" applyFont="1" applyAlignment="1">
      <alignment horizontal="right"/>
    </xf>
    <xf numFmtId="0" fontId="7" fillId="0" borderId="0" xfId="9" applyFont="1" applyAlignment="1">
      <alignment horizontal="right"/>
    </xf>
    <xf numFmtId="0" fontId="48" fillId="0" borderId="0" xfId="9" applyFont="1"/>
    <xf numFmtId="3" fontId="38" fillId="2" borderId="0" xfId="0" applyNumberFormat="1" applyFont="1" applyFill="1"/>
    <xf numFmtId="0" fontId="11" fillId="0" borderId="0" xfId="9" applyFont="1" applyAlignment="1">
      <alignment horizontal="center" vertical="center"/>
    </xf>
    <xf numFmtId="3" fontId="7" fillId="0" borderId="0" xfId="0" quotePrefix="1" applyNumberFormat="1" applyFont="1" applyAlignment="1">
      <alignment horizontal="right"/>
    </xf>
    <xf numFmtId="0" fontId="49" fillId="0" borderId="0" xfId="0" applyFont="1"/>
    <xf numFmtId="3" fontId="44" fillId="0" borderId="0" xfId="9" applyNumberFormat="1" applyFont="1"/>
    <xf numFmtId="2" fontId="0" fillId="0" borderId="0" xfId="0" applyNumberFormat="1"/>
    <xf numFmtId="0" fontId="0" fillId="7" borderId="0" xfId="0" applyFill="1"/>
    <xf numFmtId="0" fontId="31" fillId="0" borderId="0" xfId="10" applyFont="1" applyAlignment="1">
      <alignment horizontal="left" vertical="center"/>
    </xf>
    <xf numFmtId="0" fontId="50" fillId="0" borderId="0" xfId="9" applyFont="1"/>
    <xf numFmtId="3" fontId="50" fillId="0" borderId="0" xfId="0" applyNumberFormat="1" applyFont="1"/>
    <xf numFmtId="164" fontId="17" fillId="0" borderId="0" xfId="0" applyNumberFormat="1" applyFont="1" applyAlignment="1">
      <alignment horizontal="center" vertical="center"/>
    </xf>
    <xf numFmtId="1" fontId="17" fillId="0" borderId="0" xfId="0" applyNumberFormat="1" applyFont="1" applyAlignment="1">
      <alignment vertical="center"/>
    </xf>
    <xf numFmtId="164" fontId="17" fillId="0" borderId="1" xfId="0" applyNumberFormat="1" applyFont="1" applyBorder="1" applyAlignment="1">
      <alignment horizontal="center" vertical="center"/>
    </xf>
    <xf numFmtId="0" fontId="50" fillId="0" borderId="1" xfId="9" applyFont="1" applyBorder="1"/>
    <xf numFmtId="3" fontId="50" fillId="0" borderId="1" xfId="0" applyNumberFormat="1" applyFont="1" applyBorder="1"/>
    <xf numFmtId="164" fontId="17" fillId="0" borderId="1" xfId="0" quotePrefix="1" applyNumberFormat="1" applyFont="1" applyBorder="1" applyAlignment="1">
      <alignment horizontal="center" vertical="center"/>
    </xf>
    <xf numFmtId="169" fontId="7" fillId="0" borderId="0" xfId="0" applyNumberFormat="1" applyFont="1"/>
    <xf numFmtId="168" fontId="7" fillId="0" borderId="0" xfId="2" applyNumberFormat="1" applyFont="1" applyFill="1" applyBorder="1"/>
    <xf numFmtId="9" fontId="7" fillId="0" borderId="0" xfId="2" applyFont="1" applyFill="1" applyBorder="1"/>
    <xf numFmtId="49" fontId="8" fillId="0" borderId="0" xfId="0" applyNumberFormat="1" applyFont="1" applyAlignment="1">
      <alignment vertical="top"/>
    </xf>
    <xf numFmtId="4" fontId="7" fillId="0" borderId="0" xfId="0" applyNumberFormat="1" applyFont="1"/>
    <xf numFmtId="169" fontId="7" fillId="0" borderId="0" xfId="0" applyNumberFormat="1" applyFont="1" applyAlignment="1">
      <alignment horizontal="right"/>
    </xf>
    <xf numFmtId="167" fontId="7" fillId="0" borderId="0" xfId="11" applyNumberFormat="1" applyFont="1" applyFill="1" applyAlignment="1">
      <alignment horizontal="right"/>
    </xf>
    <xf numFmtId="9" fontId="7" fillId="0" borderId="0" xfId="2" applyFont="1" applyFill="1" applyAlignment="1">
      <alignment horizontal="right"/>
    </xf>
    <xf numFmtId="168" fontId="0" fillId="0" borderId="0" xfId="2" applyNumberFormat="1" applyFont="1"/>
    <xf numFmtId="0" fontId="51" fillId="2" borderId="0" xfId="10" applyFont="1" applyFill="1" applyAlignment="1">
      <alignment horizontal="left" vertical="center"/>
    </xf>
    <xf numFmtId="0" fontId="38" fillId="2" borderId="0" xfId="6" applyFont="1" applyFill="1"/>
    <xf numFmtId="0" fontId="10" fillId="0" borderId="0" xfId="6"/>
    <xf numFmtId="0" fontId="9" fillId="0" borderId="0" xfId="6" applyFont="1" applyAlignment="1">
      <alignment horizontal="left" vertical="center"/>
    </xf>
    <xf numFmtId="0" fontId="7" fillId="0" borderId="0" xfId="6" applyFont="1"/>
    <xf numFmtId="0" fontId="17" fillId="0" borderId="1" xfId="6" applyFont="1" applyBorder="1" applyAlignment="1">
      <alignment horizontal="right" vertical="center"/>
    </xf>
    <xf numFmtId="10" fontId="7" fillId="0" borderId="0" xfId="12" applyNumberFormat="1" applyFont="1" applyFill="1" applyBorder="1" applyAlignment="1">
      <alignment vertical="center"/>
    </xf>
    <xf numFmtId="10" fontId="0" fillId="0" borderId="0" xfId="13" applyNumberFormat="1" applyFont="1"/>
    <xf numFmtId="10" fontId="10" fillId="0" borderId="0" xfId="6" applyNumberFormat="1"/>
    <xf numFmtId="10" fontId="11" fillId="0" borderId="0" xfId="6" applyNumberFormat="1" applyFont="1" applyAlignment="1">
      <alignment vertical="center"/>
    </xf>
    <xf numFmtId="10" fontId="7" fillId="0" borderId="0" xfId="9" applyNumberFormat="1" applyFont="1" applyAlignment="1">
      <alignment horizontal="right"/>
    </xf>
    <xf numFmtId="10" fontId="11" fillId="0" borderId="0" xfId="9" applyNumberFormat="1" applyFont="1" applyAlignment="1">
      <alignment horizontal="right"/>
    </xf>
    <xf numFmtId="10" fontId="7" fillId="0" borderId="0" xfId="6" applyNumberFormat="1" applyFont="1" applyAlignment="1">
      <alignment vertical="center"/>
    </xf>
    <xf numFmtId="10" fontId="11" fillId="0" borderId="0" xfId="12" applyNumberFormat="1" applyFont="1" applyFill="1" applyBorder="1" applyAlignment="1">
      <alignment vertical="center"/>
    </xf>
    <xf numFmtId="3" fontId="15" fillId="0" borderId="0" xfId="6" applyNumberFormat="1" applyFont="1" applyAlignment="1">
      <alignment vertical="center"/>
    </xf>
    <xf numFmtId="10" fontId="7" fillId="0" borderId="0" xfId="6" applyNumberFormat="1" applyFont="1"/>
    <xf numFmtId="0" fontId="53" fillId="0" borderId="0" xfId="0" applyFont="1" applyAlignment="1">
      <alignment horizontal="left" vertical="center"/>
    </xf>
    <xf numFmtId="170" fontId="17" fillId="0" borderId="1" xfId="0" applyNumberFormat="1" applyFont="1" applyBorder="1" applyAlignment="1">
      <alignment horizontal="right" vertical="center"/>
    </xf>
    <xf numFmtId="0" fontId="54" fillId="0" borderId="0" xfId="0" applyFont="1" applyAlignment="1">
      <alignment horizontal="center"/>
    </xf>
    <xf numFmtId="3" fontId="11" fillId="0" borderId="0" xfId="0" applyNumberFormat="1" applyFont="1" applyAlignment="1">
      <alignment horizontal="right"/>
    </xf>
    <xf numFmtId="172" fontId="54" fillId="0" borderId="0" xfId="1" applyNumberFormat="1" applyFont="1"/>
    <xf numFmtId="171" fontId="1" fillId="0" borderId="0" xfId="1" applyFont="1"/>
    <xf numFmtId="3" fontId="7" fillId="0" borderId="0" xfId="0" applyNumberFormat="1" applyFont="1" applyAlignment="1">
      <alignment horizontal="left" vertical="center" indent="2"/>
    </xf>
    <xf numFmtId="3" fontId="7" fillId="0" borderId="0" xfId="0" applyNumberFormat="1" applyFont="1" applyAlignment="1">
      <alignment horizontal="left" vertical="center"/>
    </xf>
    <xf numFmtId="14" fontId="40" fillId="0" borderId="0" xfId="0" applyNumberFormat="1" applyFont="1" applyAlignment="1">
      <alignment vertical="center"/>
    </xf>
    <xf numFmtId="3" fontId="41" fillId="0" borderId="0" xfId="0" applyNumberFormat="1" applyFont="1" applyAlignment="1">
      <alignment horizontal="right"/>
    </xf>
    <xf numFmtId="3" fontId="8" fillId="0" borderId="0" xfId="6" applyNumberFormat="1" applyFont="1" applyAlignment="1">
      <alignment vertical="center"/>
    </xf>
    <xf numFmtId="0" fontId="55" fillId="2" borderId="0" xfId="5" applyFont="1" applyFill="1"/>
    <xf numFmtId="0" fontId="1" fillId="0" borderId="0" xfId="5" applyAlignment="1">
      <alignment horizontal="right"/>
    </xf>
    <xf numFmtId="0" fontId="1" fillId="0" borderId="0" xfId="5"/>
    <xf numFmtId="0" fontId="9" fillId="7" borderId="0" xfId="0" applyFont="1" applyFill="1" applyAlignment="1">
      <alignment horizontal="left" vertical="center"/>
    </xf>
    <xf numFmtId="0" fontId="9" fillId="0" borderId="0" xfId="5" applyFont="1" applyAlignment="1">
      <alignment horizontal="left" vertical="center"/>
    </xf>
    <xf numFmtId="164" fontId="7" fillId="0" borderId="0" xfId="5" applyNumberFormat="1" applyFont="1" applyAlignment="1">
      <alignment horizontal="right" vertical="center"/>
    </xf>
    <xf numFmtId="3" fontId="7" fillId="0" borderId="0" xfId="5" applyNumberFormat="1" applyFont="1" applyAlignment="1">
      <alignment horizontal="right"/>
    </xf>
    <xf numFmtId="3" fontId="1" fillId="0" borderId="0" xfId="5" applyNumberFormat="1"/>
    <xf numFmtId="3" fontId="11" fillId="0" borderId="0" xfId="5" applyNumberFormat="1" applyFont="1" applyAlignment="1">
      <alignment horizontal="right"/>
    </xf>
    <xf numFmtId="165" fontId="56" fillId="0" borderId="0" xfId="5" applyNumberFormat="1" applyFont="1"/>
    <xf numFmtId="165" fontId="12" fillId="0" borderId="0" xfId="5" applyNumberFormat="1" applyFont="1"/>
    <xf numFmtId="0" fontId="0" fillId="0" borderId="0" xfId="5" applyFont="1"/>
    <xf numFmtId="3" fontId="12" fillId="0" borderId="0" xfId="5" applyNumberFormat="1" applyFont="1"/>
    <xf numFmtId="3" fontId="8" fillId="0" borderId="0" xfId="5" applyNumberFormat="1" applyFont="1" applyAlignment="1">
      <alignment vertical="center"/>
    </xf>
    <xf numFmtId="173" fontId="1" fillId="0" borderId="0" xfId="5" applyNumberFormat="1"/>
    <xf numFmtId="0" fontId="57" fillId="0" borderId="0" xfId="5" applyFont="1"/>
    <xf numFmtId="3" fontId="56" fillId="0" borderId="0" xfId="5" applyNumberFormat="1" applyFont="1"/>
    <xf numFmtId="168" fontId="1" fillId="0" borderId="0" xfId="2" applyNumberFormat="1"/>
    <xf numFmtId="0" fontId="39" fillId="0" borderId="0" xfId="5" applyFont="1"/>
    <xf numFmtId="0" fontId="13" fillId="2" borderId="0" xfId="5" quotePrefix="1" applyFont="1" applyFill="1" applyAlignment="1">
      <alignment horizontal="left" vertical="center"/>
    </xf>
    <xf numFmtId="3" fontId="11" fillId="0" borderId="0" xfId="5" quotePrefix="1" applyNumberFormat="1" applyFont="1" applyAlignment="1">
      <alignment vertical="center"/>
    </xf>
    <xf numFmtId="3" fontId="7" fillId="0" borderId="0" xfId="5" quotePrefix="1" applyNumberFormat="1" applyFont="1" applyAlignment="1">
      <alignment vertical="center"/>
    </xf>
    <xf numFmtId="3" fontId="7" fillId="0" borderId="0" xfId="5" quotePrefix="1" applyNumberFormat="1" applyFont="1" applyAlignment="1">
      <alignment horizontal="left" vertical="center" indent="2"/>
    </xf>
    <xf numFmtId="3" fontId="7" fillId="0" borderId="0" xfId="5" applyNumberFormat="1" applyFont="1" applyAlignment="1">
      <alignment horizontal="left" vertical="center" indent="2"/>
    </xf>
    <xf numFmtId="3" fontId="7" fillId="0" borderId="0" xfId="5" quotePrefix="1" applyNumberFormat="1" applyFont="1" applyAlignment="1">
      <alignment horizontal="right"/>
    </xf>
    <xf numFmtId="165" fontId="41" fillId="0" borderId="0" xfId="5" applyNumberFormat="1" applyFont="1" applyAlignment="1">
      <alignment horizontal="right"/>
    </xf>
    <xf numFmtId="0" fontId="17" fillId="0" borderId="0" xfId="0" applyFont="1" applyAlignment="1">
      <alignment horizontal="center" wrapText="1"/>
    </xf>
    <xf numFmtId="0" fontId="17" fillId="0" borderId="2" xfId="0" applyFont="1" applyBorder="1" applyAlignment="1">
      <alignment horizontal="center" wrapText="1"/>
    </xf>
    <xf numFmtId="0" fontId="17" fillId="0" borderId="3" xfId="0" applyFont="1" applyBorder="1" applyAlignment="1">
      <alignment horizontal="center" wrapText="1"/>
    </xf>
    <xf numFmtId="3" fontId="8" fillId="0" borderId="0" xfId="0" applyNumberFormat="1" applyFont="1" applyAlignment="1">
      <alignment horizontal="left" vertical="top" wrapText="1"/>
    </xf>
    <xf numFmtId="0" fontId="16" fillId="0" borderId="1" xfId="0" applyFont="1" applyBorder="1" applyAlignment="1">
      <alignment horizontal="center" vertical="center"/>
    </xf>
    <xf numFmtId="0" fontId="17" fillId="0" borderId="0" xfId="6" applyFont="1" applyAlignment="1">
      <alignment horizontal="center" wrapText="1"/>
    </xf>
    <xf numFmtId="0" fontId="52" fillId="0" borderId="0" xfId="6" applyFont="1" applyAlignment="1">
      <alignment horizontal="center"/>
    </xf>
    <xf numFmtId="0" fontId="17" fillId="0" borderId="0" xfId="0" applyFont="1" applyAlignment="1">
      <alignment horizontal="center" vertical="center"/>
    </xf>
    <xf numFmtId="0" fontId="17" fillId="0" borderId="0" xfId="5" applyFont="1" applyAlignment="1">
      <alignment horizontal="center" vertical="center" wrapText="1"/>
    </xf>
    <xf numFmtId="0" fontId="17" fillId="0" borderId="0" xfId="5" quotePrefix="1" applyFont="1" applyAlignment="1">
      <alignment horizontal="center" vertical="center" wrapText="1"/>
    </xf>
  </cellXfs>
  <cellStyles count="14">
    <cellStyle name="Millares" xfId="1" builtinId="3"/>
    <cellStyle name="Normal" xfId="0" builtinId="0"/>
    <cellStyle name="Normal 193" xfId="6" xr:uid="{D63D0032-FEB5-441A-9771-DCB95C9C735B}"/>
    <cellStyle name="Normal 2" xfId="8" xr:uid="{F9B0C9DA-39B3-4FD8-B44D-E4672459B038}"/>
    <cellStyle name="Normal 2 3" xfId="4" xr:uid="{BF69A10A-AD8E-4675-A6D6-EF5C8EE01990}"/>
    <cellStyle name="Normal 29" xfId="5" xr:uid="{61691578-04C4-47B9-AFA2-DCEFAF11026A}"/>
    <cellStyle name="Normal_08 pagweb-4T08 1 2" xfId="7" xr:uid="{BBDD8958-2A3C-4259-8C7D-0115214A8469}"/>
    <cellStyle name="Normal_ANEXO" xfId="9" xr:uid="{BE463ED9-ABA8-4A8A-990E-D90F06D0D75F}"/>
    <cellStyle name="Normal_Anexo analistas 1T06 vínculos" xfId="10" xr:uid="{2FB012FC-8615-4333-89F0-0A7002AFAC6F}"/>
    <cellStyle name="Normal_Series web Sabadell 1T10-desprotegido" xfId="3" xr:uid="{B13ECCC1-D9BC-4CED-850F-94410D0E6A74}"/>
    <cellStyle name="Porcentaje" xfId="2" builtinId="5"/>
    <cellStyle name="Porcentaje 16" xfId="13" xr:uid="{8CA099FE-931F-4D05-B10C-0E39875E3957}"/>
    <cellStyle name="Porcentaje 2" xfId="11" xr:uid="{9386CC65-EB88-4AE7-9258-D6E31672C617}"/>
    <cellStyle name="Porcentaje 4" xfId="12" xr:uid="{98D097B1-C48A-4225-BF72-82213A2932F2}"/>
  </cellStyles>
  <dxfs count="53">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C00000"/>
        </patternFill>
      </fill>
    </dxf>
    <dxf>
      <fill>
        <patternFill>
          <bgColor rgb="FFC00000"/>
        </patternFill>
      </fill>
    </dxf>
    <dxf>
      <fill>
        <patternFill>
          <bgColor rgb="FFC0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C0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dxf>
    <dxf>
      <fill>
        <patternFill>
          <bgColor rgb="FFC00000"/>
        </patternFill>
      </fill>
    </dxf>
    <dxf>
      <font>
        <color rgb="FFFF0000"/>
      </font>
    </dxf>
    <dxf>
      <fill>
        <patternFill>
          <bgColor rgb="FFC00000"/>
        </patternFill>
      </fill>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trlProps/ctrlProp1.xml><?xml version="1.0" encoding="utf-8"?>
<formControlPr xmlns="http://schemas.microsoft.com/office/spreadsheetml/2009/9/main" objectType="Radio" firstButton="1" fmlaLink="$F$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DICE!C16"/></Relationships>
</file>

<file path=xl/drawings/_rels/drawing11.xml.rels><?xml version="1.0" encoding="UTF-8" standalone="yes"?>
<Relationships xmlns="http://schemas.openxmlformats.org/package/2006/relationships"><Relationship Id="rId1" Type="http://schemas.openxmlformats.org/officeDocument/2006/relationships/hyperlink" Target="#INDICE!C17"/></Relationships>
</file>

<file path=xl/drawings/_rels/drawing12.xml.rels><?xml version="1.0" encoding="UTF-8" standalone="yes"?>
<Relationships xmlns="http://schemas.openxmlformats.org/package/2006/relationships"><Relationship Id="rId1" Type="http://schemas.openxmlformats.org/officeDocument/2006/relationships/hyperlink" Target="#INDICE!C18"/></Relationships>
</file>

<file path=xl/drawings/_rels/drawing13.xml.rels><?xml version="1.0" encoding="UTF-8" standalone="yes"?>
<Relationships xmlns="http://schemas.openxmlformats.org/package/2006/relationships"><Relationship Id="rId1" Type="http://schemas.openxmlformats.org/officeDocument/2006/relationships/hyperlink" Target="#INDICE!C19"/></Relationships>
</file>

<file path=xl/drawings/_rels/drawing14.xml.rels><?xml version="1.0" encoding="UTF-8" standalone="yes"?>
<Relationships xmlns="http://schemas.openxmlformats.org/package/2006/relationships"><Relationship Id="rId1" Type="http://schemas.openxmlformats.org/officeDocument/2006/relationships/hyperlink" Target="#INDICE!C22"/></Relationships>
</file>

<file path=xl/drawings/_rels/drawing15.xml.rels><?xml version="1.0" encoding="UTF-8" standalone="yes"?>
<Relationships xmlns="http://schemas.openxmlformats.org/package/2006/relationships"><Relationship Id="rId1" Type="http://schemas.openxmlformats.org/officeDocument/2006/relationships/hyperlink" Target="#INDICE!C24"/></Relationships>
</file>

<file path=xl/drawings/_rels/drawing16.xml.rels><?xml version="1.0" encoding="UTF-8" standalone="yes"?>
<Relationships xmlns="http://schemas.openxmlformats.org/package/2006/relationships"><Relationship Id="rId1" Type="http://schemas.openxmlformats.org/officeDocument/2006/relationships/hyperlink" Target="#INDICE!C24"/></Relationships>
</file>

<file path=xl/drawings/_rels/drawing17.xml.rels><?xml version="1.0" encoding="UTF-8" standalone="yes"?>
<Relationships xmlns="http://schemas.openxmlformats.org/package/2006/relationships"><Relationship Id="rId1" Type="http://schemas.openxmlformats.org/officeDocument/2006/relationships/hyperlink" Target="#INDICE!C25"/></Relationships>
</file>

<file path=xl/drawings/_rels/drawing18.xml.rels><?xml version="1.0" encoding="UTF-8" standalone="yes"?>
<Relationships xmlns="http://schemas.openxmlformats.org/package/2006/relationships"><Relationship Id="rId1" Type="http://schemas.openxmlformats.org/officeDocument/2006/relationships/hyperlink" Target="#INDICE!C26"/></Relationships>
</file>

<file path=xl/drawings/_rels/drawing19.xml.rels><?xml version="1.0" encoding="UTF-8" standalone="yes"?>
<Relationships xmlns="http://schemas.openxmlformats.org/package/2006/relationships"><Relationship Id="rId1" Type="http://schemas.openxmlformats.org/officeDocument/2006/relationships/hyperlink" Target="#INDICE!C27"/></Relationships>
</file>

<file path=xl/drawings/_rels/drawing2.xml.rels><?xml version="1.0" encoding="UTF-8" standalone="yes"?>
<Relationships xmlns="http://schemas.openxmlformats.org/package/2006/relationships"><Relationship Id="rId1" Type="http://schemas.openxmlformats.org/officeDocument/2006/relationships/hyperlink" Target="#INDICE!C5"/></Relationships>
</file>

<file path=xl/drawings/_rels/drawing20.xml.rels><?xml version="1.0" encoding="UTF-8" standalone="yes"?>
<Relationships xmlns="http://schemas.openxmlformats.org/package/2006/relationships"><Relationship Id="rId1" Type="http://schemas.openxmlformats.org/officeDocument/2006/relationships/hyperlink" Target="#INDICE!C31"/></Relationships>
</file>

<file path=xl/drawings/_rels/drawing21.xml.rels><?xml version="1.0" encoding="UTF-8" standalone="yes"?>
<Relationships xmlns="http://schemas.openxmlformats.org/package/2006/relationships"><Relationship Id="rId1" Type="http://schemas.openxmlformats.org/officeDocument/2006/relationships/hyperlink" Target="#INDICE!C32"/></Relationships>
</file>

<file path=xl/drawings/_rels/drawing22.xml.rels><?xml version="1.0" encoding="UTF-8" standalone="yes"?>
<Relationships xmlns="http://schemas.openxmlformats.org/package/2006/relationships"><Relationship Id="rId1" Type="http://schemas.openxmlformats.org/officeDocument/2006/relationships/hyperlink" Target="#INDICE!C33"/></Relationships>
</file>

<file path=xl/drawings/_rels/drawing23.xml.rels><?xml version="1.0" encoding="UTF-8" standalone="yes"?>
<Relationships xmlns="http://schemas.openxmlformats.org/package/2006/relationships"><Relationship Id="rId1" Type="http://schemas.openxmlformats.org/officeDocument/2006/relationships/hyperlink" Target="#INDICE!C34"/></Relationships>
</file>

<file path=xl/drawings/_rels/drawing24.xml.rels><?xml version="1.0" encoding="UTF-8" standalone="yes"?>
<Relationships xmlns="http://schemas.openxmlformats.org/package/2006/relationships"><Relationship Id="rId1" Type="http://schemas.openxmlformats.org/officeDocument/2006/relationships/hyperlink" Target="#INDICE!C35"/></Relationships>
</file>

<file path=xl/drawings/_rels/drawing3.xml.rels><?xml version="1.0" encoding="UTF-8" standalone="yes"?>
<Relationships xmlns="http://schemas.openxmlformats.org/package/2006/relationships"><Relationship Id="rId1" Type="http://schemas.openxmlformats.org/officeDocument/2006/relationships/hyperlink" Target="#INDICE!C7"/></Relationships>
</file>

<file path=xl/drawings/_rels/drawing4.xml.rels><?xml version="1.0" encoding="UTF-8" standalone="yes"?>
<Relationships xmlns="http://schemas.openxmlformats.org/package/2006/relationships"><Relationship Id="rId1" Type="http://schemas.openxmlformats.org/officeDocument/2006/relationships/hyperlink" Target="#INDICE!C9"/></Relationships>
</file>

<file path=xl/drawings/_rels/drawing5.xml.rels><?xml version="1.0" encoding="UTF-8" standalone="yes"?>
<Relationships xmlns="http://schemas.openxmlformats.org/package/2006/relationships"><Relationship Id="rId1" Type="http://schemas.openxmlformats.org/officeDocument/2006/relationships/hyperlink" Target="#INDICE!C11"/></Relationships>
</file>

<file path=xl/drawings/_rels/drawing6.xml.rels><?xml version="1.0" encoding="UTF-8" standalone="yes"?>
<Relationships xmlns="http://schemas.openxmlformats.org/package/2006/relationships"><Relationship Id="rId1" Type="http://schemas.openxmlformats.org/officeDocument/2006/relationships/hyperlink" Target="#INDICE!C12"/></Relationships>
</file>

<file path=xl/drawings/_rels/drawing7.xml.rels><?xml version="1.0" encoding="UTF-8" standalone="yes"?>
<Relationships xmlns="http://schemas.openxmlformats.org/package/2006/relationships"><Relationship Id="rId1" Type="http://schemas.openxmlformats.org/officeDocument/2006/relationships/hyperlink" Target="#INDICE!C13"/></Relationships>
</file>

<file path=xl/drawings/_rels/drawing8.xml.rels><?xml version="1.0" encoding="UTF-8" standalone="yes"?>
<Relationships xmlns="http://schemas.openxmlformats.org/package/2006/relationships"><Relationship Id="rId1" Type="http://schemas.openxmlformats.org/officeDocument/2006/relationships/hyperlink" Target="#INDICE!C14"/></Relationships>
</file>

<file path=xl/drawings/_rels/drawing9.xml.rels><?xml version="1.0" encoding="UTF-8" standalone="yes"?>
<Relationships xmlns="http://schemas.openxmlformats.org/package/2006/relationships"><Relationship Id="rId1" Type="http://schemas.openxmlformats.org/officeDocument/2006/relationships/hyperlink" Target="#INDICE!C15"/></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88900</xdr:colOff>
          <xdr:row>6</xdr:row>
          <xdr:rowOff>0</xdr:rowOff>
        </xdr:from>
        <xdr:to>
          <xdr:col>0</xdr:col>
          <xdr:colOff>419100</xdr:colOff>
          <xdr:row>6</xdr:row>
          <xdr:rowOff>266700</xdr:rowOff>
        </xdr:to>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0099C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6</xdr:row>
          <xdr:rowOff>0</xdr:rowOff>
        </xdr:from>
        <xdr:to>
          <xdr:col>0</xdr:col>
          <xdr:colOff>412750</xdr:colOff>
          <xdr:row>6</xdr:row>
          <xdr:rowOff>228600</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0099C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6</xdr:row>
          <xdr:rowOff>0</xdr:rowOff>
        </xdr:from>
        <xdr:to>
          <xdr:col>0</xdr:col>
          <xdr:colOff>419100</xdr:colOff>
          <xdr:row>6</xdr:row>
          <xdr:rowOff>266700</xdr:rowOff>
        </xdr:to>
        <xdr:sp macro="" textlink="">
          <xdr:nvSpPr>
            <xdr:cNvPr id="2051" name="Option Butto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0099C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6</xdr:row>
          <xdr:rowOff>0</xdr:rowOff>
        </xdr:from>
        <xdr:to>
          <xdr:col>0</xdr:col>
          <xdr:colOff>412750</xdr:colOff>
          <xdr:row>6</xdr:row>
          <xdr:rowOff>228600</xdr:rowOff>
        </xdr:to>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0099C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6</xdr:row>
          <xdr:rowOff>0</xdr:rowOff>
        </xdr:from>
        <xdr:to>
          <xdr:col>0</xdr:col>
          <xdr:colOff>412750</xdr:colOff>
          <xdr:row>6</xdr:row>
          <xdr:rowOff>228600</xdr:rowOff>
        </xdr:to>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0099C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6</xdr:row>
          <xdr:rowOff>0</xdr:rowOff>
        </xdr:from>
        <xdr:to>
          <xdr:col>0</xdr:col>
          <xdr:colOff>412750</xdr:colOff>
          <xdr:row>6</xdr:row>
          <xdr:rowOff>228600</xdr:rowOff>
        </xdr:to>
        <xdr:sp macro="" textlink="">
          <xdr:nvSpPr>
            <xdr:cNvPr id="2054" name="Option Button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0099C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11906</xdr:colOff>
      <xdr:row>5</xdr:row>
      <xdr:rowOff>83344</xdr:rowOff>
    </xdr:from>
    <xdr:to>
      <xdr:col>0</xdr:col>
      <xdr:colOff>309563</xdr:colOff>
      <xdr:row>6</xdr:row>
      <xdr:rowOff>273843</xdr:rowOff>
    </xdr:to>
    <xdr:sp macro="" textlink="">
      <xdr:nvSpPr>
        <xdr:cNvPr id="2" name="1 CuadroTexto">
          <a:extLst>
            <a:ext uri="{FF2B5EF4-FFF2-40B4-BE49-F238E27FC236}">
              <a16:creationId xmlns:a16="http://schemas.microsoft.com/office/drawing/2014/main" id="{BC267F89-3556-4CCE-BDCD-3F4250A9B3E9}"/>
            </a:ext>
          </a:extLst>
        </xdr:cNvPr>
        <xdr:cNvSpPr txBox="1"/>
      </xdr:nvSpPr>
      <xdr:spPr>
        <a:xfrm>
          <a:off x="11906" y="1476375"/>
          <a:ext cx="297657" cy="273843"/>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mc:AlternateContent xmlns:mc="http://schemas.openxmlformats.org/markup-compatibility/2006">
    <mc:Choice xmlns:a14="http://schemas.microsoft.com/office/drawing/2010/main" Requires="a14">
      <xdr:twoCellAnchor editAs="oneCell">
        <xdr:from>
          <xdr:col>0</xdr:col>
          <xdr:colOff>285750</xdr:colOff>
          <xdr:row>5</xdr:row>
          <xdr:rowOff>209550</xdr:rowOff>
        </xdr:from>
        <xdr:to>
          <xdr:col>1</xdr:col>
          <xdr:colOff>266700</xdr:colOff>
          <xdr:row>7</xdr:row>
          <xdr:rowOff>247650</xdr:rowOff>
        </xdr:to>
        <xdr:sp macro="" textlink="">
          <xdr:nvSpPr>
            <xdr:cNvPr id="2055" name="Option Button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solidFill>
              <a:srgbClr val="0A5FB4"/>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s-ES" sz="800" b="0" i="0" u="none" strike="noStrike" baseline="0">
                  <a:solidFill>
                    <a:srgbClr val="000000"/>
                  </a:solidFill>
                  <a:latin typeface="Tahoma"/>
                  <a:ea typeface="Tahoma"/>
                  <a:cs typeface="Tahoma"/>
                </a:rPr>
                <a:t>ESPAÑOL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7</xdr:row>
          <xdr:rowOff>190500</xdr:rowOff>
        </xdr:from>
        <xdr:to>
          <xdr:col>1</xdr:col>
          <xdr:colOff>266700</xdr:colOff>
          <xdr:row>9</xdr:row>
          <xdr:rowOff>171450</xdr:rowOff>
        </xdr:to>
        <xdr:sp macro="" textlink="">
          <xdr:nvSpPr>
            <xdr:cNvPr id="2056" name="Option Button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solidFill>
              <a:srgbClr val="A7CFED"/>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s-ES" sz="800" b="0" i="0" u="none" strike="noStrike" baseline="0">
                  <a:solidFill>
                    <a:srgbClr val="000000"/>
                  </a:solidFill>
                  <a:latin typeface="Tahoma"/>
                  <a:ea typeface="Tahoma"/>
                  <a:cs typeface="Tahoma"/>
                </a:rPr>
                <a:t>ENGLISH</a:t>
              </a:r>
            </a:p>
          </xdr:txBody>
        </xdr:sp>
        <xdr:clientData/>
      </xdr:twoCellAnchor>
    </mc:Choice>
    <mc:Fallback/>
  </mc:AlternateContent>
  <xdr:twoCellAnchor editAs="oneCell">
    <xdr:from>
      <xdr:col>0</xdr:col>
      <xdr:colOff>142876</xdr:colOff>
      <xdr:row>0</xdr:row>
      <xdr:rowOff>154781</xdr:rowOff>
    </xdr:from>
    <xdr:to>
      <xdr:col>1</xdr:col>
      <xdr:colOff>333376</xdr:colOff>
      <xdr:row>3</xdr:row>
      <xdr:rowOff>211931</xdr:rowOff>
    </xdr:to>
    <xdr:pic>
      <xdr:nvPicPr>
        <xdr:cNvPr id="3" name="4 Imagen">
          <a:extLst>
            <a:ext uri="{FF2B5EF4-FFF2-40B4-BE49-F238E27FC236}">
              <a16:creationId xmlns:a16="http://schemas.microsoft.com/office/drawing/2014/main" id="{0DFEF7B4-04F6-4468-8C70-F37F77310F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6" y="154781"/>
          <a:ext cx="2881313" cy="9501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74BAB1B0-464F-4587-9285-38305DC9C0D7}"/>
            </a:ext>
          </a:extLst>
        </xdr:cNvPr>
        <xdr:cNvSpPr/>
      </xdr:nvSpPr>
      <xdr:spPr bwMode="auto">
        <a:xfrm>
          <a:off x="11108952" y="70485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9F8D47C-4F81-478F-AA29-36171EAD3838}"/>
            </a:ext>
          </a:extLst>
        </xdr:cNvPr>
        <xdr:cNvSpPr/>
      </xdr:nvSpPr>
      <xdr:spPr bwMode="auto">
        <a:xfrm>
          <a:off x="10651752" y="70485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CFCB3D28-0BCA-4672-9FDF-3417570C32F9}"/>
            </a:ext>
          </a:extLst>
        </xdr:cNvPr>
        <xdr:cNvSpPr/>
      </xdr:nvSpPr>
      <xdr:spPr bwMode="auto">
        <a:xfrm>
          <a:off x="10070727" y="70485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A12AC642-D412-4284-97E4-599A9C813AF6}"/>
            </a:ext>
          </a:extLst>
        </xdr:cNvPr>
        <xdr:cNvSpPr/>
      </xdr:nvSpPr>
      <xdr:spPr bwMode="auto">
        <a:xfrm>
          <a:off x="10699377" y="70485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7D833E1C-6DFA-426E-9A9A-E41AC7FF8DF9}"/>
            </a:ext>
          </a:extLst>
        </xdr:cNvPr>
        <xdr:cNvSpPr/>
      </xdr:nvSpPr>
      <xdr:spPr bwMode="auto">
        <a:xfrm>
          <a:off x="10651752" y="64770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291353</xdr:colOff>
      <xdr:row>0</xdr:row>
      <xdr:rowOff>143995</xdr:rowOff>
    </xdr:from>
    <xdr:to>
      <xdr:col>10</xdr:col>
      <xdr:colOff>414618</xdr:colOff>
      <xdr:row>4</xdr:row>
      <xdr:rowOff>11216</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2DE8CE83-457B-47AC-858C-EB15DCF8798D}"/>
            </a:ext>
          </a:extLst>
        </xdr:cNvPr>
        <xdr:cNvSpPr/>
      </xdr:nvSpPr>
      <xdr:spPr bwMode="auto">
        <a:xfrm>
          <a:off x="8339978" y="143995"/>
          <a:ext cx="961465" cy="657796"/>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291353</xdr:colOff>
      <xdr:row>0</xdr:row>
      <xdr:rowOff>143995</xdr:rowOff>
    </xdr:from>
    <xdr:to>
      <xdr:col>10</xdr:col>
      <xdr:colOff>414618</xdr:colOff>
      <xdr:row>4</xdr:row>
      <xdr:rowOff>11216</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7956B3F4-FE0E-4CE3-9DC6-7C7363CF873C}"/>
            </a:ext>
          </a:extLst>
        </xdr:cNvPr>
        <xdr:cNvSpPr/>
      </xdr:nvSpPr>
      <xdr:spPr bwMode="auto">
        <a:xfrm>
          <a:off x="8339978" y="143995"/>
          <a:ext cx="961465" cy="657796"/>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324970</xdr:colOff>
      <xdr:row>0</xdr:row>
      <xdr:rowOff>134470</xdr:rowOff>
    </xdr:from>
    <xdr:to>
      <xdr:col>11</xdr:col>
      <xdr:colOff>11205</xdr:colOff>
      <xdr:row>4</xdr:row>
      <xdr:rowOff>44822</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5DE9148A-58F3-4829-8EF3-ACCCA8BC062D}"/>
            </a:ext>
          </a:extLst>
        </xdr:cNvPr>
        <xdr:cNvSpPr/>
      </xdr:nvSpPr>
      <xdr:spPr bwMode="auto">
        <a:xfrm>
          <a:off x="9164170" y="134470"/>
          <a:ext cx="962585" cy="624727"/>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19050</xdr:colOff>
      <xdr:row>1</xdr:row>
      <xdr:rowOff>285750</xdr:rowOff>
    </xdr:from>
    <xdr:to>
      <xdr:col>11</xdr:col>
      <xdr:colOff>218515</xdr:colOff>
      <xdr:row>3</xdr:row>
      <xdr:rowOff>133921</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296EC32-D04A-4BC4-97F0-61DA7A82DE6B}"/>
            </a:ext>
          </a:extLst>
        </xdr:cNvPr>
        <xdr:cNvSpPr/>
      </xdr:nvSpPr>
      <xdr:spPr bwMode="auto">
        <a:xfrm>
          <a:off x="8467725" y="514350"/>
          <a:ext cx="961465" cy="467296"/>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582707</xdr:colOff>
      <xdr:row>2</xdr:row>
      <xdr:rowOff>190500</xdr:rowOff>
    </xdr:from>
    <xdr:to>
      <xdr:col>10</xdr:col>
      <xdr:colOff>705971</xdr:colOff>
      <xdr:row>5</xdr:row>
      <xdr:rowOff>22411</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2D97F6A4-C575-468A-ACF5-C826CB9C3CE7}"/>
            </a:ext>
          </a:extLst>
        </xdr:cNvPr>
        <xdr:cNvSpPr/>
      </xdr:nvSpPr>
      <xdr:spPr bwMode="auto">
        <a:xfrm>
          <a:off x="8831357" y="609600"/>
          <a:ext cx="885264" cy="479611"/>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79966DF0-FA20-4603-BEAD-245BD38264E7}"/>
            </a:ext>
          </a:extLst>
        </xdr:cNvPr>
        <xdr:cNvSpPr/>
      </xdr:nvSpPr>
      <xdr:spPr bwMode="auto">
        <a:xfrm>
          <a:off x="11775702" y="70485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0</xdr:colOff>
      <xdr:row>2</xdr:row>
      <xdr:rowOff>0</xdr:rowOff>
    </xdr:from>
    <xdr:to>
      <xdr:col>11</xdr:col>
      <xdr:colOff>201775</xdr:colOff>
      <xdr:row>4</xdr:row>
      <xdr:rowOff>142875</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19853102-9B2A-4064-ADC3-36962643300C}"/>
            </a:ext>
          </a:extLst>
        </xdr:cNvPr>
        <xdr:cNvSpPr/>
      </xdr:nvSpPr>
      <xdr:spPr bwMode="auto">
        <a:xfrm>
          <a:off x="8524875" y="409575"/>
          <a:ext cx="963775" cy="542925"/>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10</xdr:col>
      <xdr:colOff>85725</xdr:colOff>
      <xdr:row>1</xdr:row>
      <xdr:rowOff>152400</xdr:rowOff>
    </xdr:from>
    <xdr:to>
      <xdr:col>11</xdr:col>
      <xdr:colOff>68425</xdr:colOff>
      <xdr:row>4</xdr:row>
      <xdr:rowOff>104775</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9B8F96E1-9A65-429A-9A41-C7CA3A07320D}"/>
            </a:ext>
          </a:extLst>
        </xdr:cNvPr>
        <xdr:cNvSpPr/>
      </xdr:nvSpPr>
      <xdr:spPr bwMode="auto">
        <a:xfrm>
          <a:off x="10544175" y="381000"/>
          <a:ext cx="963775" cy="533400"/>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11</xdr:col>
      <xdr:colOff>134470</xdr:colOff>
      <xdr:row>2</xdr:row>
      <xdr:rowOff>0</xdr:rowOff>
    </xdr:from>
    <xdr:to>
      <xdr:col>12</xdr:col>
      <xdr:colOff>313833</xdr:colOff>
      <xdr:row>4</xdr:row>
      <xdr:rowOff>129989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FFFB432C-B76F-46E5-B378-F0B50BEEF805}"/>
            </a:ext>
          </a:extLst>
        </xdr:cNvPr>
        <xdr:cNvSpPr/>
      </xdr:nvSpPr>
      <xdr:spPr bwMode="auto">
        <a:xfrm>
          <a:off x="10297645" y="428625"/>
          <a:ext cx="960413" cy="530039"/>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11</xdr:col>
      <xdr:colOff>145677</xdr:colOff>
      <xdr:row>0</xdr:row>
      <xdr:rowOff>224117</xdr:rowOff>
    </xdr:from>
    <xdr:to>
      <xdr:col>11</xdr:col>
      <xdr:colOff>1109452</xdr:colOff>
      <xdr:row>3</xdr:row>
      <xdr:rowOff>129988</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50A41B0-AF4A-431C-AABA-BBC2D69E8F6A}"/>
            </a:ext>
          </a:extLst>
        </xdr:cNvPr>
        <xdr:cNvSpPr/>
      </xdr:nvSpPr>
      <xdr:spPr bwMode="auto">
        <a:xfrm>
          <a:off x="9442077" y="224117"/>
          <a:ext cx="963775" cy="534521"/>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10</xdr:col>
      <xdr:colOff>0</xdr:colOff>
      <xdr:row>2</xdr:row>
      <xdr:rowOff>0</xdr:rowOff>
    </xdr:from>
    <xdr:to>
      <xdr:col>11</xdr:col>
      <xdr:colOff>201775</xdr:colOff>
      <xdr:row>4</xdr:row>
      <xdr:rowOff>133350</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D5A25AC5-F3CD-4CDA-AFD0-2347A5ACFB0C}"/>
            </a:ext>
          </a:extLst>
        </xdr:cNvPr>
        <xdr:cNvSpPr/>
      </xdr:nvSpPr>
      <xdr:spPr bwMode="auto">
        <a:xfrm>
          <a:off x="9105900" y="428625"/>
          <a:ext cx="963775" cy="533400"/>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3</xdr:row>
      <xdr:rowOff>0</xdr:rowOff>
    </xdr:from>
    <xdr:to>
      <xdr:col>11</xdr:col>
      <xdr:colOff>448286</xdr:colOff>
      <xdr:row>7</xdr:row>
      <xdr:rowOff>65553</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DFFD6BEC-5F61-4A3F-A105-732AB89A3BCA}"/>
            </a:ext>
          </a:extLst>
        </xdr:cNvPr>
        <xdr:cNvSpPr/>
      </xdr:nvSpPr>
      <xdr:spPr bwMode="auto">
        <a:xfrm>
          <a:off x="12553950" y="704850"/>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5694BD68-DEBB-491D-8E5D-B556F4B28C5E}"/>
            </a:ext>
          </a:extLst>
        </xdr:cNvPr>
        <xdr:cNvSpPr/>
      </xdr:nvSpPr>
      <xdr:spPr bwMode="auto">
        <a:xfrm>
          <a:off x="10651752" y="70485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E1FB90B4-2067-42D2-A606-4A536864F4BC}"/>
            </a:ext>
          </a:extLst>
        </xdr:cNvPr>
        <xdr:cNvSpPr/>
      </xdr:nvSpPr>
      <xdr:spPr bwMode="auto">
        <a:xfrm>
          <a:off x="10651752" y="70485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975A5AE0-06EA-4360-B4B4-D8A3953E0A03}"/>
            </a:ext>
          </a:extLst>
        </xdr:cNvPr>
        <xdr:cNvSpPr/>
      </xdr:nvSpPr>
      <xdr:spPr bwMode="auto">
        <a:xfrm>
          <a:off x="10651752" y="70485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38173082-B79B-4766-A069-066E49D4F3B2}"/>
            </a:ext>
          </a:extLst>
        </xdr:cNvPr>
        <xdr:cNvSpPr/>
      </xdr:nvSpPr>
      <xdr:spPr bwMode="auto">
        <a:xfrm>
          <a:off x="10956552" y="70485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FEDCB84E-A488-43AC-92F7-A272B026AAA9}"/>
            </a:ext>
          </a:extLst>
        </xdr:cNvPr>
        <xdr:cNvSpPr/>
      </xdr:nvSpPr>
      <xdr:spPr bwMode="auto">
        <a:xfrm>
          <a:off x="10651752" y="70485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421902</xdr:colOff>
      <xdr:row>3</xdr:row>
      <xdr:rowOff>1</xdr:rowOff>
    </xdr:from>
    <xdr:to>
      <xdr:col>11</xdr:col>
      <xdr:colOff>108188</xdr:colOff>
      <xdr:row>7</xdr:row>
      <xdr:rowOff>56029</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27BF18AC-1693-4212-81B0-832F5A8A1A59}"/>
            </a:ext>
          </a:extLst>
        </xdr:cNvPr>
        <xdr:cNvSpPr/>
      </xdr:nvSpPr>
      <xdr:spPr bwMode="auto">
        <a:xfrm>
          <a:off x="10851777" y="704851"/>
          <a:ext cx="1210286" cy="837078"/>
        </a:xfrm>
        <a:prstGeom prst="roundRect">
          <a:avLst/>
        </a:prstGeom>
        <a:solidFill>
          <a:schemeClr val="accent1"/>
        </a:solidFill>
        <a:ln>
          <a:noFill/>
          <a:headEnd/>
          <a:tailEnd/>
        </a:ln>
        <a:effectLst>
          <a:reflection blurRad="6350" stA="52000" endA="300" endPos="35000" dir="5400000" sy="-100000" algn="bl" rotWithShape="0"/>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defRPr sz="1000"/>
          </a:pPr>
          <a:r>
            <a:rPr lang="es-ES" sz="2000" b="0" i="0" u="none" strike="noStrike" baseline="0">
              <a:solidFill>
                <a:srgbClr val="FFFFFF"/>
              </a:solidFill>
              <a:latin typeface="Calibri"/>
            </a:rPr>
            <a:t>Home</a:t>
          </a:r>
        </a:p>
      </xdr:txBody>
    </xdr:sp>
    <xdr:clientData/>
  </xdr:twoCellAnchor>
</xdr:wsDr>
</file>

<file path=xl/theme/theme1.xml><?xml version="1.0" encoding="utf-8"?>
<a:theme xmlns:a="http://schemas.openxmlformats.org/drawingml/2006/main" name="BBVA">
  <a:themeElements>
    <a:clrScheme name="BBVA">
      <a:dk1>
        <a:srgbClr val="004481"/>
      </a:dk1>
      <a:lt1>
        <a:srgbClr val="FFFFFF"/>
      </a:lt1>
      <a:dk2>
        <a:srgbClr val="0A5FB4"/>
      </a:dk2>
      <a:lt2>
        <a:srgbClr val="121212"/>
      </a:lt2>
      <a:accent1>
        <a:srgbClr val="2A86CA"/>
      </a:accent1>
      <a:accent2>
        <a:srgbClr val="5BBEFF"/>
      </a:accent2>
      <a:accent3>
        <a:srgbClr val="2DCCCD"/>
      </a:accent3>
      <a:accent4>
        <a:srgbClr val="072146"/>
      </a:accent4>
      <a:accent5>
        <a:srgbClr val="D8BE75"/>
      </a:accent5>
      <a:accent6>
        <a:srgbClr val="F7893B"/>
      </a:accent6>
      <a:hlink>
        <a:srgbClr val="004481"/>
      </a:hlink>
      <a:folHlink>
        <a:srgbClr val="07214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FB5A3-692E-4ABD-AB26-8FE7CCCF28E8}">
  <dimension ref="A1:K1000"/>
  <sheetViews>
    <sheetView topLeftCell="A279" zoomScale="70" zoomScaleNormal="70" workbookViewId="0">
      <selection activeCell="B4" sqref="B4:D327"/>
    </sheetView>
  </sheetViews>
  <sheetFormatPr baseColWidth="10" defaultColWidth="11.453125" defaultRowHeight="14.5"/>
  <cols>
    <col min="2" max="2" width="6.453125" customWidth="1"/>
    <col min="3" max="3" width="145.7265625" customWidth="1"/>
    <col min="4" max="4" width="170" customWidth="1"/>
  </cols>
  <sheetData>
    <row r="1" spans="1:9">
      <c r="A1" s="1"/>
      <c r="B1" s="1"/>
      <c r="C1" s="2"/>
      <c r="D1" s="2"/>
    </row>
    <row r="2" spans="1:9">
      <c r="A2" s="1"/>
      <c r="B2" s="1" t="s">
        <v>0</v>
      </c>
      <c r="C2" s="2" t="s">
        <v>1</v>
      </c>
      <c r="D2" s="2" t="s">
        <v>2</v>
      </c>
    </row>
    <row r="3" spans="1:9" ht="19.5">
      <c r="A3" s="1"/>
      <c r="B3" s="1">
        <v>1</v>
      </c>
      <c r="C3" s="3">
        <v>7</v>
      </c>
      <c r="D3" s="3">
        <v>8</v>
      </c>
      <c r="I3" s="4" t="s">
        <v>3</v>
      </c>
    </row>
    <row r="4" spans="1:9" ht="19.5">
      <c r="B4">
        <v>2</v>
      </c>
      <c r="C4" s="5" t="s">
        <v>4</v>
      </c>
      <c r="D4" s="5" t="s">
        <v>5</v>
      </c>
      <c r="I4" s="4" t="s">
        <v>6</v>
      </c>
    </row>
    <row r="5" spans="1:9" ht="19.5">
      <c r="B5">
        <v>3</v>
      </c>
      <c r="C5" s="5" t="s">
        <v>7</v>
      </c>
      <c r="D5" s="5" t="s">
        <v>8</v>
      </c>
      <c r="I5" s="4" t="s">
        <v>9</v>
      </c>
    </row>
    <row r="6" spans="1:9" ht="15.5">
      <c r="B6">
        <v>4</v>
      </c>
      <c r="C6" s="5" t="s">
        <v>10</v>
      </c>
      <c r="D6" s="5" t="s">
        <v>11</v>
      </c>
    </row>
    <row r="7" spans="1:9" ht="15.5">
      <c r="B7">
        <v>5</v>
      </c>
      <c r="C7" s="5" t="s">
        <v>12</v>
      </c>
      <c r="D7" s="5" t="s">
        <v>13</v>
      </c>
    </row>
    <row r="8" spans="1:9" ht="15.5">
      <c r="B8">
        <v>6</v>
      </c>
      <c r="C8" s="5" t="s">
        <v>14</v>
      </c>
      <c r="D8" s="5" t="s">
        <v>15</v>
      </c>
    </row>
    <row r="9" spans="1:9" ht="15.5">
      <c r="B9">
        <v>7</v>
      </c>
      <c r="C9" s="5" t="s">
        <v>16</v>
      </c>
      <c r="D9" s="5" t="s">
        <v>17</v>
      </c>
    </row>
    <row r="10" spans="1:9" ht="15.5">
      <c r="B10">
        <v>8</v>
      </c>
      <c r="C10" s="5" t="s">
        <v>18</v>
      </c>
      <c r="D10" s="5" t="s">
        <v>19</v>
      </c>
    </row>
    <row r="11" spans="1:9" ht="15.5">
      <c r="B11">
        <v>9</v>
      </c>
      <c r="C11" s="5" t="s">
        <v>20</v>
      </c>
      <c r="D11" s="5" t="s">
        <v>20</v>
      </c>
    </row>
    <row r="12" spans="1:9" ht="15.5">
      <c r="B12">
        <v>10</v>
      </c>
      <c r="C12" s="6" t="s">
        <v>21</v>
      </c>
      <c r="D12" s="6" t="s">
        <v>22</v>
      </c>
    </row>
    <row r="13" spans="1:9" ht="15.5">
      <c r="B13">
        <v>11</v>
      </c>
      <c r="C13" s="6" t="s">
        <v>23</v>
      </c>
      <c r="D13" s="6" t="s">
        <v>24</v>
      </c>
    </row>
    <row r="14" spans="1:9" ht="15.5">
      <c r="B14">
        <v>12</v>
      </c>
      <c r="C14" s="6" t="s">
        <v>25</v>
      </c>
      <c r="D14" s="6" t="s">
        <v>26</v>
      </c>
    </row>
    <row r="15" spans="1:9" ht="15.5">
      <c r="B15">
        <v>13</v>
      </c>
      <c r="C15" s="6" t="s">
        <v>27</v>
      </c>
      <c r="D15" s="6" t="s">
        <v>28</v>
      </c>
    </row>
    <row r="16" spans="1:9" ht="15.5">
      <c r="B16">
        <v>14</v>
      </c>
      <c r="C16" s="6" t="s">
        <v>29</v>
      </c>
      <c r="D16" s="6" t="s">
        <v>29</v>
      </c>
    </row>
    <row r="17" spans="2:4" ht="15.5">
      <c r="B17">
        <v>15</v>
      </c>
      <c r="C17" s="6" t="s">
        <v>30</v>
      </c>
      <c r="D17" s="6" t="s">
        <v>30</v>
      </c>
    </row>
    <row r="18" spans="2:4" ht="15.5">
      <c r="B18">
        <v>16</v>
      </c>
      <c r="C18" s="6" t="s">
        <v>31</v>
      </c>
      <c r="D18" s="6" t="s">
        <v>31</v>
      </c>
    </row>
    <row r="19" spans="2:4" ht="15.5">
      <c r="B19">
        <v>17</v>
      </c>
      <c r="C19" s="6" t="s">
        <v>32</v>
      </c>
      <c r="D19" s="6" t="s">
        <v>33</v>
      </c>
    </row>
    <row r="20" spans="2:4" ht="15.5">
      <c r="B20">
        <v>18</v>
      </c>
      <c r="C20" s="6" t="s">
        <v>34</v>
      </c>
      <c r="D20" s="6" t="s">
        <v>35</v>
      </c>
    </row>
    <row r="21" spans="2:4" ht="15.5">
      <c r="B21">
        <v>19</v>
      </c>
      <c r="C21" s="6" t="s">
        <v>36</v>
      </c>
      <c r="D21" s="6" t="s">
        <v>37</v>
      </c>
    </row>
    <row r="22" spans="2:4" ht="15.5">
      <c r="B22">
        <v>20</v>
      </c>
      <c r="C22" s="6" t="s">
        <v>38</v>
      </c>
      <c r="D22" s="6" t="s">
        <v>39</v>
      </c>
    </row>
    <row r="23" spans="2:4" ht="15.5">
      <c r="B23">
        <v>21</v>
      </c>
      <c r="C23" s="6" t="s">
        <v>40</v>
      </c>
      <c r="D23" s="6" t="s">
        <v>40</v>
      </c>
    </row>
    <row r="24" spans="2:4" ht="15.5">
      <c r="B24">
        <v>22</v>
      </c>
      <c r="C24" s="6" t="s">
        <v>41</v>
      </c>
      <c r="D24" s="6" t="s">
        <v>42</v>
      </c>
    </row>
    <row r="25" spans="2:4" ht="15.5">
      <c r="B25">
        <v>23</v>
      </c>
      <c r="C25" s="6" t="s">
        <v>43</v>
      </c>
      <c r="D25" s="6" t="s">
        <v>44</v>
      </c>
    </row>
    <row r="26" spans="2:4" ht="15.5">
      <c r="B26">
        <v>24</v>
      </c>
      <c r="C26" s="6" t="s">
        <v>45</v>
      </c>
      <c r="D26" s="6" t="s">
        <v>46</v>
      </c>
    </row>
    <row r="27" spans="2:4" ht="15.5">
      <c r="B27">
        <v>25</v>
      </c>
      <c r="C27" s="6" t="s">
        <v>47</v>
      </c>
      <c r="D27" s="6" t="s">
        <v>48</v>
      </c>
    </row>
    <row r="28" spans="2:4" ht="15.5">
      <c r="B28">
        <v>26</v>
      </c>
      <c r="C28" s="6" t="s">
        <v>49</v>
      </c>
      <c r="D28" s="6" t="s">
        <v>50</v>
      </c>
    </row>
    <row r="29" spans="2:4" ht="15.5">
      <c r="B29">
        <v>27</v>
      </c>
      <c r="C29" s="6" t="s">
        <v>51</v>
      </c>
      <c r="D29" s="6" t="s">
        <v>52</v>
      </c>
    </row>
    <row r="30" spans="2:4" ht="15.5">
      <c r="B30">
        <v>28</v>
      </c>
      <c r="C30" s="6" t="s">
        <v>53</v>
      </c>
      <c r="D30" s="6" t="s">
        <v>54</v>
      </c>
    </row>
    <row r="31" spans="2:4" ht="15.5">
      <c r="B31">
        <v>29</v>
      </c>
      <c r="C31" s="6" t="s">
        <v>55</v>
      </c>
      <c r="D31" s="6" t="s">
        <v>56</v>
      </c>
    </row>
    <row r="32" spans="2:4" ht="15.5">
      <c r="B32">
        <v>30</v>
      </c>
      <c r="C32" s="6" t="s">
        <v>57</v>
      </c>
      <c r="D32" s="6" t="s">
        <v>58</v>
      </c>
    </row>
    <row r="33" spans="2:4" ht="15.5">
      <c r="B33">
        <v>31</v>
      </c>
      <c r="C33" s="6" t="s">
        <v>59</v>
      </c>
      <c r="D33" t="s">
        <v>60</v>
      </c>
    </row>
    <row r="34" spans="2:4" ht="15.5">
      <c r="B34">
        <v>32</v>
      </c>
      <c r="C34" s="6" t="s">
        <v>61</v>
      </c>
      <c r="D34" t="s">
        <v>62</v>
      </c>
    </row>
    <row r="35" spans="2:4" ht="15.5">
      <c r="B35">
        <v>33</v>
      </c>
      <c r="C35" s="6" t="s">
        <v>63</v>
      </c>
      <c r="D35" t="s">
        <v>64</v>
      </c>
    </row>
    <row r="36" spans="2:4" ht="15.5">
      <c r="B36">
        <v>34</v>
      </c>
      <c r="C36" s="6" t="s">
        <v>65</v>
      </c>
      <c r="D36" t="s">
        <v>66</v>
      </c>
    </row>
    <row r="37" spans="2:4" ht="15.5">
      <c r="B37">
        <v>35</v>
      </c>
      <c r="C37" s="6" t="s">
        <v>67</v>
      </c>
      <c r="D37" t="s">
        <v>68</v>
      </c>
    </row>
    <row r="38" spans="2:4" ht="15.5">
      <c r="B38">
        <v>36</v>
      </c>
      <c r="C38" s="6" t="s">
        <v>69</v>
      </c>
      <c r="D38" t="s">
        <v>70</v>
      </c>
    </row>
    <row r="39" spans="2:4" ht="15.5">
      <c r="B39">
        <v>37</v>
      </c>
      <c r="C39" s="6" t="s">
        <v>71</v>
      </c>
      <c r="D39" t="s">
        <v>72</v>
      </c>
    </row>
    <row r="40" spans="2:4" ht="15.5">
      <c r="B40">
        <v>38</v>
      </c>
      <c r="C40" s="6" t="s">
        <v>73</v>
      </c>
      <c r="D40" t="s">
        <v>74</v>
      </c>
    </row>
    <row r="41" spans="2:4" ht="15.5">
      <c r="B41">
        <v>39</v>
      </c>
      <c r="C41" s="6" t="s">
        <v>75</v>
      </c>
      <c r="D41" t="s">
        <v>76</v>
      </c>
    </row>
    <row r="42" spans="2:4" ht="15.5">
      <c r="B42">
        <v>40</v>
      </c>
      <c r="C42" s="6" t="s">
        <v>77</v>
      </c>
      <c r="D42" t="s">
        <v>78</v>
      </c>
    </row>
    <row r="43" spans="2:4" ht="15.5">
      <c r="B43">
        <v>41</v>
      </c>
      <c r="C43" s="6" t="s">
        <v>79</v>
      </c>
      <c r="D43" t="s">
        <v>80</v>
      </c>
    </row>
    <row r="44" spans="2:4" ht="15.5">
      <c r="B44">
        <v>42</v>
      </c>
      <c r="C44" s="6" t="s">
        <v>81</v>
      </c>
      <c r="D44" t="s">
        <v>82</v>
      </c>
    </row>
    <row r="45" spans="2:4" ht="15.5">
      <c r="B45">
        <v>43</v>
      </c>
      <c r="C45" s="6" t="s">
        <v>83</v>
      </c>
      <c r="D45" t="s">
        <v>84</v>
      </c>
    </row>
    <row r="46" spans="2:4" ht="15.5">
      <c r="B46">
        <v>44</v>
      </c>
      <c r="C46" s="6" t="s">
        <v>85</v>
      </c>
      <c r="D46" t="s">
        <v>86</v>
      </c>
    </row>
    <row r="47" spans="2:4" ht="15.5">
      <c r="B47">
        <v>45</v>
      </c>
      <c r="C47" s="6" t="s">
        <v>87</v>
      </c>
      <c r="D47" t="s">
        <v>88</v>
      </c>
    </row>
    <row r="48" spans="2:4" ht="15.5">
      <c r="B48">
        <v>46</v>
      </c>
      <c r="C48" s="6" t="s">
        <v>89</v>
      </c>
      <c r="D48" t="s">
        <v>90</v>
      </c>
    </row>
    <row r="49" spans="2:4" ht="15.5">
      <c r="B49">
        <v>47</v>
      </c>
      <c r="C49" s="6" t="s">
        <v>91</v>
      </c>
      <c r="D49" t="s">
        <v>92</v>
      </c>
    </row>
    <row r="50" spans="2:4" ht="15.5">
      <c r="B50">
        <v>48</v>
      </c>
      <c r="C50" s="6" t="s">
        <v>93</v>
      </c>
      <c r="D50" t="s">
        <v>94</v>
      </c>
    </row>
    <row r="51" spans="2:4" ht="15.5">
      <c r="B51">
        <v>49</v>
      </c>
      <c r="C51" s="6" t="s">
        <v>95</v>
      </c>
      <c r="D51" t="s">
        <v>96</v>
      </c>
    </row>
    <row r="52" spans="2:4" ht="15.5">
      <c r="B52">
        <v>50</v>
      </c>
      <c r="C52" s="6" t="s">
        <v>97</v>
      </c>
      <c r="D52" t="s">
        <v>98</v>
      </c>
    </row>
    <row r="53" spans="2:4" ht="15.5">
      <c r="B53">
        <v>51</v>
      </c>
      <c r="C53" s="6" t="s">
        <v>99</v>
      </c>
      <c r="D53" t="s">
        <v>100</v>
      </c>
    </row>
    <row r="54" spans="2:4" ht="15.5">
      <c r="B54">
        <v>52</v>
      </c>
      <c r="C54" s="6" t="s">
        <v>101</v>
      </c>
      <c r="D54" t="s">
        <v>102</v>
      </c>
    </row>
    <row r="55" spans="2:4" ht="15.5">
      <c r="B55">
        <v>53</v>
      </c>
      <c r="C55" s="6" t="s">
        <v>103</v>
      </c>
      <c r="D55" t="s">
        <v>104</v>
      </c>
    </row>
    <row r="56" spans="2:4" ht="15.5">
      <c r="B56">
        <v>54</v>
      </c>
      <c r="C56" s="6" t="s">
        <v>105</v>
      </c>
      <c r="D56" t="s">
        <v>106</v>
      </c>
    </row>
    <row r="57" spans="2:4" ht="15.5">
      <c r="B57">
        <v>55</v>
      </c>
      <c r="C57" s="6" t="s">
        <v>107</v>
      </c>
      <c r="D57" t="s">
        <v>108</v>
      </c>
    </row>
    <row r="58" spans="2:4" ht="15.5">
      <c r="B58">
        <v>56</v>
      </c>
      <c r="C58" s="6" t="s">
        <v>109</v>
      </c>
      <c r="D58" t="s">
        <v>110</v>
      </c>
    </row>
    <row r="59" spans="2:4" ht="15.5">
      <c r="B59">
        <v>57</v>
      </c>
      <c r="C59" s="6" t="s">
        <v>111</v>
      </c>
      <c r="D59" t="s">
        <v>112</v>
      </c>
    </row>
    <row r="60" spans="2:4" ht="15.5">
      <c r="B60">
        <v>58</v>
      </c>
      <c r="C60" s="6" t="s">
        <v>113</v>
      </c>
      <c r="D60" t="s">
        <v>114</v>
      </c>
    </row>
    <row r="61" spans="2:4" ht="15.5">
      <c r="B61">
        <v>59</v>
      </c>
      <c r="C61" s="6" t="s">
        <v>115</v>
      </c>
      <c r="D61" t="s">
        <v>116</v>
      </c>
    </row>
    <row r="62" spans="2:4" ht="15.5">
      <c r="B62">
        <v>60</v>
      </c>
      <c r="C62" s="6" t="s">
        <v>117</v>
      </c>
      <c r="D62" t="s">
        <v>118</v>
      </c>
    </row>
    <row r="63" spans="2:4" ht="15.5">
      <c r="B63">
        <v>61</v>
      </c>
      <c r="C63" s="6" t="s">
        <v>119</v>
      </c>
      <c r="D63" t="s">
        <v>120</v>
      </c>
    </row>
    <row r="64" spans="2:4" ht="15.5">
      <c r="B64">
        <v>62</v>
      </c>
      <c r="C64" s="6" t="s">
        <v>121</v>
      </c>
      <c r="D64" t="s">
        <v>122</v>
      </c>
    </row>
    <row r="65" spans="2:4" ht="15.5">
      <c r="B65">
        <v>63</v>
      </c>
      <c r="C65" s="6" t="s">
        <v>123</v>
      </c>
      <c r="D65" t="s">
        <v>124</v>
      </c>
    </row>
    <row r="66" spans="2:4" ht="15.5">
      <c r="B66">
        <v>64</v>
      </c>
      <c r="C66" s="6" t="s">
        <v>125</v>
      </c>
      <c r="D66" t="s">
        <v>126</v>
      </c>
    </row>
    <row r="67" spans="2:4" ht="15.5">
      <c r="B67">
        <v>65</v>
      </c>
      <c r="C67" s="6" t="s">
        <v>127</v>
      </c>
      <c r="D67" t="s">
        <v>128</v>
      </c>
    </row>
    <row r="68" spans="2:4" ht="15.5">
      <c r="B68">
        <v>66</v>
      </c>
      <c r="C68" s="6" t="s">
        <v>129</v>
      </c>
      <c r="D68" s="7" t="s">
        <v>130</v>
      </c>
    </row>
    <row r="69" spans="2:4" ht="15.5">
      <c r="B69">
        <v>67</v>
      </c>
      <c r="C69" s="6" t="s">
        <v>131</v>
      </c>
      <c r="D69" s="7" t="s">
        <v>132</v>
      </c>
    </row>
    <row r="70" spans="2:4" ht="15.5">
      <c r="B70">
        <v>68</v>
      </c>
      <c r="C70" s="6" t="s">
        <v>133</v>
      </c>
      <c r="D70" s="7" t="s">
        <v>134</v>
      </c>
    </row>
    <row r="71" spans="2:4" ht="15.5">
      <c r="B71">
        <v>69</v>
      </c>
      <c r="C71" s="6" t="s">
        <v>135</v>
      </c>
      <c r="D71" s="7" t="s">
        <v>136</v>
      </c>
    </row>
    <row r="72" spans="2:4" ht="15.5">
      <c r="B72">
        <v>70</v>
      </c>
      <c r="C72" s="6" t="s">
        <v>137</v>
      </c>
      <c r="D72" s="7" t="s">
        <v>138</v>
      </c>
    </row>
    <row r="73" spans="2:4" ht="15.5">
      <c r="B73">
        <v>71</v>
      </c>
      <c r="C73" s="6" t="s">
        <v>139</v>
      </c>
      <c r="D73" s="8" t="s">
        <v>140</v>
      </c>
    </row>
    <row r="74" spans="2:4" ht="15.5">
      <c r="B74">
        <v>72</v>
      </c>
      <c r="C74" s="6" t="s">
        <v>141</v>
      </c>
      <c r="D74" s="8"/>
    </row>
    <row r="75" spans="2:4" ht="15.5">
      <c r="B75">
        <v>73</v>
      </c>
      <c r="C75" s="6" t="s">
        <v>142</v>
      </c>
      <c r="D75" s="9" t="s">
        <v>143</v>
      </c>
    </row>
    <row r="76" spans="2:4" ht="15.5">
      <c r="B76">
        <v>74</v>
      </c>
      <c r="C76" s="6" t="s">
        <v>144</v>
      </c>
      <c r="D76" s="9" t="s">
        <v>145</v>
      </c>
    </row>
    <row r="77" spans="2:4" ht="15.5">
      <c r="B77">
        <v>75</v>
      </c>
      <c r="C77" s="6" t="s">
        <v>146</v>
      </c>
      <c r="D77" s="9" t="s">
        <v>147</v>
      </c>
    </row>
    <row r="78" spans="2:4" ht="15.5">
      <c r="B78">
        <v>76</v>
      </c>
      <c r="C78" s="6" t="s">
        <v>148</v>
      </c>
      <c r="D78" s="9" t="s">
        <v>149</v>
      </c>
    </row>
    <row r="79" spans="2:4" ht="15.5">
      <c r="B79">
        <v>77</v>
      </c>
      <c r="C79" s="6" t="s">
        <v>150</v>
      </c>
      <c r="D79" s="9" t="s">
        <v>151</v>
      </c>
    </row>
    <row r="80" spans="2:4" ht="15.5">
      <c r="B80">
        <v>78</v>
      </c>
      <c r="C80" s="6" t="s">
        <v>152</v>
      </c>
      <c r="D80" s="9" t="s">
        <v>153</v>
      </c>
    </row>
    <row r="81" spans="2:4" ht="15.5">
      <c r="B81">
        <v>79</v>
      </c>
      <c r="C81" s="6" t="s">
        <v>154</v>
      </c>
      <c r="D81" s="9" t="s">
        <v>155</v>
      </c>
    </row>
    <row r="82" spans="2:4" ht="15.5">
      <c r="B82">
        <v>80</v>
      </c>
      <c r="C82" s="6" t="s">
        <v>156</v>
      </c>
      <c r="D82" s="9" t="s">
        <v>156</v>
      </c>
    </row>
    <row r="83" spans="2:4" ht="15.5">
      <c r="B83">
        <v>81</v>
      </c>
      <c r="C83" s="6" t="s">
        <v>157</v>
      </c>
      <c r="D83" s="9" t="s">
        <v>158</v>
      </c>
    </row>
    <row r="84" spans="2:4">
      <c r="B84">
        <v>82</v>
      </c>
      <c r="C84" t="s">
        <v>159</v>
      </c>
      <c r="D84" t="s">
        <v>160</v>
      </c>
    </row>
    <row r="85" spans="2:4">
      <c r="B85">
        <v>83</v>
      </c>
      <c r="C85" t="s">
        <v>161</v>
      </c>
      <c r="D85" t="s">
        <v>162</v>
      </c>
    </row>
    <row r="86" spans="2:4" ht="15.5">
      <c r="B86">
        <v>84</v>
      </c>
      <c r="C86" s="6" t="s">
        <v>163</v>
      </c>
      <c r="D86" t="s">
        <v>164</v>
      </c>
    </row>
    <row r="87" spans="2:4">
      <c r="B87">
        <v>85</v>
      </c>
      <c r="C87" t="s">
        <v>165</v>
      </c>
      <c r="D87" t="s">
        <v>166</v>
      </c>
    </row>
    <row r="88" spans="2:4">
      <c r="B88">
        <v>86</v>
      </c>
      <c r="C88" t="s">
        <v>167</v>
      </c>
      <c r="D88" t="s">
        <v>168</v>
      </c>
    </row>
    <row r="89" spans="2:4">
      <c r="B89">
        <v>87</v>
      </c>
      <c r="C89" t="s">
        <v>169</v>
      </c>
      <c r="D89" t="s">
        <v>170</v>
      </c>
    </row>
    <row r="90" spans="2:4">
      <c r="B90">
        <v>88</v>
      </c>
      <c r="C90" t="s">
        <v>53</v>
      </c>
      <c r="D90" t="s">
        <v>54</v>
      </c>
    </row>
    <row r="91" spans="2:4">
      <c r="B91">
        <v>89</v>
      </c>
      <c r="C91" s="10" t="s">
        <v>171</v>
      </c>
      <c r="D91" t="s">
        <v>172</v>
      </c>
    </row>
    <row r="92" spans="2:4">
      <c r="B92">
        <v>90</v>
      </c>
      <c r="C92" t="s">
        <v>173</v>
      </c>
      <c r="D92" t="s">
        <v>173</v>
      </c>
    </row>
    <row r="93" spans="2:4">
      <c r="B93">
        <v>91</v>
      </c>
      <c r="C93" t="s">
        <v>174</v>
      </c>
      <c r="D93" t="s">
        <v>175</v>
      </c>
    </row>
    <row r="94" spans="2:4">
      <c r="B94">
        <v>92</v>
      </c>
      <c r="C94" t="s">
        <v>176</v>
      </c>
      <c r="D94" t="s">
        <v>177</v>
      </c>
    </row>
    <row r="95" spans="2:4">
      <c r="B95">
        <v>93</v>
      </c>
      <c r="C95" t="s">
        <v>178</v>
      </c>
      <c r="D95" t="s">
        <v>179</v>
      </c>
    </row>
    <row r="96" spans="2:4">
      <c r="B96">
        <v>94</v>
      </c>
      <c r="C96" t="s">
        <v>180</v>
      </c>
      <c r="D96" t="s">
        <v>181</v>
      </c>
    </row>
    <row r="97" spans="2:4">
      <c r="B97">
        <v>95</v>
      </c>
      <c r="C97" t="s">
        <v>182</v>
      </c>
      <c r="D97" t="s">
        <v>183</v>
      </c>
    </row>
    <row r="98" spans="2:4">
      <c r="B98">
        <v>96</v>
      </c>
      <c r="C98" s="11" t="s">
        <v>184</v>
      </c>
      <c r="D98" s="11" t="s">
        <v>185</v>
      </c>
    </row>
    <row r="99" spans="2:4">
      <c r="B99">
        <v>97</v>
      </c>
      <c r="C99" s="11" t="s">
        <v>186</v>
      </c>
      <c r="D99" s="11" t="s">
        <v>187</v>
      </c>
    </row>
    <row r="100" spans="2:4">
      <c r="B100">
        <v>98</v>
      </c>
      <c r="C100" s="11" t="s">
        <v>188</v>
      </c>
      <c r="D100" s="11" t="s">
        <v>189</v>
      </c>
    </row>
    <row r="101" spans="2:4">
      <c r="B101">
        <v>99</v>
      </c>
      <c r="C101" s="11" t="s">
        <v>190</v>
      </c>
      <c r="D101" t="s">
        <v>191</v>
      </c>
    </row>
    <row r="102" spans="2:4">
      <c r="B102">
        <v>100</v>
      </c>
      <c r="C102" s="11" t="s">
        <v>192</v>
      </c>
      <c r="D102" t="s">
        <v>193</v>
      </c>
    </row>
    <row r="103" spans="2:4">
      <c r="B103">
        <v>101</v>
      </c>
      <c r="C103" t="s">
        <v>194</v>
      </c>
      <c r="D103" t="s">
        <v>195</v>
      </c>
    </row>
    <row r="104" spans="2:4" ht="15" customHeight="1">
      <c r="B104">
        <v>102</v>
      </c>
      <c r="C104" t="s">
        <v>196</v>
      </c>
      <c r="D104" t="s">
        <v>197</v>
      </c>
    </row>
    <row r="105" spans="2:4">
      <c r="B105">
        <v>103</v>
      </c>
      <c r="C105" t="s">
        <v>198</v>
      </c>
      <c r="D105" t="s">
        <v>199</v>
      </c>
    </row>
    <row r="106" spans="2:4">
      <c r="B106">
        <v>104</v>
      </c>
      <c r="C106" t="s">
        <v>200</v>
      </c>
      <c r="D106" t="s">
        <v>201</v>
      </c>
    </row>
    <row r="107" spans="2:4">
      <c r="B107">
        <v>105</v>
      </c>
      <c r="C107" s="12" t="s">
        <v>202</v>
      </c>
      <c r="D107" t="s">
        <v>203</v>
      </c>
    </row>
    <row r="108" spans="2:4">
      <c r="B108">
        <v>106</v>
      </c>
      <c r="C108" s="12" t="s">
        <v>204</v>
      </c>
      <c r="D108" t="s">
        <v>205</v>
      </c>
    </row>
    <row r="109" spans="2:4">
      <c r="B109">
        <v>107</v>
      </c>
      <c r="C109" t="s">
        <v>206</v>
      </c>
      <c r="D109" t="s">
        <v>207</v>
      </c>
    </row>
    <row r="110" spans="2:4">
      <c r="B110">
        <v>108</v>
      </c>
      <c r="C110" s="12" t="s">
        <v>208</v>
      </c>
      <c r="D110" t="s">
        <v>209</v>
      </c>
    </row>
    <row r="111" spans="2:4">
      <c r="B111">
        <v>109</v>
      </c>
      <c r="C111" s="12" t="s">
        <v>210</v>
      </c>
      <c r="D111" t="s">
        <v>211</v>
      </c>
    </row>
    <row r="112" spans="2:4">
      <c r="B112">
        <v>110</v>
      </c>
      <c r="C112" s="12" t="s">
        <v>212</v>
      </c>
      <c r="D112" t="s">
        <v>213</v>
      </c>
    </row>
    <row r="113" spans="2:4">
      <c r="B113">
        <v>111</v>
      </c>
      <c r="C113" s="12" t="s">
        <v>214</v>
      </c>
      <c r="D113" t="s">
        <v>215</v>
      </c>
    </row>
    <row r="114" spans="2:4">
      <c r="B114">
        <v>112</v>
      </c>
      <c r="C114" s="13" t="s">
        <v>216</v>
      </c>
      <c r="D114" t="s">
        <v>217</v>
      </c>
    </row>
    <row r="115" spans="2:4">
      <c r="B115">
        <v>113</v>
      </c>
      <c r="C115" s="13" t="s">
        <v>55</v>
      </c>
      <c r="D115" t="s">
        <v>56</v>
      </c>
    </row>
    <row r="116" spans="2:4">
      <c r="B116">
        <v>114</v>
      </c>
      <c r="C116" s="12" t="s">
        <v>218</v>
      </c>
      <c r="D116" t="s">
        <v>219</v>
      </c>
    </row>
    <row r="117" spans="2:4">
      <c r="B117">
        <v>115</v>
      </c>
      <c r="C117" s="12" t="s">
        <v>220</v>
      </c>
      <c r="D117" t="s">
        <v>221</v>
      </c>
    </row>
    <row r="118" spans="2:4">
      <c r="B118">
        <v>116</v>
      </c>
      <c r="C118" s="12" t="s">
        <v>222</v>
      </c>
      <c r="D118" t="s">
        <v>223</v>
      </c>
    </row>
    <row r="119" spans="2:4" ht="15.5">
      <c r="B119">
        <v>117</v>
      </c>
      <c r="C119" s="6"/>
      <c r="D119" s="7"/>
    </row>
    <row r="120" spans="2:4">
      <c r="B120">
        <v>118</v>
      </c>
      <c r="C120" s="14" t="s">
        <v>224</v>
      </c>
      <c r="D120" t="s">
        <v>225</v>
      </c>
    </row>
    <row r="121" spans="2:4">
      <c r="B121">
        <v>119</v>
      </c>
      <c r="C121" s="15" t="s">
        <v>226</v>
      </c>
    </row>
    <row r="122" spans="2:4" ht="17">
      <c r="B122">
        <v>120</v>
      </c>
      <c r="C122" s="16" t="s">
        <v>57</v>
      </c>
      <c r="D122" t="s">
        <v>58</v>
      </c>
    </row>
    <row r="123" spans="2:4">
      <c r="B123">
        <v>121</v>
      </c>
      <c r="C123" t="s">
        <v>227</v>
      </c>
      <c r="D123" t="s">
        <v>228</v>
      </c>
    </row>
    <row r="124" spans="2:4">
      <c r="B124">
        <v>122</v>
      </c>
      <c r="C124" t="s">
        <v>229</v>
      </c>
      <c r="D124" t="s">
        <v>228</v>
      </c>
    </row>
    <row r="125" spans="2:4">
      <c r="B125">
        <v>123</v>
      </c>
      <c r="C125" t="s">
        <v>230</v>
      </c>
      <c r="D125" t="s">
        <v>231</v>
      </c>
    </row>
    <row r="126" spans="2:4">
      <c r="B126">
        <v>124</v>
      </c>
      <c r="C126" t="s">
        <v>232</v>
      </c>
      <c r="D126" t="s">
        <v>233</v>
      </c>
    </row>
    <row r="127" spans="2:4">
      <c r="B127">
        <v>125</v>
      </c>
      <c r="C127" t="s">
        <v>234</v>
      </c>
      <c r="D127" t="s">
        <v>235</v>
      </c>
    </row>
    <row r="128" spans="2:4">
      <c r="B128">
        <v>126</v>
      </c>
      <c r="C128" t="s">
        <v>236</v>
      </c>
      <c r="D128" t="s">
        <v>236</v>
      </c>
    </row>
    <row r="129" spans="2:4">
      <c r="B129">
        <v>127</v>
      </c>
      <c r="C129" t="s">
        <v>237</v>
      </c>
      <c r="D129" t="s">
        <v>237</v>
      </c>
    </row>
    <row r="130" spans="2:4">
      <c r="B130">
        <v>128</v>
      </c>
      <c r="C130" t="s">
        <v>238</v>
      </c>
      <c r="D130" t="s">
        <v>238</v>
      </c>
    </row>
    <row r="131" spans="2:4">
      <c r="B131">
        <v>129</v>
      </c>
      <c r="C131" t="s">
        <v>239</v>
      </c>
      <c r="D131" t="s">
        <v>239</v>
      </c>
    </row>
    <row r="132" spans="2:4">
      <c r="B132">
        <v>130</v>
      </c>
      <c r="C132" t="s">
        <v>240</v>
      </c>
      <c r="D132" t="s">
        <v>240</v>
      </c>
    </row>
    <row r="133" spans="2:4">
      <c r="B133">
        <v>131</v>
      </c>
      <c r="C133" s="7" t="s">
        <v>241</v>
      </c>
      <c r="D133" t="s">
        <v>242</v>
      </c>
    </row>
    <row r="134" spans="2:4">
      <c r="B134">
        <v>132</v>
      </c>
      <c r="C134" s="7" t="s">
        <v>243</v>
      </c>
      <c r="D134" t="s">
        <v>244</v>
      </c>
    </row>
    <row r="135" spans="2:4">
      <c r="B135">
        <v>133</v>
      </c>
      <c r="C135" s="7" t="s">
        <v>245</v>
      </c>
      <c r="D135" t="s">
        <v>246</v>
      </c>
    </row>
    <row r="136" spans="2:4">
      <c r="B136">
        <v>134</v>
      </c>
      <c r="C136" s="7" t="s">
        <v>247</v>
      </c>
      <c r="D136" t="s">
        <v>248</v>
      </c>
    </row>
    <row r="137" spans="2:4">
      <c r="B137">
        <v>135</v>
      </c>
      <c r="C137" s="7" t="s">
        <v>105</v>
      </c>
      <c r="D137" t="s">
        <v>106</v>
      </c>
    </row>
    <row r="138" spans="2:4">
      <c r="B138">
        <v>136</v>
      </c>
      <c r="C138" s="7" t="s">
        <v>249</v>
      </c>
      <c r="D138" t="s">
        <v>250</v>
      </c>
    </row>
    <row r="139" spans="2:4">
      <c r="B139">
        <v>137</v>
      </c>
      <c r="C139" s="7" t="s">
        <v>251</v>
      </c>
      <c r="D139" t="s">
        <v>252</v>
      </c>
    </row>
    <row r="140" spans="2:4">
      <c r="B140">
        <v>138</v>
      </c>
      <c r="C140" s="7" t="s">
        <v>253</v>
      </c>
      <c r="D140" t="s">
        <v>254</v>
      </c>
    </row>
    <row r="141" spans="2:4">
      <c r="B141">
        <v>139</v>
      </c>
      <c r="C141" s="7" t="s">
        <v>255</v>
      </c>
      <c r="D141" t="s">
        <v>256</v>
      </c>
    </row>
    <row r="142" spans="2:4">
      <c r="B142">
        <v>140</v>
      </c>
      <c r="C142" s="7" t="s">
        <v>257</v>
      </c>
      <c r="D142" t="s">
        <v>258</v>
      </c>
    </row>
    <row r="143" spans="2:4">
      <c r="B143">
        <v>141</v>
      </c>
      <c r="C143" s="7" t="s">
        <v>259</v>
      </c>
      <c r="D143" s="7" t="s">
        <v>260</v>
      </c>
    </row>
    <row r="144" spans="2:4">
      <c r="B144">
        <v>142</v>
      </c>
      <c r="C144" s="7" t="s">
        <v>261</v>
      </c>
      <c r="D144" s="7" t="s">
        <v>262</v>
      </c>
    </row>
    <row r="145" spans="2:4">
      <c r="B145">
        <v>143</v>
      </c>
      <c r="C145" s="7" t="s">
        <v>263</v>
      </c>
      <c r="D145" t="s">
        <v>264</v>
      </c>
    </row>
    <row r="146" spans="2:4">
      <c r="B146">
        <v>144</v>
      </c>
      <c r="C146" s="7" t="s">
        <v>265</v>
      </c>
      <c r="D146" t="s">
        <v>266</v>
      </c>
    </row>
    <row r="147" spans="2:4">
      <c r="B147">
        <v>145</v>
      </c>
      <c r="C147" s="7" t="s">
        <v>267</v>
      </c>
      <c r="D147" t="s">
        <v>268</v>
      </c>
    </row>
    <row r="148" spans="2:4">
      <c r="B148">
        <v>146</v>
      </c>
      <c r="C148" s="17" t="s">
        <v>269</v>
      </c>
      <c r="D148" t="s">
        <v>270</v>
      </c>
    </row>
    <row r="149" spans="2:4">
      <c r="B149">
        <v>147</v>
      </c>
      <c r="C149" s="7" t="s">
        <v>271</v>
      </c>
      <c r="D149" t="s">
        <v>96</v>
      </c>
    </row>
    <row r="150" spans="2:4">
      <c r="B150">
        <v>148</v>
      </c>
      <c r="C150" s="7" t="s">
        <v>272</v>
      </c>
      <c r="D150" t="s">
        <v>273</v>
      </c>
    </row>
    <row r="151" spans="2:4">
      <c r="B151">
        <v>149</v>
      </c>
      <c r="C151" s="7" t="s">
        <v>274</v>
      </c>
      <c r="D151" t="s">
        <v>275</v>
      </c>
    </row>
    <row r="152" spans="2:4">
      <c r="B152">
        <v>150</v>
      </c>
      <c r="C152" s="17" t="s">
        <v>276</v>
      </c>
      <c r="D152" t="s">
        <v>277</v>
      </c>
    </row>
    <row r="153" spans="2:4">
      <c r="B153">
        <v>151</v>
      </c>
      <c r="C153" s="18" t="s">
        <v>278</v>
      </c>
      <c r="D153" t="s">
        <v>279</v>
      </c>
    </row>
    <row r="154" spans="2:4">
      <c r="B154">
        <v>152</v>
      </c>
      <c r="C154" s="7" t="s">
        <v>280</v>
      </c>
      <c r="D154" t="s">
        <v>281</v>
      </c>
    </row>
    <row r="155" spans="2:4">
      <c r="B155">
        <v>153</v>
      </c>
      <c r="C155" s="7" t="s">
        <v>282</v>
      </c>
      <c r="D155" t="s">
        <v>283</v>
      </c>
    </row>
    <row r="156" spans="2:4">
      <c r="B156">
        <v>154</v>
      </c>
      <c r="C156" s="7" t="s">
        <v>284</v>
      </c>
      <c r="D156" t="s">
        <v>285</v>
      </c>
    </row>
    <row r="157" spans="2:4">
      <c r="B157">
        <v>155</v>
      </c>
      <c r="C157" s="7" t="s">
        <v>286</v>
      </c>
      <c r="D157" t="s">
        <v>287</v>
      </c>
    </row>
    <row r="158" spans="2:4">
      <c r="B158">
        <v>156</v>
      </c>
      <c r="C158" s="7" t="s">
        <v>288</v>
      </c>
      <c r="D158" t="s">
        <v>289</v>
      </c>
    </row>
    <row r="159" spans="2:4">
      <c r="B159">
        <v>157</v>
      </c>
      <c r="C159" s="7" t="s">
        <v>290</v>
      </c>
      <c r="D159" t="s">
        <v>291</v>
      </c>
    </row>
    <row r="160" spans="2:4">
      <c r="B160">
        <v>158</v>
      </c>
      <c r="C160" s="7" t="s">
        <v>292</v>
      </c>
      <c r="D160" t="s">
        <v>293</v>
      </c>
    </row>
    <row r="161" spans="2:5">
      <c r="B161">
        <v>159</v>
      </c>
      <c r="C161" s="19" t="s">
        <v>294</v>
      </c>
      <c r="D161" t="s">
        <v>295</v>
      </c>
    </row>
    <row r="162" spans="2:5">
      <c r="B162">
        <v>160</v>
      </c>
      <c r="C162" s="19" t="s">
        <v>296</v>
      </c>
      <c r="D162" t="s">
        <v>297</v>
      </c>
    </row>
    <row r="163" spans="2:5">
      <c r="B163">
        <v>161</v>
      </c>
      <c r="C163" s="7" t="s">
        <v>49</v>
      </c>
      <c r="D163" t="s">
        <v>50</v>
      </c>
    </row>
    <row r="164" spans="2:5">
      <c r="B164">
        <v>162</v>
      </c>
      <c r="C164" s="7" t="s">
        <v>298</v>
      </c>
      <c r="D164" t="s">
        <v>299</v>
      </c>
    </row>
    <row r="165" spans="2:5" ht="15">
      <c r="B165">
        <v>163</v>
      </c>
      <c r="C165" s="7" t="s">
        <v>300</v>
      </c>
      <c r="D165" t="s">
        <v>301</v>
      </c>
      <c r="E165" s="20"/>
    </row>
    <row r="166" spans="2:5">
      <c r="B166">
        <v>164</v>
      </c>
      <c r="C166" t="s">
        <v>302</v>
      </c>
      <c r="D166" t="s">
        <v>303</v>
      </c>
    </row>
    <row r="167" spans="2:5">
      <c r="B167">
        <v>165</v>
      </c>
      <c r="C167" s="21" t="s">
        <v>304</v>
      </c>
      <c r="D167" t="s">
        <v>305</v>
      </c>
    </row>
    <row r="168" spans="2:5">
      <c r="B168">
        <v>166</v>
      </c>
      <c r="C168" s="9" t="s">
        <v>298</v>
      </c>
      <c r="D168" t="s">
        <v>299</v>
      </c>
    </row>
    <row r="169" spans="2:5">
      <c r="B169">
        <v>167</v>
      </c>
      <c r="C169" t="s">
        <v>176</v>
      </c>
      <c r="D169" t="s">
        <v>177</v>
      </c>
    </row>
    <row r="170" spans="2:5">
      <c r="B170">
        <v>168</v>
      </c>
      <c r="C170" t="s">
        <v>178</v>
      </c>
      <c r="D170" t="s">
        <v>179</v>
      </c>
    </row>
    <row r="171" spans="2:5">
      <c r="B171">
        <v>169</v>
      </c>
      <c r="C171" t="s">
        <v>180</v>
      </c>
      <c r="D171" t="s">
        <v>181</v>
      </c>
    </row>
    <row r="172" spans="2:5">
      <c r="B172">
        <v>170</v>
      </c>
      <c r="C172" t="s">
        <v>182</v>
      </c>
      <c r="D172" t="s">
        <v>183</v>
      </c>
    </row>
    <row r="173" spans="2:5">
      <c r="B173">
        <v>171</v>
      </c>
      <c r="C173" t="s">
        <v>306</v>
      </c>
      <c r="D173" t="s">
        <v>307</v>
      </c>
    </row>
    <row r="174" spans="2:5">
      <c r="B174">
        <v>172</v>
      </c>
      <c r="C174" t="s">
        <v>163</v>
      </c>
      <c r="D174" t="s">
        <v>164</v>
      </c>
    </row>
    <row r="175" spans="2:5">
      <c r="B175">
        <v>173</v>
      </c>
      <c r="C175" t="s">
        <v>308</v>
      </c>
      <c r="D175" s="22" t="s">
        <v>309</v>
      </c>
    </row>
    <row r="176" spans="2:5">
      <c r="B176">
        <v>174</v>
      </c>
      <c r="C176" t="s">
        <v>310</v>
      </c>
      <c r="D176" s="22" t="s">
        <v>311</v>
      </c>
    </row>
    <row r="177" spans="2:4">
      <c r="B177">
        <v>175</v>
      </c>
      <c r="C177" s="23" t="s">
        <v>18</v>
      </c>
      <c r="D177" t="s">
        <v>19</v>
      </c>
    </row>
    <row r="178" spans="2:4">
      <c r="B178">
        <v>176</v>
      </c>
      <c r="C178" s="23" t="s">
        <v>312</v>
      </c>
      <c r="D178" s="17" t="s">
        <v>313</v>
      </c>
    </row>
    <row r="179" spans="2:4">
      <c r="B179">
        <v>177</v>
      </c>
      <c r="C179" s="23" t="s">
        <v>314</v>
      </c>
      <c r="D179" t="s">
        <v>315</v>
      </c>
    </row>
    <row r="180" spans="2:4">
      <c r="B180">
        <v>178</v>
      </c>
      <c r="C180" s="23" t="s">
        <v>316</v>
      </c>
      <c r="D180" t="s">
        <v>317</v>
      </c>
    </row>
    <row r="181" spans="2:4">
      <c r="B181">
        <v>179</v>
      </c>
      <c r="C181" s="23" t="s">
        <v>318</v>
      </c>
      <c r="D181" t="s">
        <v>319</v>
      </c>
    </row>
    <row r="182" spans="2:4">
      <c r="B182">
        <v>180</v>
      </c>
      <c r="C182" s="23" t="s">
        <v>320</v>
      </c>
      <c r="D182" t="s">
        <v>321</v>
      </c>
    </row>
    <row r="183" spans="2:4">
      <c r="B183">
        <v>181</v>
      </c>
      <c r="C183" s="23" t="s">
        <v>29</v>
      </c>
      <c r="D183" t="s">
        <v>29</v>
      </c>
    </row>
    <row r="184" spans="2:4">
      <c r="B184">
        <v>182</v>
      </c>
      <c r="C184" s="23" t="s">
        <v>31</v>
      </c>
      <c r="D184" t="s">
        <v>31</v>
      </c>
    </row>
    <row r="185" spans="2:4">
      <c r="B185">
        <v>183</v>
      </c>
      <c r="C185" s="23" t="s">
        <v>32</v>
      </c>
      <c r="D185" t="s">
        <v>33</v>
      </c>
    </row>
    <row r="186" spans="2:4">
      <c r="B186">
        <v>184</v>
      </c>
      <c r="C186" t="s">
        <v>322</v>
      </c>
      <c r="D186" t="s">
        <v>323</v>
      </c>
    </row>
    <row r="187" spans="2:4">
      <c r="B187">
        <v>185</v>
      </c>
      <c r="C187" t="s">
        <v>324</v>
      </c>
      <c r="D187" t="s">
        <v>325</v>
      </c>
    </row>
    <row r="188" spans="2:4">
      <c r="B188">
        <v>186</v>
      </c>
      <c r="C188" t="s">
        <v>326</v>
      </c>
      <c r="D188" t="s">
        <v>327</v>
      </c>
    </row>
    <row r="189" spans="2:4">
      <c r="B189">
        <v>187</v>
      </c>
      <c r="C189" t="s">
        <v>328</v>
      </c>
      <c r="D189" t="s">
        <v>275</v>
      </c>
    </row>
    <row r="190" spans="2:4">
      <c r="B190">
        <v>188</v>
      </c>
      <c r="C190" s="12" t="s">
        <v>329</v>
      </c>
    </row>
    <row r="191" spans="2:4">
      <c r="B191">
        <v>189</v>
      </c>
      <c r="C191" s="12" t="s">
        <v>330</v>
      </c>
    </row>
    <row r="192" spans="2:4">
      <c r="B192">
        <v>190</v>
      </c>
      <c r="C192" s="12" t="s">
        <v>331</v>
      </c>
    </row>
    <row r="193" spans="2:4">
      <c r="B193">
        <v>191</v>
      </c>
      <c r="C193" s="12" t="s">
        <v>208</v>
      </c>
      <c r="D193" t="s">
        <v>209</v>
      </c>
    </row>
    <row r="194" spans="2:4">
      <c r="B194">
        <v>192</v>
      </c>
      <c r="C194" s="12" t="s">
        <v>210</v>
      </c>
    </row>
    <row r="195" spans="2:4">
      <c r="B195">
        <v>193</v>
      </c>
      <c r="C195" s="12" t="s">
        <v>214</v>
      </c>
    </row>
    <row r="196" spans="2:4">
      <c r="B196">
        <v>194</v>
      </c>
      <c r="C196" s="13" t="s">
        <v>216</v>
      </c>
    </row>
    <row r="197" spans="2:4">
      <c r="B197">
        <v>195</v>
      </c>
      <c r="C197" s="12" t="s">
        <v>332</v>
      </c>
    </row>
    <row r="198" spans="2:4">
      <c r="B198">
        <v>196</v>
      </c>
      <c r="C198" s="12" t="s">
        <v>333</v>
      </c>
    </row>
    <row r="199" spans="2:4">
      <c r="B199">
        <v>197</v>
      </c>
      <c r="C199" s="12" t="s">
        <v>212</v>
      </c>
    </row>
    <row r="200" spans="2:4">
      <c r="B200">
        <v>198</v>
      </c>
      <c r="C200" s="12" t="s">
        <v>204</v>
      </c>
    </row>
    <row r="201" spans="2:4">
      <c r="B201">
        <v>199</v>
      </c>
      <c r="C201" s="12" t="s">
        <v>334</v>
      </c>
    </row>
    <row r="202" spans="2:4">
      <c r="B202">
        <v>200</v>
      </c>
      <c r="C202" s="12" t="s">
        <v>202</v>
      </c>
    </row>
    <row r="203" spans="2:4">
      <c r="B203">
        <v>201</v>
      </c>
      <c r="C203" s="12" t="s">
        <v>335</v>
      </c>
    </row>
    <row r="204" spans="2:4">
      <c r="B204">
        <v>202</v>
      </c>
      <c r="C204" s="13" t="s">
        <v>336</v>
      </c>
    </row>
    <row r="205" spans="2:4">
      <c r="B205">
        <v>203</v>
      </c>
      <c r="C205" s="12" t="s">
        <v>337</v>
      </c>
      <c r="D205" t="s">
        <v>338</v>
      </c>
    </row>
    <row r="206" spans="2:4">
      <c r="B206">
        <v>204</v>
      </c>
      <c r="C206" s="12" t="s">
        <v>339</v>
      </c>
      <c r="D206" t="s">
        <v>339</v>
      </c>
    </row>
    <row r="207" spans="2:4">
      <c r="B207">
        <v>205</v>
      </c>
      <c r="C207" s="12" t="s">
        <v>340</v>
      </c>
      <c r="D207" s="12" t="s">
        <v>341</v>
      </c>
    </row>
    <row r="208" spans="2:4">
      <c r="B208">
        <v>206</v>
      </c>
      <c r="C208" t="s">
        <v>342</v>
      </c>
      <c r="D208" t="s">
        <v>343</v>
      </c>
    </row>
    <row r="209" spans="2:8">
      <c r="B209">
        <v>207</v>
      </c>
      <c r="C209" t="s">
        <v>344</v>
      </c>
      <c r="D209" t="s">
        <v>345</v>
      </c>
    </row>
    <row r="210" spans="2:8">
      <c r="B210">
        <v>208</v>
      </c>
      <c r="C210" s="12" t="s">
        <v>346</v>
      </c>
      <c r="D210" t="s">
        <v>347</v>
      </c>
    </row>
    <row r="211" spans="2:8">
      <c r="B211">
        <v>209</v>
      </c>
      <c r="C211" s="12" t="s">
        <v>202</v>
      </c>
      <c r="D211" t="s">
        <v>203</v>
      </c>
    </row>
    <row r="212" spans="2:8">
      <c r="B212">
        <v>210</v>
      </c>
      <c r="C212" s="12" t="s">
        <v>348</v>
      </c>
      <c r="D212" t="s">
        <v>349</v>
      </c>
    </row>
    <row r="213" spans="2:8">
      <c r="B213">
        <v>211</v>
      </c>
      <c r="C213" s="12" t="s">
        <v>350</v>
      </c>
      <c r="D213" t="s">
        <v>351</v>
      </c>
    </row>
    <row r="214" spans="2:8">
      <c r="B214">
        <v>212</v>
      </c>
      <c r="C214" s="12" t="s">
        <v>352</v>
      </c>
      <c r="D214" t="s">
        <v>353</v>
      </c>
    </row>
    <row r="215" spans="2:8">
      <c r="B215">
        <v>213</v>
      </c>
      <c r="C215" s="12" t="s">
        <v>354</v>
      </c>
      <c r="D215" t="s">
        <v>355</v>
      </c>
    </row>
    <row r="216" spans="2:8">
      <c r="B216">
        <v>214</v>
      </c>
      <c r="C216" s="12" t="s">
        <v>208</v>
      </c>
      <c r="D216" t="s">
        <v>209</v>
      </c>
    </row>
    <row r="217" spans="2:8">
      <c r="B217">
        <v>215</v>
      </c>
      <c r="C217" s="12" t="s">
        <v>214</v>
      </c>
      <c r="D217" t="s">
        <v>356</v>
      </c>
    </row>
    <row r="218" spans="2:8">
      <c r="B218">
        <v>216</v>
      </c>
      <c r="C218" s="12" t="s">
        <v>335</v>
      </c>
      <c r="D218" t="s">
        <v>357</v>
      </c>
    </row>
    <row r="219" spans="2:8">
      <c r="B219">
        <v>217</v>
      </c>
      <c r="C219" s="12" t="s">
        <v>358</v>
      </c>
      <c r="D219" t="s">
        <v>338</v>
      </c>
    </row>
    <row r="220" spans="2:8" ht="15" customHeight="1">
      <c r="B220">
        <v>218</v>
      </c>
      <c r="C220" s="12" t="s">
        <v>359</v>
      </c>
      <c r="D220" s="12" t="s">
        <v>360</v>
      </c>
      <c r="E220" s="12"/>
      <c r="F220" s="12"/>
      <c r="G220" s="12"/>
      <c r="H220" s="12"/>
    </row>
    <row r="221" spans="2:8" ht="15" customHeight="1">
      <c r="B221">
        <v>219</v>
      </c>
      <c r="C221" t="s">
        <v>361</v>
      </c>
      <c r="D221" t="s">
        <v>362</v>
      </c>
    </row>
    <row r="222" spans="2:8">
      <c r="B222">
        <v>220</v>
      </c>
      <c r="C222" t="s">
        <v>363</v>
      </c>
      <c r="D222" t="s">
        <v>364</v>
      </c>
    </row>
    <row r="223" spans="2:8">
      <c r="B223">
        <v>221</v>
      </c>
      <c r="C223" t="s">
        <v>365</v>
      </c>
      <c r="D223" t="s">
        <v>366</v>
      </c>
    </row>
    <row r="224" spans="2:8">
      <c r="B224">
        <v>222</v>
      </c>
      <c r="C224" t="s">
        <v>367</v>
      </c>
      <c r="D224" t="s">
        <v>367</v>
      </c>
    </row>
    <row r="225" spans="2:4">
      <c r="B225">
        <v>223</v>
      </c>
      <c r="C225" t="s">
        <v>368</v>
      </c>
      <c r="D225" t="s">
        <v>369</v>
      </c>
    </row>
    <row r="226" spans="2:4">
      <c r="B226">
        <v>224</v>
      </c>
      <c r="C226" t="s">
        <v>370</v>
      </c>
      <c r="D226" t="s">
        <v>371</v>
      </c>
    </row>
    <row r="227" spans="2:4">
      <c r="B227">
        <v>225</v>
      </c>
      <c r="C227" t="s">
        <v>372</v>
      </c>
      <c r="D227" t="s">
        <v>373</v>
      </c>
    </row>
    <row r="228" spans="2:4">
      <c r="B228">
        <v>226</v>
      </c>
      <c r="C228" t="s">
        <v>374</v>
      </c>
      <c r="D228" t="s">
        <v>375</v>
      </c>
    </row>
    <row r="229" spans="2:4">
      <c r="B229">
        <v>227</v>
      </c>
      <c r="C229" s="11" t="s">
        <v>192</v>
      </c>
      <c r="D229" t="s">
        <v>193</v>
      </c>
    </row>
    <row r="230" spans="2:4">
      <c r="B230">
        <v>228</v>
      </c>
      <c r="C230" t="s">
        <v>376</v>
      </c>
      <c r="D230" t="s">
        <v>377</v>
      </c>
    </row>
    <row r="231" spans="2:4">
      <c r="B231">
        <v>229</v>
      </c>
      <c r="C231" t="s">
        <v>378</v>
      </c>
      <c r="D231" t="s">
        <v>379</v>
      </c>
    </row>
    <row r="232" spans="2:4">
      <c r="B232">
        <v>230</v>
      </c>
      <c r="C232" s="13" t="s">
        <v>7</v>
      </c>
      <c r="D232" t="s">
        <v>8</v>
      </c>
    </row>
    <row r="233" spans="2:4">
      <c r="B233">
        <v>231</v>
      </c>
      <c r="C233" s="12" t="s">
        <v>380</v>
      </c>
      <c r="D233" t="s">
        <v>381</v>
      </c>
    </row>
    <row r="234" spans="2:4">
      <c r="B234">
        <v>232</v>
      </c>
      <c r="C234" s="12" t="s">
        <v>16</v>
      </c>
      <c r="D234" t="s">
        <v>17</v>
      </c>
    </row>
    <row r="235" spans="2:4">
      <c r="B235">
        <v>233</v>
      </c>
      <c r="C235" s="12" t="s">
        <v>382</v>
      </c>
      <c r="D235" t="s">
        <v>383</v>
      </c>
    </row>
    <row r="236" spans="2:4">
      <c r="B236">
        <v>234</v>
      </c>
      <c r="C236" s="12" t="s">
        <v>384</v>
      </c>
      <c r="D236" t="s">
        <v>385</v>
      </c>
    </row>
    <row r="237" spans="2:4">
      <c r="B237">
        <v>235</v>
      </c>
      <c r="C237" s="12" t="s">
        <v>22</v>
      </c>
      <c r="D237" t="s">
        <v>22</v>
      </c>
    </row>
    <row r="238" spans="2:4">
      <c r="B238">
        <v>236</v>
      </c>
      <c r="C238" s="12" t="s">
        <v>386</v>
      </c>
      <c r="D238" t="s">
        <v>387</v>
      </c>
    </row>
    <row r="239" spans="2:4">
      <c r="B239">
        <v>237</v>
      </c>
      <c r="C239" s="12" t="s">
        <v>24</v>
      </c>
      <c r="D239" t="s">
        <v>24</v>
      </c>
    </row>
    <row r="240" spans="2:4">
      <c r="B240">
        <v>238</v>
      </c>
      <c r="C240" s="12" t="s">
        <v>388</v>
      </c>
      <c r="D240" t="s">
        <v>28</v>
      </c>
    </row>
    <row r="241" spans="2:4">
      <c r="B241">
        <v>239</v>
      </c>
      <c r="C241" s="12" t="s">
        <v>389</v>
      </c>
      <c r="D241" t="s">
        <v>390</v>
      </c>
    </row>
    <row r="242" spans="2:4">
      <c r="B242">
        <v>240</v>
      </c>
      <c r="C242" s="12" t="s">
        <v>391</v>
      </c>
      <c r="D242" t="s">
        <v>392</v>
      </c>
    </row>
    <row r="243" spans="2:4">
      <c r="B243">
        <v>241</v>
      </c>
      <c r="C243" s="12" t="s">
        <v>393</v>
      </c>
      <c r="D243" t="s">
        <v>394</v>
      </c>
    </row>
    <row r="244" spans="2:4">
      <c r="B244">
        <v>242</v>
      </c>
      <c r="C244" s="12" t="s">
        <v>395</v>
      </c>
      <c r="D244" t="s">
        <v>396</v>
      </c>
    </row>
    <row r="245" spans="2:4">
      <c r="B245">
        <v>243</v>
      </c>
      <c r="C245" t="s">
        <v>397</v>
      </c>
      <c r="D245" t="s">
        <v>398</v>
      </c>
    </row>
    <row r="246" spans="2:4">
      <c r="B246">
        <v>244</v>
      </c>
      <c r="C246" t="s">
        <v>399</v>
      </c>
      <c r="D246" t="s">
        <v>400</v>
      </c>
    </row>
    <row r="247" spans="2:4" ht="15.5">
      <c r="B247">
        <v>245</v>
      </c>
      <c r="C247" s="6" t="s">
        <v>401</v>
      </c>
      <c r="D247" s="6" t="s">
        <v>402</v>
      </c>
    </row>
    <row r="248" spans="2:4">
      <c r="B248">
        <v>246</v>
      </c>
      <c r="C248" s="12" t="s">
        <v>403</v>
      </c>
      <c r="D248" t="s">
        <v>403</v>
      </c>
    </row>
    <row r="249" spans="2:4">
      <c r="B249">
        <v>247</v>
      </c>
      <c r="C249" t="s">
        <v>404</v>
      </c>
      <c r="D249" t="s">
        <v>405</v>
      </c>
    </row>
    <row r="250" spans="2:4">
      <c r="B250">
        <v>248</v>
      </c>
      <c r="C250" t="s">
        <v>406</v>
      </c>
      <c r="D250" t="s">
        <v>407</v>
      </c>
    </row>
    <row r="251" spans="2:4">
      <c r="B251">
        <v>249</v>
      </c>
      <c r="C251" t="s">
        <v>408</v>
      </c>
      <c r="D251" t="s">
        <v>409</v>
      </c>
    </row>
    <row r="252" spans="2:4">
      <c r="B252">
        <v>250</v>
      </c>
      <c r="C252" t="s">
        <v>410</v>
      </c>
      <c r="D252" t="s">
        <v>411</v>
      </c>
    </row>
    <row r="253" spans="2:4">
      <c r="B253">
        <v>251</v>
      </c>
      <c r="C253" t="s">
        <v>412</v>
      </c>
      <c r="D253" t="s">
        <v>413</v>
      </c>
    </row>
    <row r="254" spans="2:4">
      <c r="B254">
        <v>252</v>
      </c>
      <c r="C254" t="s">
        <v>414</v>
      </c>
      <c r="D254" t="s">
        <v>415</v>
      </c>
    </row>
    <row r="255" spans="2:4">
      <c r="B255">
        <v>253</v>
      </c>
      <c r="C255" t="s">
        <v>416</v>
      </c>
      <c r="D255" t="s">
        <v>417</v>
      </c>
    </row>
    <row r="256" spans="2:4">
      <c r="B256">
        <v>254</v>
      </c>
      <c r="C256" t="s">
        <v>418</v>
      </c>
      <c r="D256" t="s">
        <v>419</v>
      </c>
    </row>
    <row r="257" spans="2:4">
      <c r="B257">
        <v>255</v>
      </c>
      <c r="C257" t="s">
        <v>420</v>
      </c>
      <c r="D257" t="s">
        <v>421</v>
      </c>
    </row>
    <row r="258" spans="2:4">
      <c r="B258">
        <v>256</v>
      </c>
      <c r="C258" t="s">
        <v>422</v>
      </c>
      <c r="D258" t="s">
        <v>423</v>
      </c>
    </row>
    <row r="259" spans="2:4">
      <c r="B259">
        <v>257</v>
      </c>
      <c r="C259" t="s">
        <v>424</v>
      </c>
      <c r="D259" t="s">
        <v>425</v>
      </c>
    </row>
    <row r="260" spans="2:4">
      <c r="B260">
        <v>258</v>
      </c>
      <c r="C260" t="s">
        <v>426</v>
      </c>
      <c r="D260" t="s">
        <v>427</v>
      </c>
    </row>
    <row r="261" spans="2:4">
      <c r="B261">
        <v>259</v>
      </c>
      <c r="C261" t="s">
        <v>428</v>
      </c>
      <c r="D261" t="s">
        <v>429</v>
      </c>
    </row>
    <row r="262" spans="2:4">
      <c r="B262">
        <v>260</v>
      </c>
      <c r="C262" t="s">
        <v>430</v>
      </c>
      <c r="D262" t="s">
        <v>431</v>
      </c>
    </row>
    <row r="263" spans="2:4">
      <c r="B263">
        <v>261</v>
      </c>
      <c r="C263" t="s">
        <v>432</v>
      </c>
      <c r="D263" t="s">
        <v>433</v>
      </c>
    </row>
    <row r="264" spans="2:4">
      <c r="B264">
        <v>262</v>
      </c>
      <c r="C264" t="s">
        <v>434</v>
      </c>
      <c r="D264" t="s">
        <v>435</v>
      </c>
    </row>
    <row r="265" spans="2:4">
      <c r="B265">
        <v>263</v>
      </c>
      <c r="C265" t="s">
        <v>436</v>
      </c>
      <c r="D265" t="s">
        <v>437</v>
      </c>
    </row>
    <row r="266" spans="2:4">
      <c r="B266">
        <v>264</v>
      </c>
      <c r="C266" t="s">
        <v>438</v>
      </c>
      <c r="D266" t="s">
        <v>439</v>
      </c>
    </row>
    <row r="267" spans="2:4" ht="15" customHeight="1">
      <c r="B267">
        <v>265</v>
      </c>
      <c r="C267" t="s">
        <v>440</v>
      </c>
      <c r="D267" t="s">
        <v>441</v>
      </c>
    </row>
    <row r="268" spans="2:4">
      <c r="B268">
        <v>266</v>
      </c>
      <c r="C268" t="s">
        <v>442</v>
      </c>
      <c r="D268" t="s">
        <v>443</v>
      </c>
    </row>
    <row r="269" spans="2:4">
      <c r="B269">
        <v>267</v>
      </c>
      <c r="C269" t="s">
        <v>444</v>
      </c>
      <c r="D269" t="s">
        <v>445</v>
      </c>
    </row>
    <row r="270" spans="2:4">
      <c r="B270">
        <v>268</v>
      </c>
      <c r="C270" t="s">
        <v>446</v>
      </c>
      <c r="D270" t="s">
        <v>447</v>
      </c>
    </row>
    <row r="271" spans="2:4">
      <c r="B271">
        <v>269</v>
      </c>
      <c r="C271" t="s">
        <v>448</v>
      </c>
      <c r="D271" t="s">
        <v>449</v>
      </c>
    </row>
    <row r="272" spans="2:4">
      <c r="B272">
        <v>270</v>
      </c>
      <c r="C272" t="s">
        <v>450</v>
      </c>
      <c r="D272" t="s">
        <v>451</v>
      </c>
    </row>
    <row r="273" spans="2:4">
      <c r="B273">
        <v>271</v>
      </c>
      <c r="C273" t="s">
        <v>452</v>
      </c>
      <c r="D273" t="s">
        <v>453</v>
      </c>
    </row>
    <row r="274" spans="2:4">
      <c r="B274">
        <v>272</v>
      </c>
      <c r="C274" t="s">
        <v>454</v>
      </c>
      <c r="D274" t="s">
        <v>455</v>
      </c>
    </row>
    <row r="275" spans="2:4">
      <c r="B275">
        <v>273</v>
      </c>
      <c r="C275" s="24" t="s">
        <v>456</v>
      </c>
      <c r="D275" s="24" t="s">
        <v>457</v>
      </c>
    </row>
    <row r="276" spans="2:4" ht="15.5">
      <c r="B276">
        <v>274</v>
      </c>
      <c r="C276" s="25" t="s">
        <v>458</v>
      </c>
      <c r="D276" t="s">
        <v>459</v>
      </c>
    </row>
    <row r="277" spans="2:4">
      <c r="B277">
        <v>275</v>
      </c>
      <c r="C277" s="25" t="s">
        <v>460</v>
      </c>
      <c r="D277" t="s">
        <v>461</v>
      </c>
    </row>
    <row r="278" spans="2:4">
      <c r="B278">
        <v>276</v>
      </c>
      <c r="C278" s="25" t="s">
        <v>462</v>
      </c>
      <c r="D278" t="s">
        <v>463</v>
      </c>
    </row>
    <row r="279" spans="2:4">
      <c r="B279">
        <v>277</v>
      </c>
      <c r="C279" s="25" t="s">
        <v>464</v>
      </c>
      <c r="D279" t="s">
        <v>465</v>
      </c>
    </row>
    <row r="280" spans="2:4">
      <c r="B280">
        <v>278</v>
      </c>
      <c r="C280" s="25" t="s">
        <v>466</v>
      </c>
      <c r="D280" t="s">
        <v>467</v>
      </c>
    </row>
    <row r="281" spans="2:4">
      <c r="B281">
        <v>279</v>
      </c>
      <c r="C281" s="25" t="s">
        <v>468</v>
      </c>
      <c r="D281" t="s">
        <v>469</v>
      </c>
    </row>
    <row r="282" spans="2:4" ht="15.5">
      <c r="B282">
        <v>280</v>
      </c>
      <c r="C282" s="6" t="s">
        <v>470</v>
      </c>
      <c r="D282" s="6" t="s">
        <v>470</v>
      </c>
    </row>
    <row r="283" spans="2:4">
      <c r="B283">
        <v>281</v>
      </c>
      <c r="C283" s="25" t="s">
        <v>471</v>
      </c>
      <c r="D283" t="s">
        <v>472</v>
      </c>
    </row>
    <row r="284" spans="2:4" ht="15.5">
      <c r="B284">
        <v>282</v>
      </c>
      <c r="C284" s="6" t="s">
        <v>473</v>
      </c>
      <c r="D284" t="s">
        <v>474</v>
      </c>
    </row>
    <row r="285" spans="2:4" ht="15.5">
      <c r="B285">
        <v>283</v>
      </c>
      <c r="C285" s="6" t="s">
        <v>27</v>
      </c>
      <c r="D285" s="6" t="s">
        <v>475</v>
      </c>
    </row>
    <row r="286" spans="2:4" ht="15.5">
      <c r="B286">
        <v>284</v>
      </c>
      <c r="C286" s="6" t="s">
        <v>476</v>
      </c>
      <c r="D286" t="s">
        <v>477</v>
      </c>
    </row>
    <row r="287" spans="2:4" ht="15.5">
      <c r="B287">
        <v>285</v>
      </c>
      <c r="C287" s="6" t="s">
        <v>478</v>
      </c>
      <c r="D287" s="12" t="s">
        <v>479</v>
      </c>
    </row>
    <row r="288" spans="2:4" ht="15.5">
      <c r="B288">
        <v>286</v>
      </c>
      <c r="C288" s="6" t="s">
        <v>480</v>
      </c>
      <c r="D288" s="12" t="s">
        <v>481</v>
      </c>
    </row>
    <row r="289" spans="2:11" ht="15.5">
      <c r="B289">
        <v>287</v>
      </c>
      <c r="C289" s="6" t="s">
        <v>482</v>
      </c>
      <c r="D289" s="13" t="s">
        <v>483</v>
      </c>
    </row>
    <row r="290" spans="2:11" ht="15.5">
      <c r="B290">
        <v>288</v>
      </c>
      <c r="C290" s="6" t="s">
        <v>484</v>
      </c>
      <c r="D290" s="13" t="s">
        <v>485</v>
      </c>
    </row>
    <row r="291" spans="2:11" ht="15.5">
      <c r="B291">
        <v>289</v>
      </c>
      <c r="C291" s="6" t="s">
        <v>486</v>
      </c>
      <c r="D291" s="12" t="s">
        <v>487</v>
      </c>
    </row>
    <row r="292" spans="2:11" ht="15.5">
      <c r="B292">
        <v>290</v>
      </c>
      <c r="C292" s="6" t="s">
        <v>488</v>
      </c>
      <c r="D292" s="12" t="s">
        <v>489</v>
      </c>
    </row>
    <row r="293" spans="2:11" ht="15.5">
      <c r="B293">
        <v>291</v>
      </c>
      <c r="C293" s="6" t="s">
        <v>490</v>
      </c>
      <c r="D293" s="13" t="s">
        <v>491</v>
      </c>
    </row>
    <row r="294" spans="2:11" ht="15.5">
      <c r="B294">
        <v>292</v>
      </c>
      <c r="C294" s="6" t="s">
        <v>492</v>
      </c>
      <c r="D294" s="12" t="s">
        <v>493</v>
      </c>
    </row>
    <row r="295" spans="2:11" ht="15.5">
      <c r="B295">
        <v>293</v>
      </c>
      <c r="C295" s="6" t="s">
        <v>494</v>
      </c>
      <c r="D295" s="12" t="s">
        <v>495</v>
      </c>
    </row>
    <row r="296" spans="2:11" ht="15.5">
      <c r="B296">
        <v>294</v>
      </c>
      <c r="C296" s="6" t="s">
        <v>496</v>
      </c>
      <c r="D296" s="13" t="s">
        <v>497</v>
      </c>
    </row>
    <row r="297" spans="2:11" ht="15.5">
      <c r="B297">
        <v>295</v>
      </c>
      <c r="C297" s="6" t="s">
        <v>498</v>
      </c>
      <c r="D297" s="6" t="s">
        <v>499</v>
      </c>
    </row>
    <row r="298" spans="2:11">
      <c r="B298">
        <v>296</v>
      </c>
      <c r="C298" s="12" t="s">
        <v>500</v>
      </c>
      <c r="D298" t="s">
        <v>501</v>
      </c>
    </row>
    <row r="299" spans="2:11">
      <c r="B299">
        <v>297</v>
      </c>
      <c r="C299" t="s">
        <v>502</v>
      </c>
      <c r="D299" t="s">
        <v>503</v>
      </c>
      <c r="E299" s="26"/>
      <c r="F299" s="26"/>
      <c r="G299" s="26"/>
      <c r="H299" s="26"/>
      <c r="I299" s="26"/>
      <c r="J299" s="26"/>
      <c r="K299" s="26"/>
    </row>
    <row r="300" spans="2:11">
      <c r="B300">
        <v>298</v>
      </c>
      <c r="C300" t="s">
        <v>504</v>
      </c>
      <c r="D300" t="s">
        <v>505</v>
      </c>
    </row>
    <row r="301" spans="2:11" ht="15.5">
      <c r="B301">
        <v>299</v>
      </c>
      <c r="C301" s="6" t="s">
        <v>506</v>
      </c>
      <c r="D301" t="s">
        <v>507</v>
      </c>
    </row>
    <row r="302" spans="2:11" ht="15.5">
      <c r="B302">
        <v>300</v>
      </c>
      <c r="C302" s="6" t="s">
        <v>508</v>
      </c>
      <c r="D302" s="6" t="s">
        <v>509</v>
      </c>
    </row>
    <row r="303" spans="2:11">
      <c r="B303">
        <v>301</v>
      </c>
      <c r="C303" t="s">
        <v>510</v>
      </c>
      <c r="D303" t="s">
        <v>511</v>
      </c>
    </row>
    <row r="304" spans="2:11">
      <c r="B304">
        <v>302</v>
      </c>
      <c r="C304" t="s">
        <v>512</v>
      </c>
      <c r="D304" t="s">
        <v>513</v>
      </c>
    </row>
    <row r="305" spans="2:4" ht="15.5">
      <c r="B305">
        <v>303</v>
      </c>
      <c r="C305" s="27" t="s">
        <v>514</v>
      </c>
      <c r="D305" s="27" t="s">
        <v>515</v>
      </c>
    </row>
    <row r="306" spans="2:4" ht="15.5">
      <c r="B306">
        <v>304</v>
      </c>
      <c r="C306" s="25" t="s">
        <v>516</v>
      </c>
      <c r="D306" t="s">
        <v>517</v>
      </c>
    </row>
    <row r="307" spans="2:4">
      <c r="B307">
        <v>305</v>
      </c>
      <c r="C307" t="s">
        <v>518</v>
      </c>
      <c r="D307" t="s">
        <v>519</v>
      </c>
    </row>
    <row r="308" spans="2:4">
      <c r="B308">
        <v>306</v>
      </c>
      <c r="C308" t="s">
        <v>520</v>
      </c>
      <c r="D308" t="s">
        <v>521</v>
      </c>
    </row>
    <row r="309" spans="2:4">
      <c r="B309">
        <v>307</v>
      </c>
      <c r="C309" t="s">
        <v>522</v>
      </c>
      <c r="D309" t="s">
        <v>523</v>
      </c>
    </row>
    <row r="310" spans="2:4">
      <c r="B310">
        <v>308</v>
      </c>
      <c r="C310" t="s">
        <v>524</v>
      </c>
      <c r="D310" t="s">
        <v>525</v>
      </c>
    </row>
    <row r="311" spans="2:4" ht="15.5">
      <c r="B311">
        <v>309</v>
      </c>
      <c r="C311" s="25" t="s">
        <v>526</v>
      </c>
      <c r="D311" t="s">
        <v>527</v>
      </c>
    </row>
    <row r="312" spans="2:4" ht="15.5">
      <c r="B312">
        <v>310</v>
      </c>
      <c r="C312" s="25" t="s">
        <v>528</v>
      </c>
      <c r="D312" t="s">
        <v>529</v>
      </c>
    </row>
    <row r="313" spans="2:4">
      <c r="B313">
        <v>311</v>
      </c>
      <c r="C313" t="s">
        <v>530</v>
      </c>
      <c r="D313" t="s">
        <v>531</v>
      </c>
    </row>
    <row r="314" spans="2:4">
      <c r="B314">
        <v>312</v>
      </c>
      <c r="C314" t="s">
        <v>532</v>
      </c>
      <c r="D314" t="s">
        <v>533</v>
      </c>
    </row>
    <row r="315" spans="2:4">
      <c r="B315">
        <v>313</v>
      </c>
      <c r="C315" t="s">
        <v>534</v>
      </c>
      <c r="D315" t="s">
        <v>535</v>
      </c>
    </row>
    <row r="316" spans="2:4">
      <c r="B316">
        <v>314</v>
      </c>
      <c r="C316" t="s">
        <v>536</v>
      </c>
      <c r="D316" t="s">
        <v>537</v>
      </c>
    </row>
    <row r="317" spans="2:4">
      <c r="B317">
        <v>315</v>
      </c>
      <c r="C317" t="s">
        <v>538</v>
      </c>
      <c r="D317" t="s">
        <v>539</v>
      </c>
    </row>
    <row r="318" spans="2:4">
      <c r="B318">
        <v>316</v>
      </c>
      <c r="C318" t="s">
        <v>540</v>
      </c>
      <c r="D318" t="s">
        <v>541</v>
      </c>
    </row>
    <row r="319" spans="2:4">
      <c r="B319">
        <v>317</v>
      </c>
      <c r="C319" t="s">
        <v>542</v>
      </c>
      <c r="D319" t="s">
        <v>543</v>
      </c>
    </row>
    <row r="320" spans="2:4">
      <c r="B320">
        <v>318</v>
      </c>
      <c r="C320" t="s">
        <v>544</v>
      </c>
      <c r="D320" t="s">
        <v>505</v>
      </c>
    </row>
    <row r="321" spans="2:11">
      <c r="B321">
        <v>319</v>
      </c>
      <c r="C321" t="s">
        <v>545</v>
      </c>
      <c r="D321" t="s">
        <v>546</v>
      </c>
    </row>
    <row r="322" spans="2:11">
      <c r="B322">
        <v>320</v>
      </c>
      <c r="C322" t="s">
        <v>547</v>
      </c>
      <c r="D322" t="s">
        <v>548</v>
      </c>
    </row>
    <row r="323" spans="2:11">
      <c r="B323">
        <v>321</v>
      </c>
      <c r="C323" t="s">
        <v>549</v>
      </c>
      <c r="D323" t="s">
        <v>549</v>
      </c>
    </row>
    <row r="324" spans="2:11">
      <c r="B324">
        <v>322</v>
      </c>
      <c r="C324" t="s">
        <v>550</v>
      </c>
      <c r="D324" t="s">
        <v>550</v>
      </c>
    </row>
    <row r="325" spans="2:11">
      <c r="B325">
        <v>323</v>
      </c>
      <c r="C325" t="s">
        <v>551</v>
      </c>
      <c r="D325" t="s">
        <v>552</v>
      </c>
    </row>
    <row r="326" spans="2:11">
      <c r="B326">
        <v>324</v>
      </c>
      <c r="C326" t="s">
        <v>553</v>
      </c>
      <c r="D326" t="s">
        <v>554</v>
      </c>
    </row>
    <row r="327" spans="2:11" ht="29">
      <c r="B327">
        <v>325</v>
      </c>
      <c r="C327" s="28" t="s">
        <v>555</v>
      </c>
      <c r="D327" s="28" t="s">
        <v>556</v>
      </c>
      <c r="E327" s="29"/>
      <c r="F327" s="29"/>
      <c r="G327" s="29"/>
      <c r="H327" s="29"/>
      <c r="I327" s="29"/>
      <c r="J327" s="29"/>
      <c r="K327" s="29"/>
    </row>
    <row r="1000" spans="1:1">
      <c r="A1000" t="s">
        <v>557</v>
      </c>
    </row>
  </sheetData>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F8FD8-DF19-4C8D-A2AB-CAC047532E66}">
  <sheetPr>
    <tabColor theme="8"/>
  </sheetPr>
  <dimension ref="A1:I997"/>
  <sheetViews>
    <sheetView showGridLines="0" zoomScaleNormal="100" workbookViewId="0">
      <selection activeCell="I1" sqref="H1:I1048576"/>
    </sheetView>
  </sheetViews>
  <sheetFormatPr baseColWidth="10" defaultColWidth="11.453125" defaultRowHeight="14.5"/>
  <cols>
    <col min="1" max="1" width="62" customWidth="1"/>
    <col min="2" max="2" width="12.81640625" customWidth="1"/>
    <col min="3" max="3" width="13" customWidth="1"/>
    <col min="8" max="9" width="0" hidden="1" customWidth="1"/>
  </cols>
  <sheetData>
    <row r="1" spans="1:9" ht="17">
      <c r="A1" s="56" t="str">
        <f>HLOOKUP(INDICE!$F$2,Nombres!$C$3:$D$636,15,FALSE)</f>
        <v>Chile</v>
      </c>
      <c r="B1" s="57"/>
      <c r="C1" s="57"/>
      <c r="D1" s="57"/>
      <c r="E1" s="57"/>
      <c r="F1" s="57"/>
      <c r="G1" s="57"/>
      <c r="H1" s="57"/>
      <c r="I1" s="57"/>
    </row>
    <row r="2" spans="1:9" ht="19.5">
      <c r="A2" s="58"/>
      <c r="B2" s="57"/>
      <c r="C2" s="57"/>
      <c r="D2" s="57"/>
      <c r="E2" s="57"/>
      <c r="F2" s="57"/>
      <c r="G2" s="57"/>
      <c r="H2" s="57"/>
      <c r="I2" s="57"/>
    </row>
    <row r="3" spans="1:9" ht="17">
      <c r="A3" s="59" t="str">
        <f>HLOOKUP(INDICE!$F$2,Nombres!$C$3:$D$636,31,FALSE)</f>
        <v xml:space="preserve">Income statement  </v>
      </c>
      <c r="B3" s="60"/>
      <c r="C3" s="60"/>
      <c r="D3" s="60"/>
      <c r="E3" s="60"/>
      <c r="F3" s="60"/>
      <c r="G3" s="60"/>
      <c r="H3" s="60"/>
      <c r="I3" s="60"/>
    </row>
    <row r="4" spans="1:9">
      <c r="A4" s="9" t="str">
        <f>HLOOKUP(INDICE!$F$2,Nombres!$C$3:$D$636,32,FALSE)</f>
        <v>(Million euros)</v>
      </c>
      <c r="B4" s="57"/>
      <c r="C4" s="61"/>
      <c r="D4" s="61"/>
      <c r="E4" s="61"/>
      <c r="F4" s="57"/>
      <c r="G4" s="57"/>
      <c r="H4" s="57"/>
      <c r="I4" s="57"/>
    </row>
    <row r="5" spans="1:9">
      <c r="A5" s="62"/>
      <c r="B5" s="57"/>
      <c r="C5" s="61"/>
      <c r="D5" s="61"/>
      <c r="E5" s="61"/>
      <c r="F5" s="57"/>
      <c r="G5" s="57"/>
      <c r="H5" s="57"/>
      <c r="I5" s="57"/>
    </row>
    <row r="6" spans="1:9">
      <c r="A6" s="63"/>
      <c r="B6" s="257">
        <f>+España!B6</f>
        <v>2025</v>
      </c>
      <c r="C6" s="257"/>
      <c r="D6" s="257"/>
      <c r="E6" s="258"/>
      <c r="F6" s="257">
        <f>+España!F6</f>
        <v>2026</v>
      </c>
      <c r="G6" s="257"/>
      <c r="H6" s="257"/>
      <c r="I6" s="257"/>
    </row>
    <row r="7" spans="1:9">
      <c r="A7" s="63"/>
      <c r="B7" s="64" t="str">
        <f>+España!B7</f>
        <v>1Q</v>
      </c>
      <c r="C7" s="64" t="str">
        <f>+España!C7</f>
        <v>2Q</v>
      </c>
      <c r="D7" s="64" t="str">
        <f>+España!D7</f>
        <v>3Q</v>
      </c>
      <c r="E7" s="65" t="str">
        <f>+España!E7</f>
        <v>4Q</v>
      </c>
      <c r="F7" s="64" t="str">
        <f>+España!F7</f>
        <v>1Q</v>
      </c>
      <c r="G7" s="64" t="str">
        <f>+España!G7</f>
        <v>2Q</v>
      </c>
      <c r="H7" s="64" t="str">
        <f>+España!H7</f>
        <v>3Q</v>
      </c>
      <c r="I7" s="64" t="str">
        <f>+España!I7</f>
        <v>4Q</v>
      </c>
    </row>
    <row r="8" spans="1:9">
      <c r="A8" s="17" t="str">
        <f>HLOOKUP(INDICE!$F$2,Nombres!$C$3:$D$636,33,FALSE)</f>
        <v>Net interest income</v>
      </c>
      <c r="B8" s="67">
        <v>35.774999999999999</v>
      </c>
      <c r="C8" s="67">
        <v>36.613999999999997</v>
      </c>
      <c r="D8" s="67">
        <v>37.164000000000001</v>
      </c>
      <c r="E8" s="103">
        <v>42.386000000000003</v>
      </c>
      <c r="F8" s="67">
        <v>42.338000000000001</v>
      </c>
      <c r="G8" s="67">
        <v>42.396000000000001</v>
      </c>
      <c r="H8" s="67">
        <v>0</v>
      </c>
      <c r="I8" s="67">
        <v>0</v>
      </c>
    </row>
    <row r="9" spans="1:9">
      <c r="A9" s="7" t="str">
        <f>HLOOKUP(INDICE!$F$2,Nombres!$C$3:$D$636,34,FALSE)</f>
        <v>Net fees and commissions</v>
      </c>
      <c r="B9" s="70">
        <v>4.1100000000000003</v>
      </c>
      <c r="C9" s="70">
        <v>5.4420000000000002</v>
      </c>
      <c r="D9" s="70">
        <v>4.7279999999999998</v>
      </c>
      <c r="E9" s="71">
        <v>6.9530000000000003</v>
      </c>
      <c r="F9" s="70">
        <v>3.992</v>
      </c>
      <c r="G9" s="70">
        <v>5.3940000000000001</v>
      </c>
      <c r="H9" s="70">
        <v>0</v>
      </c>
      <c r="I9" s="70">
        <v>0</v>
      </c>
    </row>
    <row r="10" spans="1:9">
      <c r="A10" s="7" t="str">
        <f>HLOOKUP(INDICE!$F$2,Nombres!$C$3:$D$636,35,FALSE)</f>
        <v>Net trading income</v>
      </c>
      <c r="B10" s="70">
        <v>0.13600000000000001</v>
      </c>
      <c r="C10" s="70">
        <v>0.68</v>
      </c>
      <c r="D10" s="70">
        <v>0.46600000000000003</v>
      </c>
      <c r="E10" s="71">
        <v>0.10199999999999999</v>
      </c>
      <c r="F10" s="70">
        <v>-3.0000000000000001E-3</v>
      </c>
      <c r="G10" s="70">
        <v>0.248</v>
      </c>
      <c r="H10" s="70">
        <v>0</v>
      </c>
      <c r="I10" s="70">
        <v>0</v>
      </c>
    </row>
    <row r="11" spans="1:9">
      <c r="A11" s="7" t="str">
        <f>HLOOKUP(INDICE!$F$2,Nombres!$C$3:$D$636,36,FALSE)</f>
        <v>Other operating income and expenses</v>
      </c>
      <c r="B11" s="70">
        <v>-0.13400000000000001</v>
      </c>
      <c r="C11" s="70">
        <v>-0.499</v>
      </c>
      <c r="D11" s="70">
        <v>-0.223</v>
      </c>
      <c r="E11" s="71">
        <v>-0.74399999999999999</v>
      </c>
      <c r="F11" s="70">
        <v>-0.35799999999999998</v>
      </c>
      <c r="G11" s="70">
        <v>-0.59199999999999997</v>
      </c>
      <c r="H11" s="70">
        <v>0</v>
      </c>
      <c r="I11" s="70">
        <v>0</v>
      </c>
    </row>
    <row r="12" spans="1:9">
      <c r="A12" s="17" t="str">
        <f>HLOOKUP(INDICE!$F$2,Nombres!$C$3:$D$636,37,FALSE)</f>
        <v>Gross income</v>
      </c>
      <c r="B12" s="67">
        <f t="shared" ref="B12:C12" si="0">+SUM(B8:B11)</f>
        <v>39.887</v>
      </c>
      <c r="C12" s="67">
        <f t="shared" si="0"/>
        <v>42.236999999999995</v>
      </c>
      <c r="D12" s="67">
        <f t="shared" ref="D12:E12" si="1">+SUM(D8:D11)</f>
        <v>42.135000000000005</v>
      </c>
      <c r="E12" s="103">
        <f t="shared" si="1"/>
        <v>48.697000000000003</v>
      </c>
      <c r="F12" s="67">
        <f t="shared" ref="F12:I12" si="2">+SUM(F8:F11)</f>
        <v>45.969000000000001</v>
      </c>
      <c r="G12" s="67">
        <f t="shared" si="2"/>
        <v>47.445999999999998</v>
      </c>
      <c r="H12" s="67">
        <f t="shared" si="2"/>
        <v>0</v>
      </c>
      <c r="I12" s="67">
        <f t="shared" si="2"/>
        <v>0</v>
      </c>
    </row>
    <row r="13" spans="1:9">
      <c r="A13" s="7" t="str">
        <f>HLOOKUP(INDICE!$F$2,Nombres!$C$3:$D$636,38,FALSE)</f>
        <v>Operating expenses</v>
      </c>
      <c r="B13" s="70">
        <v>-15.391000752</v>
      </c>
      <c r="C13" s="70">
        <v>-15.001000751999999</v>
      </c>
      <c r="D13" s="70">
        <v>-14.669000752000001</v>
      </c>
      <c r="E13" s="71">
        <v>-15.360000751999999</v>
      </c>
      <c r="F13" s="70">
        <v>-16.862877993999998</v>
      </c>
      <c r="G13" s="70">
        <v>-15.814877994</v>
      </c>
      <c r="H13" s="70">
        <v>0</v>
      </c>
      <c r="I13" s="70">
        <v>0</v>
      </c>
    </row>
    <row r="14" spans="1:9">
      <c r="A14" s="7" t="str">
        <f>HLOOKUP(INDICE!$F$2,Nombres!$C$3:$D$636,39,FALSE)</f>
        <v xml:space="preserve">  Administration expenses</v>
      </c>
      <c r="B14" s="70">
        <v>-13.289000752</v>
      </c>
      <c r="C14" s="70">
        <v>-13.027000752000001</v>
      </c>
      <c r="D14" s="70">
        <v>-12.859000752</v>
      </c>
      <c r="E14" s="71">
        <v>-13.576000752000001</v>
      </c>
      <c r="F14" s="70">
        <v>-15.038877993999998</v>
      </c>
      <c r="G14" s="70">
        <v>-13.978877993999999</v>
      </c>
      <c r="H14" s="70">
        <v>0</v>
      </c>
      <c r="I14" s="70">
        <v>0</v>
      </c>
    </row>
    <row r="15" spans="1:9">
      <c r="A15" s="72" t="str">
        <f>HLOOKUP(INDICE!$F$2,Nombres!$C$3:$D$636,40,FALSE)</f>
        <v xml:space="preserve">  Personnel expenses</v>
      </c>
      <c r="B15" s="70">
        <v>-5.6260000000000003</v>
      </c>
      <c r="C15" s="70">
        <v>-6.3890000000000002</v>
      </c>
      <c r="D15" s="70">
        <v>-6.3760000000000003</v>
      </c>
      <c r="E15" s="71">
        <v>-7.0579999999999998</v>
      </c>
      <c r="F15" s="70">
        <v>-6.94</v>
      </c>
      <c r="G15" s="70">
        <v>-7.173</v>
      </c>
      <c r="H15" s="70">
        <v>0</v>
      </c>
      <c r="I15" s="70">
        <v>0</v>
      </c>
    </row>
    <row r="16" spans="1:9">
      <c r="A16" s="72" t="str">
        <f>HLOOKUP(INDICE!$F$2,Nombres!$C$3:$D$636,41,FALSE)</f>
        <v xml:space="preserve">  General and administrative expenses</v>
      </c>
      <c r="B16" s="70">
        <v>-7.6630007520000003</v>
      </c>
      <c r="C16" s="70">
        <v>-6.6380007519999999</v>
      </c>
      <c r="D16" s="70">
        <v>-6.4830007520000006</v>
      </c>
      <c r="E16" s="71">
        <v>-6.5180007520000007</v>
      </c>
      <c r="F16" s="70">
        <v>-8.0988779940000004</v>
      </c>
      <c r="G16" s="70">
        <v>-6.8058779940000003</v>
      </c>
      <c r="H16" s="70">
        <v>0</v>
      </c>
      <c r="I16" s="70">
        <v>0</v>
      </c>
    </row>
    <row r="17" spans="1:9">
      <c r="A17" s="7" t="str">
        <f>HLOOKUP(INDICE!$F$2,Nombres!$C$3:$D$636,42,FALSE)</f>
        <v xml:space="preserve">  Depreciation</v>
      </c>
      <c r="B17" s="70">
        <v>-2.1019999999999999</v>
      </c>
      <c r="C17" s="70">
        <v>-1.974</v>
      </c>
      <c r="D17" s="70">
        <v>-1.81</v>
      </c>
      <c r="E17" s="71">
        <v>-1.784</v>
      </c>
      <c r="F17" s="70">
        <v>-1.8240000000000001</v>
      </c>
      <c r="G17" s="70">
        <v>-1.8360000000000001</v>
      </c>
      <c r="H17" s="70">
        <v>0</v>
      </c>
      <c r="I17" s="70">
        <v>0</v>
      </c>
    </row>
    <row r="18" spans="1:9">
      <c r="A18" s="17" t="str">
        <f>HLOOKUP(INDICE!$F$2,Nombres!$C$3:$D$636,43,FALSE)</f>
        <v>Operating income</v>
      </c>
      <c r="B18" s="67">
        <f t="shared" ref="B18:I18" si="3">+B12+B13</f>
        <v>24.495999248</v>
      </c>
      <c r="C18" s="67">
        <f t="shared" si="3"/>
        <v>27.235999247999995</v>
      </c>
      <c r="D18" s="67">
        <f t="shared" si="3"/>
        <v>27.465999248000003</v>
      </c>
      <c r="E18" s="103">
        <f t="shared" si="3"/>
        <v>33.336999248000005</v>
      </c>
      <c r="F18" s="67">
        <f t="shared" si="3"/>
        <v>29.106122006000003</v>
      </c>
      <c r="G18" s="67">
        <f t="shared" si="3"/>
        <v>31.631122005999998</v>
      </c>
      <c r="H18" s="67">
        <f t="shared" si="3"/>
        <v>0</v>
      </c>
      <c r="I18" s="67">
        <f t="shared" si="3"/>
        <v>0</v>
      </c>
    </row>
    <row r="19" spans="1:9">
      <c r="A19" s="7" t="str">
        <f>HLOOKUP(INDICE!$F$2,Nombres!$C$3:$D$636,44,FALSE)</f>
        <v>Impaiment on financial assets not measured at fair value through profit or loss</v>
      </c>
      <c r="B19" s="70">
        <v>-16.353999999999999</v>
      </c>
      <c r="C19" s="70">
        <v>-14.936</v>
      </c>
      <c r="D19" s="70">
        <v>-12.417</v>
      </c>
      <c r="E19" s="71">
        <v>-19.021000000000001</v>
      </c>
      <c r="F19" s="70">
        <v>-15.734999999999999</v>
      </c>
      <c r="G19" s="70">
        <v>-19.861999999999998</v>
      </c>
      <c r="H19" s="70">
        <v>0</v>
      </c>
      <c r="I19" s="70">
        <v>0</v>
      </c>
    </row>
    <row r="20" spans="1:9">
      <c r="A20" s="7" t="str">
        <f>HLOOKUP(INDICE!$F$2,Nombres!$C$3:$D$636,45,FALSE)</f>
        <v>Provisions or reversal of provisions and other results</v>
      </c>
      <c r="B20" s="70">
        <v>-4.7E-2</v>
      </c>
      <c r="C20" s="70">
        <v>0.25600000000000001</v>
      </c>
      <c r="D20" s="70">
        <v>-1.5530000000000002</v>
      </c>
      <c r="E20" s="71">
        <v>-0.83599999999999997</v>
      </c>
      <c r="F20" s="70">
        <v>0.28500000000000003</v>
      </c>
      <c r="G20" s="70">
        <v>-0.39500000000000002</v>
      </c>
      <c r="H20" s="70">
        <v>0</v>
      </c>
      <c r="I20" s="70">
        <v>0</v>
      </c>
    </row>
    <row r="21" spans="1:9">
      <c r="A21" s="17" t="str">
        <f>HLOOKUP(INDICE!$F$2,Nombres!$C$3:$D$636,46,FALSE)</f>
        <v>Profit/(loss) before tax</v>
      </c>
      <c r="B21" s="67">
        <f t="shared" ref="B21:I21" si="4">+B18+B19+B20</f>
        <v>8.0949992480000006</v>
      </c>
      <c r="C21" s="67">
        <f t="shared" si="4"/>
        <v>12.555999247999996</v>
      </c>
      <c r="D21" s="67">
        <f t="shared" si="4"/>
        <v>13.495999248000002</v>
      </c>
      <c r="E21" s="103">
        <f t="shared" si="4"/>
        <v>13.479999248000004</v>
      </c>
      <c r="F21" s="67">
        <f t="shared" si="4"/>
        <v>13.656122006000004</v>
      </c>
      <c r="G21" s="67">
        <f t="shared" si="4"/>
        <v>11.374122006</v>
      </c>
      <c r="H21" s="67">
        <f t="shared" si="4"/>
        <v>0</v>
      </c>
      <c r="I21" s="67">
        <f t="shared" si="4"/>
        <v>0</v>
      </c>
    </row>
    <row r="22" spans="1:9">
      <c r="A22" s="7" t="str">
        <f>HLOOKUP(INDICE!$F$2,Nombres!$C$3:$D$636,47,FALSE)</f>
        <v>Income tax</v>
      </c>
      <c r="B22" s="70">
        <v>-1.4562997744000001</v>
      </c>
      <c r="C22" s="70">
        <v>-1.8242997743999998</v>
      </c>
      <c r="D22" s="70">
        <v>-3.6222997744000001</v>
      </c>
      <c r="E22" s="71">
        <v>-3.5152997743999999</v>
      </c>
      <c r="F22" s="70">
        <v>-3.4520366018000002</v>
      </c>
      <c r="G22" s="70">
        <v>2.5969633981999998</v>
      </c>
      <c r="H22" s="70">
        <v>0</v>
      </c>
      <c r="I22" s="70">
        <v>0</v>
      </c>
    </row>
    <row r="23" spans="1:9">
      <c r="A23" s="17" t="str">
        <f>HLOOKUP(INDICE!$F$2,Nombres!$C$3:$D$636,48,FALSE)</f>
        <v>Profit/(loss) for the year</v>
      </c>
      <c r="B23" s="67">
        <f t="shared" ref="B23:I23" si="5">+B21+B22</f>
        <v>6.6386994736000009</v>
      </c>
      <c r="C23" s="67">
        <f t="shared" si="5"/>
        <v>10.731699473599996</v>
      </c>
      <c r="D23" s="67">
        <f t="shared" si="5"/>
        <v>9.8736994736000021</v>
      </c>
      <c r="E23" s="103">
        <f t="shared" si="5"/>
        <v>9.9646994736000032</v>
      </c>
      <c r="F23" s="67">
        <f t="shared" si="5"/>
        <v>10.204085404200004</v>
      </c>
      <c r="G23" s="67">
        <f t="shared" si="5"/>
        <v>13.9710854042</v>
      </c>
      <c r="H23" s="67">
        <f t="shared" si="5"/>
        <v>0</v>
      </c>
      <c r="I23" s="67">
        <f t="shared" si="5"/>
        <v>0</v>
      </c>
    </row>
    <row r="24" spans="1:9">
      <c r="A24" s="7" t="str">
        <f>HLOOKUP(INDICE!$F$2,Nombres!$C$3:$D$636,49,FALSE)</f>
        <v>Non-controlling interests</v>
      </c>
      <c r="B24" s="70">
        <v>0</v>
      </c>
      <c r="C24" s="70">
        <v>0</v>
      </c>
      <c r="D24" s="70">
        <v>0</v>
      </c>
      <c r="E24" s="71">
        <v>0</v>
      </c>
      <c r="F24" s="70">
        <v>0</v>
      </c>
      <c r="G24" s="70">
        <v>0</v>
      </c>
      <c r="H24" s="70">
        <v>0</v>
      </c>
      <c r="I24" s="70">
        <v>0</v>
      </c>
    </row>
    <row r="25" spans="1:9">
      <c r="A25" s="18" t="str">
        <f>HLOOKUP(INDICE!$F$2,Nombres!$C$3:$D$636,50,FALSE)</f>
        <v>Net attributable profit</v>
      </c>
      <c r="B25" s="88">
        <f t="shared" ref="B25:I25" si="6">+B23+B24</f>
        <v>6.6386994736000009</v>
      </c>
      <c r="C25" s="88">
        <f t="shared" si="6"/>
        <v>10.731699473599996</v>
      </c>
      <c r="D25" s="88">
        <f t="shared" si="6"/>
        <v>9.8736994736000021</v>
      </c>
      <c r="E25" s="100">
        <f t="shared" si="6"/>
        <v>9.9646994736000032</v>
      </c>
      <c r="F25" s="88">
        <f t="shared" si="6"/>
        <v>10.204085404200004</v>
      </c>
      <c r="G25" s="88">
        <f t="shared" si="6"/>
        <v>13.9710854042</v>
      </c>
      <c r="H25" s="88">
        <f t="shared" si="6"/>
        <v>0</v>
      </c>
      <c r="I25" s="88">
        <f t="shared" si="6"/>
        <v>0</v>
      </c>
    </row>
    <row r="26" spans="1:9">
      <c r="A26" s="104"/>
      <c r="B26" s="93">
        <v>0</v>
      </c>
      <c r="C26" s="93">
        <v>0</v>
      </c>
      <c r="D26" s="93">
        <v>0</v>
      </c>
      <c r="E26" s="93">
        <v>0</v>
      </c>
      <c r="F26" s="93">
        <v>0</v>
      </c>
      <c r="G26" s="93">
        <v>0</v>
      </c>
      <c r="H26" s="93">
        <v>0</v>
      </c>
      <c r="I26" s="93">
        <v>0</v>
      </c>
    </row>
    <row r="27" spans="1:9">
      <c r="A27" s="17"/>
      <c r="B27" s="17"/>
      <c r="C27" s="17"/>
      <c r="D27" s="17"/>
      <c r="E27" s="17"/>
      <c r="F27" s="17"/>
      <c r="G27" s="17"/>
      <c r="H27" s="17"/>
      <c r="I27" s="17"/>
    </row>
    <row r="28" spans="1:9" ht="17">
      <c r="A28" s="59" t="str">
        <f>HLOOKUP(INDICE!$F$2,Nombres!$C$3:$D$636,51,FALSE)</f>
        <v>Balance sheets</v>
      </c>
      <c r="B28" s="60"/>
      <c r="C28" s="60"/>
      <c r="D28" s="60"/>
      <c r="E28" s="60"/>
      <c r="F28" s="60"/>
      <c r="G28" s="60"/>
      <c r="H28" s="60"/>
      <c r="I28" s="60"/>
    </row>
    <row r="29" spans="1:9">
      <c r="A29" s="9" t="str">
        <f>HLOOKUP(INDICE!$F$2,Nombres!$C$3:$D$636,32,FALSE)</f>
        <v>(Million euros)</v>
      </c>
      <c r="B29" s="57"/>
      <c r="C29" s="78"/>
      <c r="D29" s="78"/>
      <c r="E29" s="78"/>
      <c r="F29" s="57"/>
      <c r="G29" s="79"/>
      <c r="H29" s="79"/>
      <c r="I29" s="79"/>
    </row>
    <row r="30" spans="1:9">
      <c r="A30" s="57"/>
      <c r="B30" s="80">
        <f>+España!B32</f>
        <v>45747</v>
      </c>
      <c r="C30" s="80">
        <f>+España!C32</f>
        <v>45838</v>
      </c>
      <c r="D30" s="80">
        <f>+España!D32</f>
        <v>45930</v>
      </c>
      <c r="E30" s="92">
        <f>+España!E32</f>
        <v>46022</v>
      </c>
      <c r="F30" s="94">
        <f>+España!F32</f>
        <v>46112</v>
      </c>
      <c r="G30" s="94">
        <f>+España!G32</f>
        <v>46203</v>
      </c>
      <c r="H30" s="94">
        <f>+España!H32</f>
        <v>46295</v>
      </c>
      <c r="I30" s="94">
        <f>+España!I32</f>
        <v>46387</v>
      </c>
    </row>
    <row r="31" spans="1:9">
      <c r="A31" s="7" t="str">
        <f>HLOOKUP(INDICE!$F$2,Nombres!$C$3:$D$636,52,FALSE)</f>
        <v>Cash, cash balances at central banks and other demand deposits</v>
      </c>
      <c r="B31" s="70">
        <v>22.748999999999999</v>
      </c>
      <c r="C31" s="70">
        <v>45.284999999999997</v>
      </c>
      <c r="D31" s="70">
        <v>62.965000000000003</v>
      </c>
      <c r="E31" s="71">
        <v>43.92</v>
      </c>
      <c r="F31" s="70">
        <v>27.585000000000001</v>
      </c>
      <c r="G31" s="70">
        <v>38.158999999999999</v>
      </c>
      <c r="H31" s="70">
        <v>0</v>
      </c>
      <c r="I31" s="70">
        <v>0</v>
      </c>
    </row>
    <row r="32" spans="1:9">
      <c r="A32" s="7" t="str">
        <f>HLOOKUP(INDICE!$F$2,Nombres!$C$3:$D$636,53,FALSE)</f>
        <v xml:space="preserve">Financial assets designated at fair value </v>
      </c>
      <c r="B32" s="79">
        <v>0</v>
      </c>
      <c r="C32" s="79">
        <v>0</v>
      </c>
      <c r="D32" s="79">
        <v>0</v>
      </c>
      <c r="E32" s="89">
        <v>0</v>
      </c>
      <c r="F32" s="70">
        <v>0</v>
      </c>
      <c r="G32" s="70">
        <v>0</v>
      </c>
      <c r="H32" s="70">
        <v>0</v>
      </c>
      <c r="I32" s="70">
        <v>0</v>
      </c>
    </row>
    <row r="33" spans="1:9">
      <c r="A33" s="7" t="str">
        <f>HLOOKUP(INDICE!$F$2,Nombres!$C$3:$D$636,54,FALSE)</f>
        <v>Financial assets at amortized cost</v>
      </c>
      <c r="B33" s="70">
        <v>2143.5819999999999</v>
      </c>
      <c r="C33" s="70">
        <v>2061.7330000000002</v>
      </c>
      <c r="D33" s="70">
        <v>2060.2860000000001</v>
      </c>
      <c r="E33" s="71">
        <v>2267.422</v>
      </c>
      <c r="F33" s="70">
        <v>2205.9209999999998</v>
      </c>
      <c r="G33" s="70">
        <v>2218.1350000000002</v>
      </c>
      <c r="H33" s="70">
        <v>0</v>
      </c>
      <c r="I33" s="70">
        <v>0</v>
      </c>
    </row>
    <row r="34" spans="1:9">
      <c r="A34" s="7" t="str">
        <f>HLOOKUP(INDICE!$F$2,Nombres!$C$3:$D$636,55,FALSE)</f>
        <v xml:space="preserve">    of which loans and advances to customers</v>
      </c>
      <c r="B34" s="70">
        <v>2141.431</v>
      </c>
      <c r="C34" s="70">
        <v>2020.2159999999999</v>
      </c>
      <c r="D34" s="70">
        <v>2056.52</v>
      </c>
      <c r="E34" s="71">
        <v>2248.9279999999999</v>
      </c>
      <c r="F34" s="70">
        <v>2195.9319999999998</v>
      </c>
      <c r="G34" s="70">
        <v>2214.7779999999998</v>
      </c>
      <c r="H34" s="70">
        <v>0</v>
      </c>
      <c r="I34" s="70">
        <v>0</v>
      </c>
    </row>
    <row r="35" spans="1:9" hidden="1">
      <c r="A35" s="7"/>
      <c r="B35" s="70"/>
      <c r="C35" s="70"/>
      <c r="D35" s="70"/>
      <c r="E35" s="71"/>
      <c r="F35" s="70"/>
      <c r="G35" s="70"/>
      <c r="H35" s="70"/>
      <c r="I35" s="70"/>
    </row>
    <row r="36" spans="1:9">
      <c r="A36" s="7" t="str">
        <f>HLOOKUP(INDICE!$F$2,Nombres!$C$3:$D$636,56,FALSE)</f>
        <v>Tangible assets</v>
      </c>
      <c r="B36" s="70">
        <v>7</v>
      </c>
      <c r="C36" s="70">
        <v>6.5209999999999999</v>
      </c>
      <c r="D36" s="70">
        <v>6.8369999999999997</v>
      </c>
      <c r="E36" s="71">
        <v>6.8559999999999999</v>
      </c>
      <c r="F36" s="70">
        <v>6.58</v>
      </c>
      <c r="G36" s="70">
        <v>6.3179999999999996</v>
      </c>
      <c r="H36" s="70">
        <v>0</v>
      </c>
      <c r="I36" s="70">
        <v>0</v>
      </c>
    </row>
    <row r="37" spans="1:9">
      <c r="A37" s="7" t="str">
        <f>HLOOKUP(INDICE!$F$2,Nombres!$C$3:$D$636,57,FALSE)</f>
        <v>Other assets</v>
      </c>
      <c r="B37" s="79">
        <f>+B38-B36-B33-B32-B31</f>
        <v>244.894999248</v>
      </c>
      <c r="C37" s="79">
        <f t="shared" ref="C37:I37" si="7">+C38-C36-C33-C32-C31</f>
        <v>209.10599849599961</v>
      </c>
      <c r="D37" s="79">
        <f t="shared" si="7"/>
        <v>200.80999774399984</v>
      </c>
      <c r="E37" s="89">
        <f t="shared" si="7"/>
        <v>238.86799699199997</v>
      </c>
      <c r="F37" s="70">
        <f t="shared" si="7"/>
        <v>266.47100000000006</v>
      </c>
      <c r="G37" s="70">
        <f t="shared" si="7"/>
        <v>225.57899999999984</v>
      </c>
      <c r="H37" s="70">
        <f t="shared" si="7"/>
        <v>0</v>
      </c>
      <c r="I37" s="70">
        <f t="shared" si="7"/>
        <v>0</v>
      </c>
    </row>
    <row r="38" spans="1:9">
      <c r="A38" s="18" t="str">
        <f>HLOOKUP(INDICE!$F$2,Nombres!$C$3:$D$636,58,FALSE)</f>
        <v>Total assets / Liabilities and equity</v>
      </c>
      <c r="B38" s="18">
        <v>2418.2259992479999</v>
      </c>
      <c r="C38" s="18">
        <v>2322.644998496</v>
      </c>
      <c r="D38" s="18">
        <v>2330.8979977439999</v>
      </c>
      <c r="E38" s="18">
        <v>2557.0659969920002</v>
      </c>
      <c r="F38" s="88">
        <v>2506.5569999999998</v>
      </c>
      <c r="G38" s="88">
        <v>2488.1910000000003</v>
      </c>
      <c r="H38" s="88">
        <v>0</v>
      </c>
      <c r="I38" s="88">
        <v>0</v>
      </c>
    </row>
    <row r="39" spans="1:9">
      <c r="A39" s="7" t="str">
        <f>HLOOKUP(INDICE!$F$2,Nombres!$C$3:$D$636,59,FALSE)</f>
        <v>Financial liabilities held for trading and designated at fair value through profit or loss</v>
      </c>
      <c r="B39" s="79">
        <v>0</v>
      </c>
      <c r="C39" s="79">
        <v>0</v>
      </c>
      <c r="D39" s="79">
        <v>0</v>
      </c>
      <c r="E39" s="89">
        <v>0</v>
      </c>
      <c r="F39" s="70">
        <v>0</v>
      </c>
      <c r="G39" s="70">
        <v>0</v>
      </c>
      <c r="H39" s="70">
        <v>0</v>
      </c>
      <c r="I39" s="70">
        <v>0</v>
      </c>
    </row>
    <row r="40" spans="1:9">
      <c r="A40" s="7" t="str">
        <f>HLOOKUP(INDICE!$F$2,Nombres!$C$3:$D$636,60,FALSE)</f>
        <v>Deposits from central banks and credit institutions</v>
      </c>
      <c r="B40" s="79">
        <v>877.52</v>
      </c>
      <c r="C40" s="79">
        <v>786.16899999999998</v>
      </c>
      <c r="D40" s="79">
        <v>813.83500000000004</v>
      </c>
      <c r="E40" s="89">
        <v>819.95399999999995</v>
      </c>
      <c r="F40" s="70">
        <v>804.005</v>
      </c>
      <c r="G40" s="70">
        <v>866.07</v>
      </c>
      <c r="H40" s="70">
        <v>0</v>
      </c>
      <c r="I40" s="70">
        <v>0</v>
      </c>
    </row>
    <row r="41" spans="1:9" ht="15.75" customHeight="1">
      <c r="A41" s="7" t="str">
        <f>HLOOKUP(INDICE!$F$2,Nombres!$C$3:$D$636,61,FALSE)</f>
        <v>Deposits from customers</v>
      </c>
      <c r="B41" s="79">
        <v>1E-3</v>
      </c>
      <c r="C41" s="79">
        <v>2E-3</v>
      </c>
      <c r="D41" s="79">
        <v>8.9999999999999993E-3</v>
      </c>
      <c r="E41" s="89">
        <v>2.4E-2</v>
      </c>
      <c r="F41" s="70">
        <v>0</v>
      </c>
      <c r="G41" s="70">
        <v>0</v>
      </c>
      <c r="H41" s="70">
        <v>0</v>
      </c>
      <c r="I41" s="70">
        <v>0</v>
      </c>
    </row>
    <row r="42" spans="1:9">
      <c r="A42" s="7" t="str">
        <f>HLOOKUP(INDICE!$F$2,Nombres!$C$3:$D$636,62,FALSE)</f>
        <v>Debt certificates</v>
      </c>
      <c r="B42" s="70">
        <v>1087.5488192</v>
      </c>
      <c r="C42" s="70">
        <v>1104.0051344000001</v>
      </c>
      <c r="D42" s="70">
        <v>1041.4950846153183</v>
      </c>
      <c r="E42" s="71">
        <v>1191.5427601931872</v>
      </c>
      <c r="F42" s="70">
        <v>1134.5401292777983</v>
      </c>
      <c r="G42" s="70">
        <v>1147.436620176544</v>
      </c>
      <c r="H42" s="70">
        <v>0</v>
      </c>
      <c r="I42" s="70">
        <v>0</v>
      </c>
    </row>
    <row r="43" spans="1:9" hidden="1">
      <c r="A43" s="7"/>
      <c r="B43" s="70"/>
      <c r="C43" s="70"/>
      <c r="D43" s="70"/>
      <c r="E43" s="71"/>
      <c r="F43" s="70"/>
      <c r="G43" s="70"/>
      <c r="H43" s="70"/>
      <c r="I43" s="70"/>
    </row>
    <row r="44" spans="1:9">
      <c r="A44" s="7" t="str">
        <f>HLOOKUP(INDICE!$F$2,Nombres!$C$3:$D$636,63,FALSE)</f>
        <v>Other liabilities</v>
      </c>
      <c r="B44" s="79">
        <f>+B38-B39-B40-B41-B42-B45</f>
        <v>174.82402983700007</v>
      </c>
      <c r="C44" s="79">
        <f t="shared" ref="C44:I44" si="8">+C38-C39-C40-C41-C42-C45</f>
        <v>166.48392189600008</v>
      </c>
      <c r="D44" s="79">
        <f t="shared" si="8"/>
        <v>212.99236697680152</v>
      </c>
      <c r="E44" s="89">
        <f t="shared" si="8"/>
        <v>264.71003253077316</v>
      </c>
      <c r="F44" s="70">
        <f t="shared" si="8"/>
        <v>271.19365461932136</v>
      </c>
      <c r="G44" s="70">
        <f t="shared" si="8"/>
        <v>181.49363644665601</v>
      </c>
      <c r="H44" s="70">
        <f t="shared" si="8"/>
        <v>0</v>
      </c>
      <c r="I44" s="70">
        <f t="shared" si="8"/>
        <v>0</v>
      </c>
    </row>
    <row r="45" spans="1:9">
      <c r="A45" s="7" t="str">
        <f>HLOOKUP(INDICE!$F$2,Nombres!$C$3:$D$636,282,FALSE)</f>
        <v>Allocated regulatory capital</v>
      </c>
      <c r="B45" s="79">
        <v>278.33215021099983</v>
      </c>
      <c r="C45" s="79">
        <v>265.98494219999998</v>
      </c>
      <c r="D45" s="79">
        <v>262.56654615188</v>
      </c>
      <c r="E45" s="79">
        <v>280.83520426804006</v>
      </c>
      <c r="F45" s="79">
        <v>296.81821610288</v>
      </c>
      <c r="G45" s="79">
        <v>293.19074337680007</v>
      </c>
      <c r="H45" s="79">
        <v>0</v>
      </c>
      <c r="I45" s="79">
        <v>0</v>
      </c>
    </row>
    <row r="46" spans="1:9">
      <c r="A46" s="8"/>
      <c r="B46" s="79"/>
      <c r="C46" s="79"/>
      <c r="D46" s="79"/>
      <c r="E46" s="79"/>
      <c r="F46" s="70"/>
      <c r="G46" s="70"/>
      <c r="H46" s="70"/>
      <c r="I46" s="70"/>
    </row>
    <row r="47" spans="1:9">
      <c r="A47" s="7"/>
      <c r="B47" s="79"/>
      <c r="C47" s="79"/>
      <c r="D47" s="79"/>
      <c r="E47" s="79"/>
      <c r="F47" s="70"/>
      <c r="G47" s="70"/>
      <c r="H47" s="70"/>
      <c r="I47" s="70"/>
    </row>
    <row r="48" spans="1:9" ht="17">
      <c r="A48" s="59" t="str">
        <f>HLOOKUP(INDICE!$F$2,Nombres!$C$3:$D$636,65,FALSE)</f>
        <v>Relevant business indicators</v>
      </c>
      <c r="B48" s="60"/>
      <c r="C48" s="60"/>
      <c r="D48" s="60"/>
      <c r="E48" s="60"/>
      <c r="F48" s="95"/>
      <c r="G48" s="95"/>
      <c r="H48" s="95"/>
      <c r="I48" s="95"/>
    </row>
    <row r="49" spans="1:9">
      <c r="A49" s="9" t="str">
        <f>HLOOKUP(INDICE!$F$2,Nombres!$C$3:$D$636,32,FALSE)</f>
        <v>(Million euros)</v>
      </c>
      <c r="B49" s="57"/>
      <c r="C49" s="57"/>
      <c r="D49" s="57"/>
      <c r="E49" s="57"/>
      <c r="F49" s="96"/>
      <c r="G49" s="70"/>
      <c r="H49" s="70"/>
      <c r="I49" s="70"/>
    </row>
    <row r="50" spans="1:9">
      <c r="A50" s="57"/>
      <c r="B50" s="80">
        <f t="shared" ref="B50:I50" si="9">+B$30</f>
        <v>45747</v>
      </c>
      <c r="C50" s="80">
        <f t="shared" si="9"/>
        <v>45838</v>
      </c>
      <c r="D50" s="80">
        <f t="shared" si="9"/>
        <v>45930</v>
      </c>
      <c r="E50" s="92">
        <f t="shared" si="9"/>
        <v>46022</v>
      </c>
      <c r="F50" s="80">
        <f t="shared" si="9"/>
        <v>46112</v>
      </c>
      <c r="G50" s="80">
        <f t="shared" si="9"/>
        <v>46203</v>
      </c>
      <c r="H50" s="80">
        <f t="shared" si="9"/>
        <v>46295</v>
      </c>
      <c r="I50" s="80">
        <f t="shared" si="9"/>
        <v>46387</v>
      </c>
    </row>
    <row r="51" spans="1:9">
      <c r="A51" s="7" t="str">
        <f>HLOOKUP(INDICE!$F$2,Nombres!$C$3:$D$636,66,FALSE)</f>
        <v>Loans and advances to customers (gross) (*)</v>
      </c>
      <c r="B51" s="70">
        <v>2226.4810000000002</v>
      </c>
      <c r="C51" s="70">
        <v>2098.6529999999998</v>
      </c>
      <c r="D51" s="70">
        <v>2133.5419999999999</v>
      </c>
      <c r="E51" s="71">
        <v>2334.9850000000001</v>
      </c>
      <c r="F51" s="70">
        <v>2281.41</v>
      </c>
      <c r="G51" s="70">
        <v>2305.884</v>
      </c>
      <c r="H51" s="70">
        <v>0</v>
      </c>
      <c r="I51" s="70">
        <v>0</v>
      </c>
    </row>
    <row r="52" spans="1:9">
      <c r="A52" s="7" t="str">
        <f>HLOOKUP(INDICE!$F$2,Nombres!$C$3:$D$636,67,FALSE)</f>
        <v>Customer deposits under management (*)</v>
      </c>
      <c r="B52" s="70">
        <v>1E-3</v>
      </c>
      <c r="C52" s="70">
        <v>2E-3</v>
      </c>
      <c r="D52" s="70">
        <v>8.9999999999999993E-3</v>
      </c>
      <c r="E52" s="71">
        <v>2.4E-2</v>
      </c>
      <c r="F52" s="70">
        <v>0</v>
      </c>
      <c r="G52" s="70">
        <v>0</v>
      </c>
      <c r="H52" s="70">
        <v>0</v>
      </c>
      <c r="I52" s="70">
        <v>0</v>
      </c>
    </row>
    <row r="53" spans="1:9">
      <c r="A53" s="7" t="str">
        <f>HLOOKUP(INDICE!$F$2,Nombres!$C$3:$D$636,68,FALSE)</f>
        <v>Investment funds and managed portfolios</v>
      </c>
      <c r="B53" s="70">
        <v>0</v>
      </c>
      <c r="C53" s="70">
        <v>0</v>
      </c>
      <c r="D53" s="70">
        <v>0</v>
      </c>
      <c r="E53" s="71">
        <v>0</v>
      </c>
      <c r="F53" s="70">
        <v>0</v>
      </c>
      <c r="G53" s="70">
        <v>0</v>
      </c>
      <c r="H53" s="70">
        <v>0</v>
      </c>
      <c r="I53" s="70">
        <v>0</v>
      </c>
    </row>
    <row r="54" spans="1:9">
      <c r="A54" s="7" t="str">
        <f>HLOOKUP(INDICE!$F$2,Nombres!$C$3:$D$636,69,FALSE)</f>
        <v>Pension funds</v>
      </c>
      <c r="B54" s="70">
        <v>0</v>
      </c>
      <c r="C54" s="70">
        <v>0</v>
      </c>
      <c r="D54" s="70">
        <v>0</v>
      </c>
      <c r="E54" s="71">
        <v>0</v>
      </c>
      <c r="F54" s="70">
        <v>0</v>
      </c>
      <c r="G54" s="70">
        <v>0</v>
      </c>
      <c r="H54" s="70">
        <v>0</v>
      </c>
      <c r="I54" s="70">
        <v>0</v>
      </c>
    </row>
    <row r="55" spans="1:9">
      <c r="A55" s="7" t="str">
        <f>HLOOKUP(INDICE!$F$2,Nombres!$C$3:$D$636,70,FALSE)</f>
        <v>Other off balance-sheet funds</v>
      </c>
      <c r="B55" s="70">
        <v>0</v>
      </c>
      <c r="C55" s="70">
        <v>0</v>
      </c>
      <c r="D55" s="70">
        <v>0</v>
      </c>
      <c r="E55" s="71">
        <v>0</v>
      </c>
      <c r="F55" s="70">
        <v>0</v>
      </c>
      <c r="G55" s="70">
        <v>0</v>
      </c>
      <c r="H55" s="70">
        <v>0</v>
      </c>
      <c r="I55" s="70">
        <v>0</v>
      </c>
    </row>
    <row r="56" spans="1:9">
      <c r="A56" s="8" t="str">
        <f>HLOOKUP(INDICE!$F$2,Nombres!$C$3:$D$636,71,FALSE)</f>
        <v xml:space="preserve">(*) Excluding repos. </v>
      </c>
      <c r="B56" s="79"/>
      <c r="C56" s="79"/>
      <c r="D56" s="79"/>
      <c r="E56" s="79"/>
      <c r="F56" s="79"/>
      <c r="G56" s="79"/>
      <c r="H56" s="79"/>
      <c r="I56" s="79"/>
    </row>
    <row r="57" spans="1:9">
      <c r="A57" s="8">
        <f>HLOOKUP(INDICE!$F$2,Nombres!$C$3:$D$636,72,FALSE)</f>
        <v>0</v>
      </c>
      <c r="B57" s="57"/>
      <c r="C57" s="57"/>
      <c r="D57" s="57"/>
      <c r="E57" s="57"/>
      <c r="F57" s="57"/>
      <c r="G57" s="57"/>
      <c r="H57" s="57"/>
      <c r="I57" s="57"/>
    </row>
    <row r="58" spans="1:9">
      <c r="A58" s="8"/>
      <c r="B58" s="57"/>
      <c r="C58" s="57"/>
      <c r="D58" s="57"/>
      <c r="E58" s="57"/>
      <c r="F58" s="57"/>
      <c r="G58" s="57"/>
      <c r="H58" s="57"/>
      <c r="I58" s="57"/>
    </row>
    <row r="59" spans="1:9" ht="17">
      <c r="A59" s="59" t="str">
        <f>HLOOKUP(INDICE!$F$2,Nombres!$C$3:$D$636,31,FALSE)</f>
        <v xml:space="preserve">Income statement  </v>
      </c>
      <c r="B59" s="60"/>
      <c r="C59" s="60"/>
      <c r="D59" s="60"/>
      <c r="E59" s="60"/>
      <c r="F59" s="60"/>
      <c r="G59" s="60"/>
      <c r="H59" s="60"/>
      <c r="I59" s="60"/>
    </row>
    <row r="60" spans="1:9">
      <c r="A60" s="9" t="str">
        <f>HLOOKUP(INDICE!$F$2,Nombres!$C$3:$D$636,73,FALSE)</f>
        <v xml:space="preserve">(Constant million euros)    </v>
      </c>
      <c r="B60" s="57"/>
      <c r="C60" s="61"/>
      <c r="D60" s="61"/>
      <c r="E60" s="61"/>
      <c r="F60" s="57"/>
      <c r="G60" s="57"/>
      <c r="H60" s="57"/>
      <c r="I60" s="57"/>
    </row>
    <row r="61" spans="1:9">
      <c r="A61" s="62"/>
      <c r="B61" s="57"/>
      <c r="C61" s="61"/>
      <c r="D61" s="61"/>
      <c r="E61" s="61"/>
      <c r="F61" s="57"/>
      <c r="G61" s="57"/>
      <c r="H61" s="57"/>
      <c r="I61" s="57"/>
    </row>
    <row r="62" spans="1:9">
      <c r="A62" s="63"/>
      <c r="B62" s="257">
        <f>+B$6</f>
        <v>2025</v>
      </c>
      <c r="C62" s="257"/>
      <c r="D62" s="257"/>
      <c r="E62" s="258"/>
      <c r="F62" s="257">
        <f>+F$6</f>
        <v>2026</v>
      </c>
      <c r="G62" s="257"/>
      <c r="H62" s="257"/>
      <c r="I62" s="257"/>
    </row>
    <row r="63" spans="1:9">
      <c r="A63" s="63"/>
      <c r="B63" s="64" t="str">
        <f>+B$7</f>
        <v>1Q</v>
      </c>
      <c r="C63" s="64" t="str">
        <f t="shared" ref="C63:I63" si="10">+C$7</f>
        <v>2Q</v>
      </c>
      <c r="D63" s="64" t="str">
        <f t="shared" si="10"/>
        <v>3Q</v>
      </c>
      <c r="E63" s="65" t="str">
        <f t="shared" si="10"/>
        <v>4Q</v>
      </c>
      <c r="F63" s="64" t="str">
        <f t="shared" si="10"/>
        <v>1Q</v>
      </c>
      <c r="G63" s="64" t="str">
        <f t="shared" si="10"/>
        <v>2Q</v>
      </c>
      <c r="H63" s="64" t="str">
        <f t="shared" si="10"/>
        <v>3Q</v>
      </c>
      <c r="I63" s="64" t="str">
        <f t="shared" si="10"/>
        <v>4Q</v>
      </c>
    </row>
    <row r="64" spans="1:9">
      <c r="A64" s="17" t="str">
        <f>HLOOKUP(INDICE!$F$2,Nombres!$C$3:$D$636,33,FALSE)</f>
        <v>Net interest income</v>
      </c>
      <c r="B64" s="67">
        <v>34.822338353723076</v>
      </c>
      <c r="C64" s="67">
        <v>37.743580108896076</v>
      </c>
      <c r="D64" s="67">
        <v>39.987659264505908</v>
      </c>
      <c r="E64" s="103">
        <v>44.211203124986753</v>
      </c>
      <c r="F64" s="67">
        <v>42.134005218628133</v>
      </c>
      <c r="G64" s="67">
        <v>42.599994781371862</v>
      </c>
      <c r="H64" s="67">
        <v>0</v>
      </c>
      <c r="I64" s="67">
        <v>0</v>
      </c>
    </row>
    <row r="65" spans="1:9">
      <c r="A65" s="7" t="str">
        <f>HLOOKUP(INDICE!$F$2,Nombres!$C$3:$D$636,34,FALSE)</f>
        <v>Net fees and commissions</v>
      </c>
      <c r="B65" s="70">
        <v>4.0005537563606408</v>
      </c>
      <c r="C65" s="70">
        <v>5.5747912982048113</v>
      </c>
      <c r="D65" s="70">
        <v>5.0957738553990941</v>
      </c>
      <c r="E65" s="71">
        <v>7.2362688695580992</v>
      </c>
      <c r="F65" s="70">
        <v>3.9727655730729716</v>
      </c>
      <c r="G65" s="70">
        <v>5.4132344269086605</v>
      </c>
      <c r="H65" s="70">
        <v>0</v>
      </c>
      <c r="I65" s="70">
        <v>0</v>
      </c>
    </row>
    <row r="66" spans="1:9">
      <c r="A66" s="7" t="str">
        <f>HLOOKUP(INDICE!$F$2,Nombres!$C$3:$D$636,35,FALSE)</f>
        <v>Net trading income</v>
      </c>
      <c r="B66" s="70">
        <v>0.13237842113504852</v>
      </c>
      <c r="C66" s="70">
        <v>0.68561588000873308</v>
      </c>
      <c r="D66" s="70">
        <v>0.49911875505891734</v>
      </c>
      <c r="E66" s="71">
        <v>0.11084458929531465</v>
      </c>
      <c r="F66" s="70">
        <v>-2.9855452703454357E-3</v>
      </c>
      <c r="G66" s="70">
        <v>0.24798554527034522</v>
      </c>
      <c r="H66" s="70">
        <v>0</v>
      </c>
      <c r="I66" s="70">
        <v>0</v>
      </c>
    </row>
    <row r="67" spans="1:9">
      <c r="A67" s="7" t="str">
        <f>HLOOKUP(INDICE!$F$2,Nombres!$C$3:$D$636,36,FALSE)</f>
        <v>Other operating income and expenses</v>
      </c>
      <c r="B67" s="70">
        <v>-0.13043167967249189</v>
      </c>
      <c r="C67" s="70">
        <v>-0.50411537003930906</v>
      </c>
      <c r="D67" s="70">
        <v>-0.24489817347973242</v>
      </c>
      <c r="E67" s="71">
        <v>-0.77137286375489011</v>
      </c>
      <c r="F67" s="70">
        <v>-0.35627506884221605</v>
      </c>
      <c r="G67" s="70">
        <v>-0.59372493131775173</v>
      </c>
      <c r="H67" s="70">
        <v>0</v>
      </c>
      <c r="I67" s="70">
        <v>0</v>
      </c>
    </row>
    <row r="68" spans="1:9">
      <c r="A68" s="17" t="str">
        <f>HLOOKUP(INDICE!$F$2,Nombres!$C$3:$D$636,37,FALSE)</f>
        <v>Gross income</v>
      </c>
      <c r="B68" s="67">
        <f t="shared" ref="B68:C68" si="11">+SUM(B64:B67)</f>
        <v>38.824838851546275</v>
      </c>
      <c r="C68" s="67">
        <f t="shared" si="11"/>
        <v>43.499871917070308</v>
      </c>
      <c r="D68" s="67">
        <f t="shared" ref="D68:I68" si="12">+SUM(D64:D67)</f>
        <v>45.337653701484186</v>
      </c>
      <c r="E68" s="103">
        <f t="shared" si="12"/>
        <v>50.786943720085276</v>
      </c>
      <c r="F68" s="67">
        <f t="shared" si="12"/>
        <v>45.747510177588538</v>
      </c>
      <c r="G68" s="67">
        <f t="shared" si="12"/>
        <v>47.667489822233115</v>
      </c>
      <c r="H68" s="67">
        <f t="shared" si="12"/>
        <v>0</v>
      </c>
      <c r="I68" s="67">
        <f t="shared" si="12"/>
        <v>0</v>
      </c>
    </row>
    <row r="69" spans="1:9">
      <c r="A69" s="7" t="str">
        <f>HLOOKUP(INDICE!$F$2,Nombres!$C$3:$D$636,38,FALSE)</f>
        <v>Operating expenses</v>
      </c>
      <c r="B69" s="70">
        <v>-14.981149847314219</v>
      </c>
      <c r="C69" s="70">
        <v>-15.485129602053954</v>
      </c>
      <c r="D69" s="70">
        <v>-15.828911187866513</v>
      </c>
      <c r="E69" s="71">
        <v>-16.044862248888933</v>
      </c>
      <c r="F69" s="70">
        <v>-16.781628546551858</v>
      </c>
      <c r="G69" s="70">
        <v>-15.896127441269812</v>
      </c>
      <c r="H69" s="70">
        <v>0</v>
      </c>
      <c r="I69" s="70">
        <v>0</v>
      </c>
    </row>
    <row r="70" spans="1:9">
      <c r="A70" s="7" t="str">
        <f>HLOOKUP(INDICE!$F$2,Nombres!$C$3:$D$636,39,FALSE)</f>
        <v xml:space="preserve">  Administration expenses</v>
      </c>
      <c r="B70" s="70">
        <v>-12.935124544182816</v>
      </c>
      <c r="C70" s="70">
        <v>-13.445193175452447</v>
      </c>
      <c r="D70" s="70">
        <v>-13.867659618996388</v>
      </c>
      <c r="E70" s="71">
        <v>-14.178466341588951</v>
      </c>
      <c r="F70" s="70">
        <v>-14.966417022181844</v>
      </c>
      <c r="G70" s="70">
        <v>-14.051338965639827</v>
      </c>
      <c r="H70" s="70">
        <v>0</v>
      </c>
      <c r="I70" s="70">
        <v>0</v>
      </c>
    </row>
    <row r="71" spans="1:9">
      <c r="A71" s="72" t="str">
        <f>HLOOKUP(INDICE!$F$2,Nombres!$C$3:$D$636,40,FALSE)</f>
        <v xml:space="preserve">  Personnel expenses</v>
      </c>
      <c r="B71" s="70">
        <v>-5.4761838037189703</v>
      </c>
      <c r="C71" s="70">
        <v>-6.5681808142253173</v>
      </c>
      <c r="D71" s="70">
        <v>-6.8503516196718213</v>
      </c>
      <c r="E71" s="71">
        <v>-7.3625772018918134</v>
      </c>
      <c r="F71" s="70">
        <v>-6.9065613920657407</v>
      </c>
      <c r="G71" s="70">
        <v>-7.2064386079342579</v>
      </c>
      <c r="H71" s="70">
        <v>0</v>
      </c>
      <c r="I71" s="70">
        <v>0</v>
      </c>
    </row>
    <row r="72" spans="1:9">
      <c r="A72" s="72" t="str">
        <f>HLOOKUP(INDICE!$F$2,Nombres!$C$3:$D$636,41,FALSE)</f>
        <v xml:space="preserve">  General and administrative expenses</v>
      </c>
      <c r="B72" s="70">
        <v>-7.458940740463845</v>
      </c>
      <c r="C72" s="70">
        <v>-6.8770123612271306</v>
      </c>
      <c r="D72" s="70">
        <v>-7.0173079993245677</v>
      </c>
      <c r="E72" s="71">
        <v>-6.8158891396971386</v>
      </c>
      <c r="F72" s="70">
        <v>-8.059855630116104</v>
      </c>
      <c r="G72" s="70">
        <v>-6.8449003577055718</v>
      </c>
      <c r="H72" s="70">
        <v>0</v>
      </c>
      <c r="I72" s="70">
        <v>0</v>
      </c>
    </row>
    <row r="73" spans="1:9">
      <c r="A73" s="7" t="str">
        <f>HLOOKUP(INDICE!$F$2,Nombres!$C$3:$D$636,42,FALSE)</f>
        <v xml:space="preserve">  Depreciation</v>
      </c>
      <c r="B73" s="70">
        <v>-2.0460253031314033</v>
      </c>
      <c r="C73" s="70">
        <v>-2.0399364266015052</v>
      </c>
      <c r="D73" s="70">
        <v>-1.9612515688701249</v>
      </c>
      <c r="E73" s="71">
        <v>-1.8663959072999792</v>
      </c>
      <c r="F73" s="70">
        <v>-1.8152115243700147</v>
      </c>
      <c r="G73" s="70">
        <v>-1.8447884756299844</v>
      </c>
      <c r="H73" s="70">
        <v>0</v>
      </c>
      <c r="I73" s="70">
        <v>0</v>
      </c>
    </row>
    <row r="74" spans="1:9">
      <c r="A74" s="17" t="str">
        <f>HLOOKUP(INDICE!$F$2,Nombres!$C$3:$D$636,43,FALSE)</f>
        <v>Operating income</v>
      </c>
      <c r="B74" s="67">
        <f t="shared" ref="B74:I74" si="13">+B68+B69</f>
        <v>23.843689004232054</v>
      </c>
      <c r="C74" s="67">
        <f t="shared" si="13"/>
        <v>28.014742315016356</v>
      </c>
      <c r="D74" s="67">
        <f t="shared" si="13"/>
        <v>29.508742513617673</v>
      </c>
      <c r="E74" s="103">
        <f t="shared" si="13"/>
        <v>34.742081471196343</v>
      </c>
      <c r="F74" s="67">
        <f t="shared" si="13"/>
        <v>28.96588163103668</v>
      </c>
      <c r="G74" s="67">
        <f t="shared" si="13"/>
        <v>31.771362380963303</v>
      </c>
      <c r="H74" s="67">
        <f t="shared" si="13"/>
        <v>0</v>
      </c>
      <c r="I74" s="67">
        <f t="shared" si="13"/>
        <v>0</v>
      </c>
    </row>
    <row r="75" spans="1:9">
      <c r="A75" s="7" t="str">
        <f>HLOOKUP(INDICE!$F$2,Nombres!$C$3:$D$636,44,FALSE)</f>
        <v>Impaiment on financial assets not measured at fair value through profit or loss</v>
      </c>
      <c r="B75" s="70">
        <v>-15.918505141489517</v>
      </c>
      <c r="C75" s="70">
        <v>-15.44796750898711</v>
      </c>
      <c r="D75" s="70">
        <v>-13.537630584664859</v>
      </c>
      <c r="E75" s="71">
        <v>-19.816219876707812</v>
      </c>
      <c r="F75" s="70">
        <v>-15.659184942961726</v>
      </c>
      <c r="G75" s="70">
        <v>-19.937815057038261</v>
      </c>
      <c r="H75" s="70">
        <v>0</v>
      </c>
      <c r="I75" s="70">
        <v>0</v>
      </c>
    </row>
    <row r="76" spans="1:9">
      <c r="A76" s="7" t="str">
        <f>HLOOKUP(INDICE!$F$2,Nombres!$C$3:$D$636,45,FALSE)</f>
        <v>Provisions or reversal of provisions and other results</v>
      </c>
      <c r="B76" s="70">
        <v>-4.5748424951083028E-2</v>
      </c>
      <c r="C76" s="70">
        <v>0.25525922021952646</v>
      </c>
      <c r="D76" s="70">
        <v>-1.5903219867945182</v>
      </c>
      <c r="E76" s="71">
        <v>-0.86842845239420918</v>
      </c>
      <c r="F76" s="70">
        <v>0.28362680068281404</v>
      </c>
      <c r="G76" s="70">
        <v>-0.39362680068281403</v>
      </c>
      <c r="H76" s="70">
        <v>0</v>
      </c>
      <c r="I76" s="70">
        <v>0</v>
      </c>
    </row>
    <row r="77" spans="1:9">
      <c r="A77" s="17" t="str">
        <f>HLOOKUP(INDICE!$F$2,Nombres!$C$3:$D$636,46,FALSE)</f>
        <v>Profit/(loss) before tax</v>
      </c>
      <c r="B77" s="67">
        <f t="shared" ref="B77:I77" si="14">+B74+B75+B76</f>
        <v>7.8794354377914546</v>
      </c>
      <c r="C77" s="67">
        <f t="shared" si="14"/>
        <v>12.822034026248772</v>
      </c>
      <c r="D77" s="67">
        <f t="shared" si="14"/>
        <v>14.380789942158296</v>
      </c>
      <c r="E77" s="103">
        <f t="shared" si="14"/>
        <v>14.057433142094322</v>
      </c>
      <c r="F77" s="67">
        <f t="shared" si="14"/>
        <v>13.590323488757768</v>
      </c>
      <c r="G77" s="67">
        <f t="shared" si="14"/>
        <v>11.439920523242229</v>
      </c>
      <c r="H77" s="67">
        <f t="shared" si="14"/>
        <v>0</v>
      </c>
      <c r="I77" s="67">
        <f t="shared" si="14"/>
        <v>0</v>
      </c>
    </row>
    <row r="78" spans="1:9">
      <c r="A78" s="7" t="str">
        <f>HLOOKUP(INDICE!$F$2,Nombres!$C$3:$D$636,47,FALSE)</f>
        <v>Income tax</v>
      </c>
      <c r="B78" s="70">
        <v>-1.4175195943705763</v>
      </c>
      <c r="C78" s="70">
        <v>-1.8710977282437142</v>
      </c>
      <c r="D78" s="70">
        <v>-3.8033474388829784</v>
      </c>
      <c r="E78" s="71">
        <v>-3.6571299305102687</v>
      </c>
      <c r="F78" s="70">
        <v>-3.4354038498544215</v>
      </c>
      <c r="G78" s="70">
        <v>2.5803306462544207</v>
      </c>
      <c r="H78" s="70">
        <v>0</v>
      </c>
      <c r="I78" s="70">
        <v>0</v>
      </c>
    </row>
    <row r="79" spans="1:9">
      <c r="A79" s="17" t="str">
        <f>HLOOKUP(INDICE!$F$2,Nombres!$C$3:$D$636,48,FALSE)</f>
        <v>Profit/(loss) for the year</v>
      </c>
      <c r="B79" s="67">
        <f t="shared" ref="B79:I79" si="15">+B77+B78</f>
        <v>6.4619158434208783</v>
      </c>
      <c r="C79" s="67">
        <f t="shared" si="15"/>
        <v>10.950936298005058</v>
      </c>
      <c r="D79" s="67">
        <f t="shared" si="15"/>
        <v>10.577442503275318</v>
      </c>
      <c r="E79" s="103">
        <f t="shared" si="15"/>
        <v>10.400303211584053</v>
      </c>
      <c r="F79" s="67">
        <f t="shared" si="15"/>
        <v>10.154919638903348</v>
      </c>
      <c r="G79" s="67">
        <f t="shared" si="15"/>
        <v>14.02025116949665</v>
      </c>
      <c r="H79" s="67">
        <f t="shared" si="15"/>
        <v>0</v>
      </c>
      <c r="I79" s="67">
        <f t="shared" si="15"/>
        <v>0</v>
      </c>
    </row>
    <row r="80" spans="1:9">
      <c r="A80" s="7" t="str">
        <f>HLOOKUP(INDICE!$F$2,Nombres!$C$3:$D$636,49,FALSE)</f>
        <v>Non-controlling interests</v>
      </c>
      <c r="B80" s="70">
        <v>0</v>
      </c>
      <c r="C80" s="70">
        <v>0</v>
      </c>
      <c r="D80" s="70">
        <v>0</v>
      </c>
      <c r="E80" s="71">
        <v>0</v>
      </c>
      <c r="F80" s="70">
        <v>0</v>
      </c>
      <c r="G80" s="70">
        <v>0</v>
      </c>
      <c r="H80" s="70">
        <v>0</v>
      </c>
      <c r="I80" s="70">
        <v>0</v>
      </c>
    </row>
    <row r="81" spans="1:9">
      <c r="A81" s="18" t="str">
        <f>HLOOKUP(INDICE!$F$2,Nombres!$C$3:$D$636,50,FALSE)</f>
        <v>Net attributable profit</v>
      </c>
      <c r="B81" s="88">
        <f t="shared" ref="B81:I81" si="16">+B79+B80</f>
        <v>6.4619158434208783</v>
      </c>
      <c r="C81" s="88">
        <f t="shared" si="16"/>
        <v>10.950936298005058</v>
      </c>
      <c r="D81" s="88">
        <f t="shared" si="16"/>
        <v>10.577442503275318</v>
      </c>
      <c r="E81" s="100">
        <f t="shared" si="16"/>
        <v>10.400303211584053</v>
      </c>
      <c r="F81" s="88">
        <f t="shared" si="16"/>
        <v>10.154919638903348</v>
      </c>
      <c r="G81" s="88">
        <f t="shared" si="16"/>
        <v>14.02025116949665</v>
      </c>
      <c r="H81" s="88">
        <f t="shared" si="16"/>
        <v>0</v>
      </c>
      <c r="I81" s="88">
        <f t="shared" si="16"/>
        <v>0</v>
      </c>
    </row>
    <row r="82" spans="1:9">
      <c r="A82" s="104"/>
      <c r="B82" s="93">
        <v>0</v>
      </c>
      <c r="C82" s="93">
        <v>0</v>
      </c>
      <c r="D82" s="93">
        <v>0</v>
      </c>
      <c r="E82" s="93">
        <v>0</v>
      </c>
      <c r="F82" s="93">
        <v>0</v>
      </c>
      <c r="G82" s="93">
        <v>0</v>
      </c>
      <c r="H82" s="93">
        <v>0</v>
      </c>
      <c r="I82" s="93">
        <v>0</v>
      </c>
    </row>
    <row r="83" spans="1:9">
      <c r="A83" s="17"/>
      <c r="B83" s="17"/>
      <c r="C83" s="17"/>
      <c r="D83" s="17"/>
      <c r="E83" s="17"/>
      <c r="F83" s="67"/>
      <c r="G83" s="67"/>
      <c r="H83" s="67"/>
      <c r="I83" s="67"/>
    </row>
    <row r="84" spans="1:9" ht="17">
      <c r="A84" s="59" t="str">
        <f>HLOOKUP(INDICE!$F$2,Nombres!$C$3:$D$636,51,FALSE)</f>
        <v>Balance sheets</v>
      </c>
      <c r="B84" s="60"/>
      <c r="C84" s="60"/>
      <c r="D84" s="60"/>
      <c r="E84" s="60"/>
      <c r="F84" s="95"/>
      <c r="G84" s="95"/>
      <c r="H84" s="95"/>
      <c r="I84" s="95"/>
    </row>
    <row r="85" spans="1:9">
      <c r="A85" s="9" t="str">
        <f>HLOOKUP(INDICE!$F$2,Nombres!$C$3:$D$636,73,FALSE)</f>
        <v xml:space="preserve">(Constant million euros)    </v>
      </c>
      <c r="B85" s="57"/>
      <c r="C85" s="78"/>
      <c r="D85" s="78"/>
      <c r="E85" s="78"/>
      <c r="F85" s="96"/>
      <c r="G85" s="70"/>
      <c r="H85" s="70"/>
      <c r="I85" s="70"/>
    </row>
    <row r="86" spans="1:9">
      <c r="A86" s="57"/>
      <c r="B86" s="80">
        <f t="shared" ref="B86:I86" si="17">+B$30</f>
        <v>45747</v>
      </c>
      <c r="C86" s="80">
        <f t="shared" si="17"/>
        <v>45838</v>
      </c>
      <c r="D86" s="80">
        <f t="shared" si="17"/>
        <v>45930</v>
      </c>
      <c r="E86" s="92">
        <f t="shared" si="17"/>
        <v>46022</v>
      </c>
      <c r="F86" s="80">
        <f t="shared" si="17"/>
        <v>46112</v>
      </c>
      <c r="G86" s="80">
        <f t="shared" si="17"/>
        <v>46203</v>
      </c>
      <c r="H86" s="80">
        <f t="shared" si="17"/>
        <v>46295</v>
      </c>
      <c r="I86" s="80">
        <f t="shared" si="17"/>
        <v>46387</v>
      </c>
    </row>
    <row r="87" spans="1:9">
      <c r="A87" s="7" t="str">
        <f>HLOOKUP(INDICE!$F$2,Nombres!$C$3:$D$636,52,FALSE)</f>
        <v>Cash, cash balances at central banks and other demand deposits</v>
      </c>
      <c r="B87" s="70">
        <v>22.149229246426753</v>
      </c>
      <c r="C87" s="70">
        <v>47.257410425878504</v>
      </c>
      <c r="D87" s="70">
        <v>67.619019978586351</v>
      </c>
      <c r="E87" s="71">
        <v>44.54535961058378</v>
      </c>
      <c r="F87" s="70">
        <v>28.115352201913623</v>
      </c>
      <c r="G87" s="70">
        <v>38.158999999999999</v>
      </c>
      <c r="H87" s="70">
        <v>0</v>
      </c>
      <c r="I87" s="70">
        <v>0</v>
      </c>
    </row>
    <row r="88" spans="1:9">
      <c r="A88" s="7" t="str">
        <f>HLOOKUP(INDICE!$F$2,Nombres!$C$3:$D$636,53,FALSE)</f>
        <v xml:space="preserve">Financial assets designated at fair value </v>
      </c>
      <c r="B88" s="79">
        <v>0</v>
      </c>
      <c r="C88" s="79">
        <v>0</v>
      </c>
      <c r="D88" s="79">
        <v>0</v>
      </c>
      <c r="E88" s="89">
        <v>0</v>
      </c>
      <c r="F88" s="70">
        <v>0</v>
      </c>
      <c r="G88" s="70">
        <v>0</v>
      </c>
      <c r="H88" s="70">
        <v>0</v>
      </c>
      <c r="I88" s="70">
        <v>0</v>
      </c>
    </row>
    <row r="89" spans="1:9">
      <c r="A89" s="7" t="str">
        <f>HLOOKUP(INDICE!$F$2,Nombres!$C$3:$D$636,54,FALSE)</f>
        <v>Financial assets at amortized cost</v>
      </c>
      <c r="B89" s="70">
        <v>2087.0670854329392</v>
      </c>
      <c r="C89" s="70">
        <v>2151.5327938517776</v>
      </c>
      <c r="D89" s="70">
        <v>2212.5707964043795</v>
      </c>
      <c r="E89" s="71">
        <v>2299.7069303039411</v>
      </c>
      <c r="F89" s="70">
        <v>2248.3322764037525</v>
      </c>
      <c r="G89" s="70">
        <v>2218.1350000000002</v>
      </c>
      <c r="H89" s="70">
        <v>0</v>
      </c>
      <c r="I89" s="70">
        <v>0</v>
      </c>
    </row>
    <row r="90" spans="1:9">
      <c r="A90" s="7" t="str">
        <f>HLOOKUP(INDICE!$F$2,Nombres!$C$3:$D$636,55,FALSE)</f>
        <v xml:space="preserve">    of which loans and advances to customers</v>
      </c>
      <c r="B90" s="70">
        <v>2084.9727959209135</v>
      </c>
      <c r="C90" s="70">
        <v>2108.2075005173133</v>
      </c>
      <c r="D90" s="70">
        <v>2208.5264347869829</v>
      </c>
      <c r="E90" s="71">
        <v>2280.9496015098125</v>
      </c>
      <c r="F90" s="70">
        <v>2238.1512268063298</v>
      </c>
      <c r="G90" s="70">
        <v>2214.7779999999998</v>
      </c>
      <c r="H90" s="70">
        <v>0</v>
      </c>
      <c r="I90" s="70">
        <v>0</v>
      </c>
    </row>
    <row r="91" spans="1:9" hidden="1">
      <c r="A91" s="7"/>
      <c r="B91" s="70"/>
      <c r="C91" s="70"/>
      <c r="D91" s="70"/>
      <c r="E91" s="71"/>
      <c r="F91" s="70"/>
      <c r="G91" s="70"/>
      <c r="H91" s="70"/>
      <c r="I91" s="70"/>
    </row>
    <row r="92" spans="1:9">
      <c r="A92" s="7" t="str">
        <f>HLOOKUP(INDICE!$F$2,Nombres!$C$3:$D$636,56,FALSE)</f>
        <v>Tangible assets</v>
      </c>
      <c r="B92" s="70">
        <v>6.8154470405286922</v>
      </c>
      <c r="C92" s="70">
        <v>6.8050253591068506</v>
      </c>
      <c r="D92" s="70">
        <v>7.3423527291923234</v>
      </c>
      <c r="E92" s="71">
        <v>6.9536198882095244</v>
      </c>
      <c r="F92" s="70">
        <v>6.70650779367742</v>
      </c>
      <c r="G92" s="70">
        <v>6.3179999999999978</v>
      </c>
      <c r="H92" s="70">
        <v>0</v>
      </c>
      <c r="I92" s="70">
        <v>0</v>
      </c>
    </row>
    <row r="93" spans="1:9">
      <c r="A93" s="7" t="str">
        <f>HLOOKUP(INDICE!$F$2,Nombres!$C$3:$D$636,57,FALSE)</f>
        <v>Other assets</v>
      </c>
      <c r="B93" s="79">
        <f>+B94-B92-B89-B88-B87</f>
        <v>238.43841375785181</v>
      </c>
      <c r="C93" s="79">
        <f t="shared" ref="C93:I93" si="18">+C94-C92-C89-C88-C87</f>
        <v>218.21371307919281</v>
      </c>
      <c r="D93" s="79">
        <f t="shared" si="18"/>
        <v>215.65274737600944</v>
      </c>
      <c r="E93" s="89">
        <f t="shared" si="18"/>
        <v>242.26914447889317</v>
      </c>
      <c r="F93" s="70">
        <f t="shared" si="18"/>
        <v>271.59420050621509</v>
      </c>
      <c r="G93" s="70">
        <f t="shared" si="18"/>
        <v>225.57899999349468</v>
      </c>
      <c r="H93" s="70">
        <f t="shared" si="18"/>
        <v>0</v>
      </c>
      <c r="I93" s="70">
        <f t="shared" si="18"/>
        <v>0</v>
      </c>
    </row>
    <row r="94" spans="1:9">
      <c r="A94" s="18" t="str">
        <f>HLOOKUP(INDICE!$F$2,Nombres!$C$3:$D$636,58,FALSE)</f>
        <v>Total assets / Liabilities and equity</v>
      </c>
      <c r="B94" s="18">
        <v>2354.4701754777466</v>
      </c>
      <c r="C94" s="18">
        <v>2423.8089427159557</v>
      </c>
      <c r="D94" s="18">
        <v>2503.1849164881678</v>
      </c>
      <c r="E94" s="18">
        <v>2593.4750542816278</v>
      </c>
      <c r="F94" s="88">
        <v>2554.7483369055585</v>
      </c>
      <c r="G94" s="88">
        <v>2488.1909999934951</v>
      </c>
      <c r="H94" s="88">
        <v>0</v>
      </c>
      <c r="I94" s="88">
        <v>0</v>
      </c>
    </row>
    <row r="95" spans="1:9">
      <c r="A95" s="7" t="str">
        <f>HLOOKUP(INDICE!$F$2,Nombres!$C$3:$D$636,59,FALSE)</f>
        <v>Financial liabilities held for trading and designated at fair value through profit or loss</v>
      </c>
      <c r="B95" s="79">
        <v>0</v>
      </c>
      <c r="C95" s="79">
        <v>0</v>
      </c>
      <c r="D95" s="79">
        <v>0</v>
      </c>
      <c r="E95" s="89">
        <v>0</v>
      </c>
      <c r="F95" s="70">
        <v>0</v>
      </c>
      <c r="G95" s="70">
        <v>0</v>
      </c>
      <c r="H95" s="70">
        <v>0</v>
      </c>
      <c r="I95" s="70">
        <v>0</v>
      </c>
    </row>
    <row r="96" spans="1:9">
      <c r="A96" s="7" t="str">
        <f>HLOOKUP(INDICE!$F$2,Nombres!$C$3:$D$636,60,FALSE)</f>
        <v>Deposits from central banks and credit institutions</v>
      </c>
      <c r="B96" s="79">
        <v>854.38444100067704</v>
      </c>
      <c r="C96" s="79">
        <v>820.41097708076563</v>
      </c>
      <c r="D96" s="79">
        <v>873.98912291388569</v>
      </c>
      <c r="E96" s="89">
        <v>831.62900259873902</v>
      </c>
      <c r="F96" s="70">
        <v>819.4628873336801</v>
      </c>
      <c r="G96" s="70">
        <v>866.07</v>
      </c>
      <c r="H96" s="70">
        <v>0</v>
      </c>
      <c r="I96" s="70">
        <v>0</v>
      </c>
    </row>
    <row r="97" spans="1:9">
      <c r="A97" s="7" t="str">
        <f>HLOOKUP(INDICE!$F$2,Nombres!$C$3:$D$636,61,FALSE)</f>
        <v>Deposits from customers</v>
      </c>
      <c r="B97" s="79">
        <v>9.7362406557798388E-4</v>
      </c>
      <c r="C97" s="79">
        <v>2.0871130639445036E-3</v>
      </c>
      <c r="D97" s="79">
        <v>9.665224630191923E-3</v>
      </c>
      <c r="E97" s="89">
        <v>2.4341726591175422E-2</v>
      </c>
      <c r="F97" s="70">
        <v>1.847827434539795E-8</v>
      </c>
      <c r="G97" s="70">
        <v>-1.7546117305755616E-10</v>
      </c>
      <c r="H97" s="70">
        <v>0</v>
      </c>
      <c r="I97" s="70">
        <v>0</v>
      </c>
    </row>
    <row r="98" spans="1:9">
      <c r="A98" s="7" t="str">
        <f>HLOOKUP(INDICE!$F$2,Nombres!$C$3:$D$636,62,FALSE)</f>
        <v>Debt certificates</v>
      </c>
      <c r="B98" s="70">
        <v>1058.7754034322497</v>
      </c>
      <c r="C98" s="70">
        <v>1152.090619578046</v>
      </c>
      <c r="D98" s="70">
        <v>1118.4765653014003</v>
      </c>
      <c r="E98" s="71">
        <v>1208.5086690390053</v>
      </c>
      <c r="F98" s="70">
        <v>1156.352920857347</v>
      </c>
      <c r="G98" s="70">
        <v>1147.4366201765438</v>
      </c>
      <c r="H98" s="70">
        <v>0</v>
      </c>
      <c r="I98" s="70">
        <v>0</v>
      </c>
    </row>
    <row r="99" spans="1:9" hidden="1">
      <c r="A99" s="7"/>
      <c r="B99" s="70"/>
      <c r="C99" s="70"/>
      <c r="D99" s="70"/>
      <c r="E99" s="71"/>
      <c r="F99" s="70"/>
      <c r="G99" s="70"/>
      <c r="H99" s="70"/>
      <c r="I99" s="70"/>
    </row>
    <row r="100" spans="1:9">
      <c r="A100" s="7" t="str">
        <f>HLOOKUP(INDICE!$F$2,Nombres!$C$3:$D$636,63,FALSE)</f>
        <v>Other liabilities</v>
      </c>
      <c r="B100" s="79">
        <f>+B94-B95-B96-B97-B98-B101</f>
        <v>170.60528071807812</v>
      </c>
      <c r="C100" s="79">
        <f t="shared" ref="C100:I100" si="19">+C94-C95-C96-C97-C98-C101</f>
        <v>173.73521448167219</v>
      </c>
      <c r="D100" s="79">
        <f t="shared" si="19"/>
        <v>228.73556914566024</v>
      </c>
      <c r="E100" s="89">
        <f t="shared" si="19"/>
        <v>268.4791345995983</v>
      </c>
      <c r="F100" s="70">
        <f t="shared" si="19"/>
        <v>276.4076532371339</v>
      </c>
      <c r="G100" s="70">
        <f t="shared" si="19"/>
        <v>181.4936364466559</v>
      </c>
      <c r="H100" s="70">
        <f t="shared" si="19"/>
        <v>0</v>
      </c>
      <c r="I100" s="70">
        <f t="shared" si="19"/>
        <v>0</v>
      </c>
    </row>
    <row r="101" spans="1:9">
      <c r="A101" s="7" t="str">
        <f>HLOOKUP(INDICE!$F$2,Nombres!$C$3:$D$636,282,FALSE)</f>
        <v>Allocated regulatory capital</v>
      </c>
      <c r="B101" s="79">
        <v>270.70407670267605</v>
      </c>
      <c r="C101" s="79">
        <v>277.57004446240796</v>
      </c>
      <c r="D101" s="79">
        <v>281.9739939025913</v>
      </c>
      <c r="E101" s="79">
        <v>284.83390631769373</v>
      </c>
      <c r="F101" s="79">
        <v>302.52487545891927</v>
      </c>
      <c r="G101" s="79">
        <v>293.19074337047078</v>
      </c>
      <c r="H101" s="79">
        <v>0</v>
      </c>
      <c r="I101" s="79">
        <v>0</v>
      </c>
    </row>
    <row r="102" spans="1:9">
      <c r="A102" s="8"/>
      <c r="B102" s="79"/>
      <c r="C102" s="79"/>
      <c r="D102" s="79"/>
      <c r="E102" s="79"/>
      <c r="F102" s="70"/>
      <c r="G102" s="70"/>
      <c r="H102" s="70"/>
      <c r="I102" s="70"/>
    </row>
    <row r="103" spans="1:9">
      <c r="A103" s="7"/>
      <c r="B103" s="79"/>
      <c r="C103" s="79"/>
      <c r="D103" s="79"/>
      <c r="E103" s="79"/>
      <c r="F103" s="70"/>
      <c r="G103" s="70"/>
      <c r="H103" s="70"/>
      <c r="I103" s="70"/>
    </row>
    <row r="104" spans="1:9" ht="17">
      <c r="A104" s="59" t="str">
        <f>HLOOKUP(INDICE!$F$2,Nombres!$C$3:$D$636,65,FALSE)</f>
        <v>Relevant business indicators</v>
      </c>
      <c r="B104" s="60"/>
      <c r="C104" s="60"/>
      <c r="D104" s="60"/>
      <c r="E104" s="60"/>
      <c r="F104" s="95"/>
      <c r="G104" s="95"/>
      <c r="H104" s="95"/>
      <c r="I104" s="95"/>
    </row>
    <row r="105" spans="1:9">
      <c r="A105" s="9" t="str">
        <f>HLOOKUP(INDICE!$F$2,Nombres!$C$3:$D$636,73,FALSE)</f>
        <v xml:space="preserve">(Constant million euros)    </v>
      </c>
      <c r="B105" s="57"/>
      <c r="C105" s="57"/>
      <c r="D105" s="57"/>
      <c r="E105" s="57"/>
      <c r="F105" s="96"/>
      <c r="G105" s="70"/>
      <c r="H105" s="70"/>
      <c r="I105" s="70"/>
    </row>
    <row r="106" spans="1:9">
      <c r="A106" s="57"/>
      <c r="B106" s="80">
        <f t="shared" ref="B106:I106" si="20">+B$30</f>
        <v>45747</v>
      </c>
      <c r="C106" s="80">
        <f t="shared" si="20"/>
        <v>45838</v>
      </c>
      <c r="D106" s="80">
        <f t="shared" si="20"/>
        <v>45930</v>
      </c>
      <c r="E106" s="92">
        <f t="shared" si="20"/>
        <v>46022</v>
      </c>
      <c r="F106" s="80">
        <f t="shared" si="20"/>
        <v>46112</v>
      </c>
      <c r="G106" s="80">
        <f t="shared" si="20"/>
        <v>46203</v>
      </c>
      <c r="H106" s="80">
        <f t="shared" si="20"/>
        <v>46295</v>
      </c>
      <c r="I106" s="80">
        <f t="shared" si="20"/>
        <v>46387</v>
      </c>
    </row>
    <row r="107" spans="1:9">
      <c r="A107" s="7" t="str">
        <f>HLOOKUP(INDICE!$F$2,Nombres!$C$3:$D$636,66,FALSE)</f>
        <v>Loans and advances to customers (gross) (*)</v>
      </c>
      <c r="B107" s="70">
        <v>2167.7804774633373</v>
      </c>
      <c r="C107" s="70">
        <v>2190.0608625924961</v>
      </c>
      <c r="D107" s="70">
        <v>2291.2414694378317</v>
      </c>
      <c r="E107" s="71">
        <v>2368.2319332950583</v>
      </c>
      <c r="F107" s="70">
        <v>2325.2726361054115</v>
      </c>
      <c r="G107" s="70">
        <v>2305.884</v>
      </c>
      <c r="H107" s="70">
        <v>0</v>
      </c>
      <c r="I107" s="70">
        <v>0</v>
      </c>
    </row>
    <row r="108" spans="1:9">
      <c r="A108" s="7" t="str">
        <f>HLOOKUP(INDICE!$F$2,Nombres!$C$3:$D$636,67,FALSE)</f>
        <v>Customer deposits under management (*)</v>
      </c>
      <c r="B108" s="70">
        <v>9.7362406557798388E-4</v>
      </c>
      <c r="C108" s="70">
        <v>2.0871130639445036E-3</v>
      </c>
      <c r="D108" s="70">
        <v>9.665224630191923E-3</v>
      </c>
      <c r="E108" s="71">
        <v>2.4341726591175422E-2</v>
      </c>
      <c r="F108" s="70">
        <v>1.847827434539795E-8</v>
      </c>
      <c r="G108" s="70">
        <v>-1.7546117305755616E-10</v>
      </c>
      <c r="H108" s="70">
        <v>0</v>
      </c>
      <c r="I108" s="70">
        <v>0</v>
      </c>
    </row>
    <row r="109" spans="1:9">
      <c r="A109" s="7" t="str">
        <f>HLOOKUP(INDICE!$F$2,Nombres!$C$3:$D$636,68,FALSE)</f>
        <v>Investment funds and managed portfolios</v>
      </c>
      <c r="B109" s="70">
        <v>0</v>
      </c>
      <c r="C109" s="70">
        <v>0</v>
      </c>
      <c r="D109" s="70">
        <v>0</v>
      </c>
      <c r="E109" s="71">
        <v>0</v>
      </c>
      <c r="F109" s="70">
        <v>0</v>
      </c>
      <c r="G109" s="70">
        <v>0</v>
      </c>
      <c r="H109" s="70">
        <v>0</v>
      </c>
      <c r="I109" s="70">
        <v>0</v>
      </c>
    </row>
    <row r="110" spans="1:9">
      <c r="A110" s="7" t="str">
        <f>HLOOKUP(INDICE!$F$2,Nombres!$C$3:$D$636,69,FALSE)</f>
        <v>Pension funds</v>
      </c>
      <c r="B110" s="70">
        <v>0</v>
      </c>
      <c r="C110" s="70">
        <v>0</v>
      </c>
      <c r="D110" s="70">
        <v>0</v>
      </c>
      <c r="E110" s="71">
        <v>0</v>
      </c>
      <c r="F110" s="70">
        <v>0</v>
      </c>
      <c r="G110" s="70">
        <v>0</v>
      </c>
      <c r="H110" s="70">
        <v>0</v>
      </c>
      <c r="I110" s="70">
        <v>0</v>
      </c>
    </row>
    <row r="111" spans="1:9">
      <c r="A111" s="7" t="str">
        <f>HLOOKUP(INDICE!$F$2,Nombres!$C$3:$D$636,70,FALSE)</f>
        <v>Other off balance-sheet funds</v>
      </c>
      <c r="B111" s="70">
        <v>0</v>
      </c>
      <c r="C111" s="70">
        <v>0</v>
      </c>
      <c r="D111" s="70">
        <v>0</v>
      </c>
      <c r="E111" s="71">
        <v>0</v>
      </c>
      <c r="F111" s="70">
        <v>0</v>
      </c>
      <c r="G111" s="70">
        <v>0</v>
      </c>
      <c r="H111" s="70">
        <v>0</v>
      </c>
      <c r="I111" s="70">
        <v>0</v>
      </c>
    </row>
    <row r="112" spans="1:9">
      <c r="A112" s="8" t="str">
        <f>HLOOKUP(INDICE!$F$2,Nombres!$C$3:$D$636,71,FALSE)</f>
        <v xml:space="preserve">(*) Excluding repos. </v>
      </c>
      <c r="B112" s="79"/>
      <c r="C112" s="79"/>
      <c r="D112" s="79"/>
      <c r="E112" s="79"/>
      <c r="F112" s="79"/>
      <c r="G112" s="79"/>
      <c r="H112" s="79"/>
      <c r="I112" s="79"/>
    </row>
    <row r="113" spans="1:9">
      <c r="A113" s="8">
        <f>HLOOKUP(INDICE!$F$2,Nombres!$C$3:$D$636,72,FALSE)</f>
        <v>0</v>
      </c>
      <c r="B113" s="57"/>
      <c r="C113" s="57"/>
      <c r="D113" s="57"/>
      <c r="E113" s="57"/>
      <c r="F113" s="57"/>
      <c r="G113" s="57"/>
      <c r="H113" s="57"/>
      <c r="I113" s="57"/>
    </row>
    <row r="114" spans="1:9">
      <c r="A114" s="8"/>
      <c r="B114" s="79"/>
      <c r="C114" s="70"/>
      <c r="D114" s="70"/>
      <c r="E114" s="70"/>
      <c r="F114" s="70"/>
      <c r="G114" s="57"/>
      <c r="H114" s="57"/>
      <c r="I114" s="57"/>
    </row>
    <row r="115" spans="1:9" ht="17">
      <c r="A115" s="59" t="str">
        <f>HLOOKUP(INDICE!$F$2,Nombres!$C$3:$D$636,31,FALSE)</f>
        <v xml:space="preserve">Income statement  </v>
      </c>
      <c r="B115" s="60"/>
      <c r="C115" s="60"/>
      <c r="D115" s="60"/>
      <c r="E115" s="60"/>
      <c r="F115" s="60"/>
      <c r="G115" s="60"/>
      <c r="H115" s="60"/>
      <c r="I115" s="60"/>
    </row>
    <row r="116" spans="1:9">
      <c r="A116" s="9" t="str">
        <f>HLOOKUP(INDICE!$F$2,Nombres!$C$3:$D$636,81,FALSE)</f>
        <v>(Million Chilean pesos)</v>
      </c>
      <c r="B116" s="57"/>
      <c r="C116" s="61"/>
      <c r="D116" s="61"/>
      <c r="E116" s="61"/>
      <c r="F116" s="57"/>
      <c r="G116" s="57"/>
      <c r="H116" s="57"/>
      <c r="I116" s="57"/>
    </row>
    <row r="117" spans="1:9">
      <c r="A117" s="62"/>
      <c r="B117" s="57"/>
      <c r="C117" s="61"/>
      <c r="D117" s="61"/>
      <c r="E117" s="61"/>
      <c r="F117" s="57"/>
      <c r="G117" s="57"/>
      <c r="H117" s="57"/>
      <c r="I117" s="57"/>
    </row>
    <row r="118" spans="1:9">
      <c r="A118" s="63"/>
      <c r="B118" s="257">
        <f>+B$6</f>
        <v>2025</v>
      </c>
      <c r="C118" s="257"/>
      <c r="D118" s="257"/>
      <c r="E118" s="258"/>
      <c r="F118" s="257">
        <f>+F$6</f>
        <v>2026</v>
      </c>
      <c r="G118" s="257"/>
      <c r="H118" s="257"/>
      <c r="I118" s="257"/>
    </row>
    <row r="119" spans="1:9">
      <c r="A119" s="63"/>
      <c r="B119" s="64" t="str">
        <f>+B$7</f>
        <v>1Q</v>
      </c>
      <c r="C119" s="64" t="str">
        <f t="shared" ref="C119:I119" si="21">+C$7</f>
        <v>2Q</v>
      </c>
      <c r="D119" s="64" t="str">
        <f t="shared" si="21"/>
        <v>3Q</v>
      </c>
      <c r="E119" s="65" t="str">
        <f t="shared" si="21"/>
        <v>4Q</v>
      </c>
      <c r="F119" s="64" t="str">
        <f t="shared" si="21"/>
        <v>1Q</v>
      </c>
      <c r="G119" s="64" t="str">
        <f t="shared" si="21"/>
        <v>2Q</v>
      </c>
      <c r="H119" s="64" t="str">
        <f t="shared" si="21"/>
        <v>3Q</v>
      </c>
      <c r="I119" s="64" t="str">
        <f t="shared" si="21"/>
        <v>4Q</v>
      </c>
    </row>
    <row r="120" spans="1:9">
      <c r="A120" s="17" t="str">
        <f>HLOOKUP(INDICE!$F$2,Nombres!$C$3:$D$636,33,FALSE)</f>
        <v>Net interest income</v>
      </c>
      <c r="B120" s="67">
        <v>36272.841779044335</v>
      </c>
      <c r="C120" s="67">
        <v>39315.766091230827</v>
      </c>
      <c r="D120" s="67">
        <v>41653.321005672216</v>
      </c>
      <c r="E120" s="103">
        <v>46052.794029048186</v>
      </c>
      <c r="F120" s="67">
        <v>43889.071701278299</v>
      </c>
      <c r="G120" s="67">
        <v>44374.471777183382</v>
      </c>
      <c r="H120" s="67">
        <v>0</v>
      </c>
      <c r="I120" s="67">
        <v>0</v>
      </c>
    </row>
    <row r="121" spans="1:9">
      <c r="A121" s="7" t="str">
        <f>HLOOKUP(INDICE!$F$2,Nombres!$C$3:$D$636,34,FALSE)</f>
        <v>Net fees and commissions</v>
      </c>
      <c r="B121" s="70">
        <v>4167.1944014499568</v>
      </c>
      <c r="C121" s="70">
        <v>5807.0058551756147</v>
      </c>
      <c r="D121" s="70">
        <v>5308.03523075066</v>
      </c>
      <c r="E121" s="71">
        <v>7537.6912690310837</v>
      </c>
      <c r="F121" s="70">
        <v>4138.2487182083023</v>
      </c>
      <c r="G121" s="70">
        <v>5638.7194301999025</v>
      </c>
      <c r="H121" s="70">
        <v>0</v>
      </c>
      <c r="I121" s="70">
        <v>0</v>
      </c>
    </row>
    <row r="122" spans="1:9">
      <c r="A122" s="7" t="str">
        <f>HLOOKUP(INDICE!$F$2,Nombres!$C$3:$D$636,35,FALSE)</f>
        <v>Net trading income</v>
      </c>
      <c r="B122" s="70">
        <v>137.89256413557101</v>
      </c>
      <c r="C122" s="70">
        <v>714.17479447063306</v>
      </c>
      <c r="D122" s="70">
        <v>519.90924467225</v>
      </c>
      <c r="E122" s="71">
        <v>115.46175356550199</v>
      </c>
      <c r="F122" s="70">
        <v>-3.1099063513589797</v>
      </c>
      <c r="G122" s="70">
        <v>258.31523304693695</v>
      </c>
      <c r="H122" s="70">
        <v>0</v>
      </c>
      <c r="I122" s="70">
        <v>0</v>
      </c>
    </row>
    <row r="123" spans="1:9">
      <c r="A123" s="7" t="str">
        <f>HLOOKUP(INDICE!$F$2,Nombres!$C$3:$D$636,36,FALSE)</f>
        <v>Other operating income and expenses</v>
      </c>
      <c r="B123" s="70">
        <v>-135.86473233580128</v>
      </c>
      <c r="C123" s="70">
        <v>-525.11399062507724</v>
      </c>
      <c r="D123" s="70">
        <v>-255.09925865324783</v>
      </c>
      <c r="E123" s="71">
        <v>-803.50393346395754</v>
      </c>
      <c r="F123" s="70">
        <v>-371.11549117293015</v>
      </c>
      <c r="G123" s="70">
        <v>-618.45618393573909</v>
      </c>
      <c r="H123" s="70">
        <v>0</v>
      </c>
      <c r="I123" s="70">
        <v>0</v>
      </c>
    </row>
    <row r="124" spans="1:9">
      <c r="A124" s="17" t="str">
        <f>HLOOKUP(INDICE!$F$2,Nombres!$C$3:$D$636,37,FALSE)</f>
        <v>Gross income</v>
      </c>
      <c r="B124" s="67">
        <f t="shared" ref="B124:C124" si="22">+SUM(B120:B123)</f>
        <v>40442.064012294068</v>
      </c>
      <c r="C124" s="67">
        <f t="shared" si="22"/>
        <v>45311.832750251997</v>
      </c>
      <c r="D124" s="67">
        <f t="shared" ref="D124:F124" si="23">+SUM(D120:D123)</f>
        <v>47226.166222441883</v>
      </c>
      <c r="E124" s="103">
        <f t="shared" si="23"/>
        <v>52902.443118180818</v>
      </c>
      <c r="F124" s="67">
        <f t="shared" si="23"/>
        <v>47653.095021962305</v>
      </c>
      <c r="G124" s="67">
        <f t="shared" ref="G124:I124" si="24">+SUM(G120:G123)</f>
        <v>49653.050256494484</v>
      </c>
      <c r="H124" s="67">
        <f t="shared" si="24"/>
        <v>0</v>
      </c>
      <c r="I124" s="67">
        <f t="shared" si="24"/>
        <v>0</v>
      </c>
    </row>
    <row r="125" spans="1:9">
      <c r="A125" s="7" t="str">
        <f>HLOOKUP(INDICE!$F$2,Nombres!$C$3:$D$636,38,FALSE)</f>
        <v>Operating expenses</v>
      </c>
      <c r="B125" s="70">
        <v>-15605.180575751985</v>
      </c>
      <c r="C125" s="70">
        <v>-16130.153302104274</v>
      </c>
      <c r="D125" s="70">
        <v>-16488.254901774559</v>
      </c>
      <c r="E125" s="71">
        <v>-16713.201273523464</v>
      </c>
      <c r="F125" s="70">
        <v>-17480.657125333088</v>
      </c>
      <c r="G125" s="70">
        <v>-16558.271007525742</v>
      </c>
      <c r="H125" s="70">
        <v>0</v>
      </c>
      <c r="I125" s="70">
        <v>0</v>
      </c>
    </row>
    <row r="126" spans="1:9">
      <c r="A126" s="7" t="str">
        <f>HLOOKUP(INDICE!$F$2,Nombres!$C$3:$D$636,39,FALSE)</f>
        <v xml:space="preserve">  Administration expenses</v>
      </c>
      <c r="B126" s="70">
        <v>-13473.929327127213</v>
      </c>
      <c r="C126" s="70">
        <v>-14005.24455847551</v>
      </c>
      <c r="D126" s="70">
        <v>-14445.308585996127</v>
      </c>
      <c r="E126" s="71">
        <v>-14769.061774479458</v>
      </c>
      <c r="F126" s="70">
        <v>-15589.834063706854</v>
      </c>
      <c r="G126" s="70">
        <v>-14636.638984638445</v>
      </c>
      <c r="H126" s="70">
        <v>0</v>
      </c>
      <c r="I126" s="70">
        <v>0</v>
      </c>
    </row>
    <row r="127" spans="1:9">
      <c r="A127" s="72" t="str">
        <f>HLOOKUP(INDICE!$F$2,Nombres!$C$3:$D$636,40,FALSE)</f>
        <v xml:space="preserve">  Personnel expenses</v>
      </c>
      <c r="B127" s="70">
        <v>-5704.2909251964629</v>
      </c>
      <c r="C127" s="70">
        <v>-6841.7744101632688</v>
      </c>
      <c r="D127" s="70">
        <v>-7135.6988697058378</v>
      </c>
      <c r="E127" s="71">
        <v>-7669.2608984906765</v>
      </c>
      <c r="F127" s="70">
        <v>-7194.2500261436899</v>
      </c>
      <c r="G127" s="70">
        <v>-7506.6184459162823</v>
      </c>
      <c r="H127" s="70">
        <v>0</v>
      </c>
      <c r="I127" s="70">
        <v>0</v>
      </c>
    </row>
    <row r="128" spans="1:9">
      <c r="A128" s="72" t="str">
        <f>HLOOKUP(INDICE!$F$2,Nombres!$C$3:$D$636,41,FALSE)</f>
        <v xml:space="preserve">  General and administrative expenses</v>
      </c>
      <c r="B128" s="70">
        <v>-7769.6384019307498</v>
      </c>
      <c r="C128" s="70">
        <v>-7163.4701483122417</v>
      </c>
      <c r="D128" s="70">
        <v>-7309.609716290287</v>
      </c>
      <c r="E128" s="71">
        <v>-7099.8008759887798</v>
      </c>
      <c r="F128" s="70">
        <v>-8395.5840375631651</v>
      </c>
      <c r="G128" s="70">
        <v>-7130.0205387221649</v>
      </c>
      <c r="H128" s="70">
        <v>0</v>
      </c>
      <c r="I128" s="70">
        <v>0</v>
      </c>
    </row>
    <row r="129" spans="1:9">
      <c r="A129" s="7" t="str">
        <f>HLOOKUP(INDICE!$F$2,Nombres!$C$3:$D$636,42,FALSE)</f>
        <v xml:space="preserve">  Depreciation</v>
      </c>
      <c r="B129" s="70">
        <v>-2131.251248624772</v>
      </c>
      <c r="C129" s="70">
        <v>-2124.908743628765</v>
      </c>
      <c r="D129" s="70">
        <v>-2042.946315778431</v>
      </c>
      <c r="E129" s="71">
        <v>-1944.1394990440044</v>
      </c>
      <c r="F129" s="70">
        <v>-1890.8230616262372</v>
      </c>
      <c r="G129" s="70">
        <v>-1921.6320228872971</v>
      </c>
      <c r="H129" s="70">
        <v>0</v>
      </c>
      <c r="I129" s="70">
        <v>0</v>
      </c>
    </row>
    <row r="130" spans="1:9">
      <c r="A130" s="17" t="str">
        <f>HLOOKUP(INDICE!$F$2,Nombres!$C$3:$D$636,43,FALSE)</f>
        <v>Operating income</v>
      </c>
      <c r="B130" s="67">
        <f t="shared" ref="B130:I130" si="25">+B124+B125</f>
        <v>24836.883436542084</v>
      </c>
      <c r="C130" s="67">
        <f t="shared" si="25"/>
        <v>29181.679448147723</v>
      </c>
      <c r="D130" s="67">
        <f t="shared" si="25"/>
        <v>30737.911320667325</v>
      </c>
      <c r="E130" s="103">
        <f t="shared" si="25"/>
        <v>36189.241844657357</v>
      </c>
      <c r="F130" s="67">
        <f t="shared" si="25"/>
        <v>30172.437896629217</v>
      </c>
      <c r="G130" s="67">
        <f t="shared" si="25"/>
        <v>33094.779248968742</v>
      </c>
      <c r="H130" s="67">
        <f t="shared" si="25"/>
        <v>0</v>
      </c>
      <c r="I130" s="67">
        <f t="shared" si="25"/>
        <v>0</v>
      </c>
    </row>
    <row r="131" spans="1:9">
      <c r="A131" s="7" t="str">
        <f>HLOOKUP(INDICE!$F$2,Nombres!$C$3:$D$636,44,FALSE)</f>
        <v>Impaiment on financial assets not measured at fair value through profit or loss</v>
      </c>
      <c r="B131" s="70">
        <v>-16581.580837302336</v>
      </c>
      <c r="C131" s="70">
        <v>-16091.44324454585</v>
      </c>
      <c r="D131" s="70">
        <v>-14101.532392014065</v>
      </c>
      <c r="E131" s="71">
        <v>-20641.652520435211</v>
      </c>
      <c r="F131" s="70">
        <v>-16311.458812877658</v>
      </c>
      <c r="G131" s="70">
        <v>-20768.312674397825</v>
      </c>
      <c r="H131" s="70">
        <v>0</v>
      </c>
      <c r="I131" s="70">
        <v>0</v>
      </c>
    </row>
    <row r="132" spans="1:9">
      <c r="A132" s="7" t="str">
        <f>HLOOKUP(INDICE!$F$2,Nombres!$C$3:$D$636,45,FALSE)</f>
        <v>Provisions or reversal of provisions and other results</v>
      </c>
      <c r="B132" s="70">
        <v>-47.654047899792999</v>
      </c>
      <c r="C132" s="70">
        <v>265.89188852319501</v>
      </c>
      <c r="D132" s="70">
        <v>-1656.5658864941061</v>
      </c>
      <c r="E132" s="71">
        <v>-904.60231389795706</v>
      </c>
      <c r="F132" s="70">
        <v>295.44110337909927</v>
      </c>
      <c r="G132" s="70">
        <v>-410.02308679343992</v>
      </c>
      <c r="H132" s="70">
        <v>0</v>
      </c>
      <c r="I132" s="70">
        <v>0</v>
      </c>
    </row>
    <row r="133" spans="1:9">
      <c r="A133" s="17" t="str">
        <f>HLOOKUP(INDICE!$F$2,Nombres!$C$3:$D$636,46,FALSE)</f>
        <v>Profit/(loss) before tax</v>
      </c>
      <c r="B133" s="67">
        <f t="shared" ref="B133:I133" si="26">+B130+B131+B132</f>
        <v>8207.6485513399566</v>
      </c>
      <c r="C133" s="67">
        <f t="shared" si="26"/>
        <v>13356.128092125067</v>
      </c>
      <c r="D133" s="67">
        <f t="shared" si="26"/>
        <v>14979.813042159152</v>
      </c>
      <c r="E133" s="103">
        <f t="shared" si="26"/>
        <v>14642.98701032419</v>
      </c>
      <c r="F133" s="67">
        <f t="shared" si="26"/>
        <v>14156.420187130658</v>
      </c>
      <c r="G133" s="67">
        <f t="shared" si="26"/>
        <v>11916.443487777477</v>
      </c>
      <c r="H133" s="67">
        <f t="shared" si="26"/>
        <v>0</v>
      </c>
      <c r="I133" s="67">
        <f t="shared" si="26"/>
        <v>0</v>
      </c>
    </row>
    <row r="134" spans="1:9">
      <c r="A134" s="7" t="str">
        <f>HLOOKUP(INDICE!$F$2,Nombres!$C$3:$D$636,47,FALSE)</f>
        <v>Income tax</v>
      </c>
      <c r="B134" s="70">
        <v>-1476.5655150152106</v>
      </c>
      <c r="C134" s="70">
        <v>-1949.037171493025</v>
      </c>
      <c r="D134" s="70">
        <v>-3961.7735741915149</v>
      </c>
      <c r="E134" s="71">
        <v>-3809.4654640165318</v>
      </c>
      <c r="F134" s="70">
        <v>-3578.5035176871211</v>
      </c>
      <c r="G134" s="70">
        <v>2687.8127573876404</v>
      </c>
      <c r="H134" s="70">
        <v>0</v>
      </c>
      <c r="I134" s="70">
        <v>0</v>
      </c>
    </row>
    <row r="135" spans="1:9">
      <c r="A135" s="17" t="str">
        <f>HLOOKUP(INDICE!$F$2,Nombres!$C$3:$D$636,48,FALSE)</f>
        <v>Profit/(loss) for the year</v>
      </c>
      <c r="B135" s="67">
        <f t="shared" ref="B135:I135" si="27">+B133+B134</f>
        <v>6731.083036324746</v>
      </c>
      <c r="C135" s="67">
        <f t="shared" si="27"/>
        <v>11407.090920632043</v>
      </c>
      <c r="D135" s="67">
        <f t="shared" si="27"/>
        <v>11018.039467967637</v>
      </c>
      <c r="E135" s="103">
        <f t="shared" si="27"/>
        <v>10833.521546307658</v>
      </c>
      <c r="F135" s="67">
        <f t="shared" si="27"/>
        <v>10577.916669443537</v>
      </c>
      <c r="G135" s="67">
        <f t="shared" si="27"/>
        <v>14604.256245165117</v>
      </c>
      <c r="H135" s="67">
        <f t="shared" si="27"/>
        <v>0</v>
      </c>
      <c r="I135" s="67">
        <f t="shared" si="27"/>
        <v>0</v>
      </c>
    </row>
    <row r="136" spans="1:9">
      <c r="A136" s="7" t="str">
        <f>HLOOKUP(INDICE!$F$2,Nombres!$C$3:$D$636,49,FALSE)</f>
        <v>Non-controlling interests</v>
      </c>
      <c r="B136" s="70">
        <v>0</v>
      </c>
      <c r="C136" s="70">
        <v>0</v>
      </c>
      <c r="D136" s="70">
        <v>0</v>
      </c>
      <c r="E136" s="71">
        <v>0</v>
      </c>
      <c r="F136" s="70">
        <v>0</v>
      </c>
      <c r="G136" s="70">
        <v>0</v>
      </c>
      <c r="H136" s="70">
        <v>0</v>
      </c>
      <c r="I136" s="70">
        <v>0</v>
      </c>
    </row>
    <row r="137" spans="1:9">
      <c r="A137" s="18" t="str">
        <f>HLOOKUP(INDICE!$F$2,Nombres!$C$3:$D$636,50,FALSE)</f>
        <v>Net attributable profit</v>
      </c>
      <c r="B137" s="88">
        <f t="shared" ref="B137:I137" si="28">+B135+B136</f>
        <v>6731.083036324746</v>
      </c>
      <c r="C137" s="88">
        <f t="shared" si="28"/>
        <v>11407.090920632043</v>
      </c>
      <c r="D137" s="88">
        <f t="shared" si="28"/>
        <v>11018.039467967637</v>
      </c>
      <c r="E137" s="100">
        <f t="shared" si="28"/>
        <v>10833.521546307658</v>
      </c>
      <c r="F137" s="88">
        <f t="shared" si="28"/>
        <v>10577.916669443537</v>
      </c>
      <c r="G137" s="88">
        <f t="shared" si="28"/>
        <v>14604.256245165117</v>
      </c>
      <c r="H137" s="88">
        <f t="shared" si="28"/>
        <v>0</v>
      </c>
      <c r="I137" s="88">
        <f t="shared" si="28"/>
        <v>0</v>
      </c>
    </row>
    <row r="138" spans="1:9">
      <c r="A138" s="104"/>
      <c r="B138" s="93">
        <v>0</v>
      </c>
      <c r="C138" s="93">
        <v>0</v>
      </c>
      <c r="D138" s="93">
        <v>0</v>
      </c>
      <c r="E138" s="93">
        <v>0</v>
      </c>
      <c r="F138" s="93">
        <v>0</v>
      </c>
      <c r="G138" s="93">
        <v>0</v>
      </c>
      <c r="H138" s="93">
        <v>0</v>
      </c>
      <c r="I138" s="93">
        <v>0</v>
      </c>
    </row>
    <row r="139" spans="1:9">
      <c r="A139" s="17"/>
      <c r="B139" s="17"/>
      <c r="C139" s="17"/>
      <c r="D139" s="17"/>
      <c r="E139" s="17"/>
      <c r="F139" s="67"/>
      <c r="G139" s="67"/>
      <c r="H139" s="67"/>
      <c r="I139" s="67"/>
    </row>
    <row r="140" spans="1:9" ht="17">
      <c r="A140" s="59" t="str">
        <f>HLOOKUP(INDICE!$F$2,Nombres!$C$3:$D$636,51,FALSE)</f>
        <v>Balance sheets</v>
      </c>
      <c r="B140" s="60"/>
      <c r="C140" s="60"/>
      <c r="D140" s="60"/>
      <c r="E140" s="60"/>
      <c r="F140" s="95"/>
      <c r="G140" s="95"/>
      <c r="H140" s="95"/>
      <c r="I140" s="95"/>
    </row>
    <row r="141" spans="1:9">
      <c r="A141" s="9" t="str">
        <f>HLOOKUP(INDICE!$F$2,Nombres!$C$3:$D$636,81,FALSE)</f>
        <v>(Million Chilean pesos)</v>
      </c>
      <c r="B141" s="57"/>
      <c r="C141" s="78"/>
      <c r="D141" s="78"/>
      <c r="E141" s="78"/>
      <c r="F141" s="96"/>
      <c r="G141" s="70"/>
      <c r="H141" s="70"/>
      <c r="I141" s="70"/>
    </row>
    <row r="142" spans="1:9">
      <c r="A142" s="57"/>
      <c r="B142" s="80">
        <f t="shared" ref="B142:I142" si="29">+B$30</f>
        <v>45747</v>
      </c>
      <c r="C142" s="80">
        <f t="shared" si="29"/>
        <v>45838</v>
      </c>
      <c r="D142" s="80">
        <f t="shared" si="29"/>
        <v>45930</v>
      </c>
      <c r="E142" s="92">
        <f t="shared" si="29"/>
        <v>46022</v>
      </c>
      <c r="F142" s="80">
        <f t="shared" si="29"/>
        <v>46112</v>
      </c>
      <c r="G142" s="80">
        <f t="shared" si="29"/>
        <v>46203</v>
      </c>
      <c r="H142" s="80">
        <f t="shared" si="29"/>
        <v>46295</v>
      </c>
      <c r="I142" s="80">
        <f t="shared" si="29"/>
        <v>46387</v>
      </c>
    </row>
    <row r="143" spans="1:9">
      <c r="A143" s="7" t="str">
        <f>HLOOKUP(INDICE!$F$2,Nombres!$C$3:$D$636,52,FALSE)</f>
        <v>Cash, cash balances at central banks and other demand deposits</v>
      </c>
      <c r="B143" s="70">
        <v>23276.939445230815</v>
      </c>
      <c r="C143" s="70">
        <v>49663.483482119504</v>
      </c>
      <c r="D143" s="70">
        <v>71061.788014195947</v>
      </c>
      <c r="E143" s="71">
        <v>46813.350780089342</v>
      </c>
      <c r="F143" s="70">
        <v>29546.822754153327</v>
      </c>
      <c r="G143" s="70">
        <v>40101.83480465156</v>
      </c>
      <c r="H143" s="70">
        <v>0</v>
      </c>
      <c r="I143" s="70">
        <v>0</v>
      </c>
    </row>
    <row r="144" spans="1:9">
      <c r="A144" s="7" t="str">
        <f>HLOOKUP(INDICE!$F$2,Nombres!$C$3:$D$636,53,FALSE)</f>
        <v xml:space="preserve">Financial assets designated at fair value </v>
      </c>
      <c r="B144" s="79">
        <v>0</v>
      </c>
      <c r="C144" s="79">
        <v>0</v>
      </c>
      <c r="D144" s="79">
        <v>0</v>
      </c>
      <c r="E144" s="89">
        <v>0</v>
      </c>
      <c r="F144" s="70">
        <v>0</v>
      </c>
      <c r="G144" s="70">
        <v>0</v>
      </c>
      <c r="H144" s="70">
        <v>0</v>
      </c>
      <c r="I144" s="70">
        <v>0</v>
      </c>
    </row>
    <row r="145" spans="1:9">
      <c r="A145" s="7" t="str">
        <f>HLOOKUP(INDICE!$F$2,Nombres!$C$3:$D$636,54,FALSE)</f>
        <v>Financial assets at amortized cost</v>
      </c>
      <c r="B145" s="70">
        <v>2193328.4280577935</v>
      </c>
      <c r="C145" s="70">
        <v>2261076.3561894819</v>
      </c>
      <c r="D145" s="70">
        <v>2325222.0595666757</v>
      </c>
      <c r="E145" s="71">
        <v>2416794.6596651124</v>
      </c>
      <c r="F145" s="70">
        <v>2362804.3065675069</v>
      </c>
      <c r="G145" s="70">
        <v>2331069.5601146729</v>
      </c>
      <c r="H145" s="70">
        <v>0</v>
      </c>
      <c r="I145" s="70">
        <v>0</v>
      </c>
    </row>
    <row r="146" spans="1:9">
      <c r="A146" s="7" t="str">
        <f>HLOOKUP(INDICE!$F$2,Nombres!$C$3:$D$636,55,FALSE)</f>
        <v xml:space="preserve">    of which loans and advances to customers</v>
      </c>
      <c r="B146" s="70">
        <v>2191127.5094791008</v>
      </c>
      <c r="C146" s="70">
        <v>2215545.1903790114</v>
      </c>
      <c r="D146" s="70">
        <v>2320971.7825292512</v>
      </c>
      <c r="E146" s="71">
        <v>2397082.3165565743</v>
      </c>
      <c r="F146" s="70">
        <v>2352104.8970155311</v>
      </c>
      <c r="G146" s="70">
        <v>2327541.6411587456</v>
      </c>
      <c r="H146" s="70">
        <v>0</v>
      </c>
      <c r="I146" s="70">
        <v>0</v>
      </c>
    </row>
    <row r="147" spans="1:9" hidden="1">
      <c r="A147" s="7"/>
      <c r="B147" s="70"/>
      <c r="C147" s="70"/>
      <c r="D147" s="70"/>
      <c r="E147" s="71"/>
      <c r="F147" s="70"/>
      <c r="G147" s="70"/>
      <c r="H147" s="70"/>
      <c r="I147" s="70"/>
    </row>
    <row r="148" spans="1:9">
      <c r="A148" s="7" t="str">
        <f>HLOOKUP(INDICE!$F$2,Nombres!$C$3:$D$636,56,FALSE)</f>
        <v>Tangible assets</v>
      </c>
      <c r="B148" s="70">
        <v>7162.450046886267</v>
      </c>
      <c r="C148" s="70">
        <v>7151.4977539340025</v>
      </c>
      <c r="D148" s="70">
        <v>7716.1827150489571</v>
      </c>
      <c r="E148" s="71">
        <v>7307.6578540139444</v>
      </c>
      <c r="F148" s="70">
        <v>7047.9642458701783</v>
      </c>
      <c r="G148" s="70">
        <v>6639.6758902431538</v>
      </c>
      <c r="H148" s="70">
        <v>0</v>
      </c>
      <c r="I148" s="70">
        <v>0</v>
      </c>
    </row>
    <row r="149" spans="1:9">
      <c r="A149" s="7" t="str">
        <f>HLOOKUP(INDICE!$F$2,Nombres!$C$3:$D$636,57,FALSE)</f>
        <v>Other assets</v>
      </c>
      <c r="B149" s="79">
        <f>+B150-B148-B145-B144-B143</f>
        <v>250578.31388664647</v>
      </c>
      <c r="C149" s="79">
        <f t="shared" ref="C149:I149" si="30">+C150-C148-C145-C144-C143</f>
        <v>229323.88883386331</v>
      </c>
      <c r="D149" s="79">
        <f t="shared" si="30"/>
        <v>226632.5336209544</v>
      </c>
      <c r="E149" s="89">
        <f t="shared" si="30"/>
        <v>254604.08318238758</v>
      </c>
      <c r="F149" s="70">
        <f t="shared" si="30"/>
        <v>285422.20085960411</v>
      </c>
      <c r="G149" s="70">
        <f t="shared" si="30"/>
        <v>237064.17340961867</v>
      </c>
      <c r="H149" s="70">
        <f t="shared" si="30"/>
        <v>0</v>
      </c>
      <c r="I149" s="70">
        <f t="shared" si="30"/>
        <v>0</v>
      </c>
    </row>
    <row r="150" spans="1:9">
      <c r="A150" s="18" t="str">
        <f>HLOOKUP(INDICE!$F$2,Nombres!$C$3:$D$636,58,FALSE)</f>
        <v>Total assets / Liabilities and equity</v>
      </c>
      <c r="B150" s="18">
        <v>2474346.131436557</v>
      </c>
      <c r="C150" s="18">
        <v>2547215.2262593987</v>
      </c>
      <c r="D150" s="18">
        <v>2630632.563916875</v>
      </c>
      <c r="E150" s="18">
        <v>2725519.7514816034</v>
      </c>
      <c r="F150" s="88">
        <v>2684821.2944271346</v>
      </c>
      <c r="G150" s="88">
        <v>2614875.2442191863</v>
      </c>
      <c r="H150" s="88">
        <v>0</v>
      </c>
      <c r="I150" s="88">
        <v>0</v>
      </c>
    </row>
    <row r="151" spans="1:9">
      <c r="A151" s="7" t="str">
        <f>HLOOKUP(INDICE!$F$2,Nombres!$C$3:$D$636,59,FALSE)</f>
        <v>Financial liabilities held for trading and designated at fair value through profit or loss</v>
      </c>
      <c r="B151" s="79">
        <v>0</v>
      </c>
      <c r="C151" s="79">
        <v>0</v>
      </c>
      <c r="D151" s="79">
        <v>0</v>
      </c>
      <c r="E151" s="89">
        <v>0</v>
      </c>
      <c r="F151" s="70">
        <v>0</v>
      </c>
      <c r="G151" s="70">
        <v>0</v>
      </c>
      <c r="H151" s="70">
        <v>0</v>
      </c>
      <c r="I151" s="70">
        <v>0</v>
      </c>
    </row>
    <row r="152" spans="1:9">
      <c r="A152" s="7" t="str">
        <f>HLOOKUP(INDICE!$F$2,Nombres!$C$3:$D$636,60,FALSE)</f>
        <v>Deposits from central banks and credit institutions</v>
      </c>
      <c r="B152" s="79">
        <v>897884.73787766253</v>
      </c>
      <c r="C152" s="79">
        <v>862181.54235739005</v>
      </c>
      <c r="D152" s="79">
        <v>918487.57640805468</v>
      </c>
      <c r="E152" s="89">
        <v>873970.7246251679</v>
      </c>
      <c r="F152" s="70">
        <v>861185.18138310849</v>
      </c>
      <c r="G152" s="70">
        <v>910165.25771808962</v>
      </c>
      <c r="H152" s="70">
        <v>0</v>
      </c>
      <c r="I152" s="70">
        <v>0</v>
      </c>
    </row>
    <row r="153" spans="1:9">
      <c r="A153" s="7" t="str">
        <f>HLOOKUP(INDICE!$F$2,Nombres!$C$3:$D$636,61,FALSE)</f>
        <v>Deposits from customers</v>
      </c>
      <c r="B153" s="79">
        <v>1.0231953520698547</v>
      </c>
      <c r="C153" s="79">
        <v>2.1933767475299835</v>
      </c>
      <c r="D153" s="79">
        <v>10.157321771268844</v>
      </c>
      <c r="E153" s="89">
        <v>25.581066029489516</v>
      </c>
      <c r="F153" s="70">
        <v>1.9419082641601561E-5</v>
      </c>
      <c r="G153" s="70">
        <v>-1.8439483642578125E-7</v>
      </c>
      <c r="H153" s="70">
        <v>0</v>
      </c>
      <c r="I153" s="70">
        <v>0</v>
      </c>
    </row>
    <row r="154" spans="1:9">
      <c r="A154" s="7" t="str">
        <f>HLOOKUP(INDICE!$F$2,Nombres!$C$3:$D$636,62,FALSE)</f>
        <v>Debt certificates</v>
      </c>
      <c r="B154" s="70">
        <v>1112787.7272957349</v>
      </c>
      <c r="C154" s="70">
        <v>1210748.3881296131</v>
      </c>
      <c r="D154" s="70">
        <v>1175422.900353543</v>
      </c>
      <c r="E154" s="71">
        <v>1270038.9162659275</v>
      </c>
      <c r="F154" s="70">
        <v>1215227.700099522</v>
      </c>
      <c r="G154" s="70">
        <v>1205857.433138381</v>
      </c>
      <c r="H154" s="70">
        <v>0</v>
      </c>
      <c r="I154" s="70">
        <v>0</v>
      </c>
    </row>
    <row r="155" spans="1:9" hidden="1">
      <c r="A155" s="7"/>
      <c r="B155" s="70"/>
      <c r="C155" s="70"/>
      <c r="D155" s="70"/>
      <c r="E155" s="71"/>
      <c r="F155" s="70"/>
      <c r="G155" s="70"/>
      <c r="H155" s="70"/>
      <c r="I155" s="70"/>
    </row>
    <row r="156" spans="1:9">
      <c r="A156" s="7" t="str">
        <f>HLOOKUP(INDICE!$F$2,Nombres!$C$3:$D$636,63,FALSE)</f>
        <v>Other liabilities</v>
      </c>
      <c r="B156" s="79">
        <f>+B150-B151-B152-B153-B154-B157</f>
        <v>178881.19710133091</v>
      </c>
      <c r="C156" s="79">
        <f t="shared" ref="C156:I156" si="31">+C150-C151-C152-C153-C154-C157</f>
        <v>182580.79954309494</v>
      </c>
      <c r="D156" s="79">
        <f t="shared" si="31"/>
        <v>240381.45674224198</v>
      </c>
      <c r="E156" s="89">
        <f t="shared" si="31"/>
        <v>282148.53387690522</v>
      </c>
      <c r="F156" s="70">
        <f t="shared" si="31"/>
        <v>290480.72666623758</v>
      </c>
      <c r="G156" s="70">
        <f t="shared" si="31"/>
        <v>190734.23902301671</v>
      </c>
      <c r="H156" s="70">
        <f t="shared" si="31"/>
        <v>0</v>
      </c>
      <c r="I156" s="70">
        <f t="shared" si="31"/>
        <v>0</v>
      </c>
    </row>
    <row r="157" spans="1:9">
      <c r="A157" s="7" t="str">
        <f>HLOOKUP(INDICE!$F$2,Nombres!$C$3:$D$636,282,FALSE)</f>
        <v>Allocated regulatory capital</v>
      </c>
      <c r="B157" s="79">
        <v>284791.44596647652</v>
      </c>
      <c r="C157" s="79">
        <v>291702.3028525532</v>
      </c>
      <c r="D157" s="79">
        <v>296330.47309126402</v>
      </c>
      <c r="E157" s="79">
        <v>299335.99564757338</v>
      </c>
      <c r="F157" s="79">
        <v>317927.68625884748</v>
      </c>
      <c r="G157" s="79">
        <v>308118.31433988345</v>
      </c>
      <c r="H157" s="79">
        <v>0</v>
      </c>
      <c r="I157" s="79">
        <v>0</v>
      </c>
    </row>
    <row r="158" spans="1:9">
      <c r="A158" s="8"/>
      <c r="B158" s="79"/>
      <c r="C158" s="79"/>
      <c r="D158" s="79"/>
      <c r="E158" s="79"/>
      <c r="F158" s="70"/>
      <c r="G158" s="70"/>
      <c r="H158" s="70"/>
      <c r="I158" s="70"/>
    </row>
    <row r="159" spans="1:9">
      <c r="A159" s="7"/>
      <c r="B159" s="79"/>
      <c r="C159" s="79"/>
      <c r="D159" s="79"/>
      <c r="E159" s="79"/>
      <c r="F159" s="70"/>
      <c r="G159" s="70"/>
      <c r="H159" s="70"/>
      <c r="I159" s="70"/>
    </row>
    <row r="160" spans="1:9" ht="17">
      <c r="A160" s="59" t="str">
        <f>HLOOKUP(INDICE!$F$2,Nombres!$C$3:$D$636,65,FALSE)</f>
        <v>Relevant business indicators</v>
      </c>
      <c r="B160" s="60"/>
      <c r="C160" s="60"/>
      <c r="D160" s="60"/>
      <c r="E160" s="60"/>
      <c r="F160" s="95"/>
      <c r="G160" s="95"/>
      <c r="H160" s="95"/>
      <c r="I160" s="95"/>
    </row>
    <row r="161" spans="1:9">
      <c r="A161" s="9" t="str">
        <f>HLOOKUP(INDICE!$F$2,Nombres!$C$3:$D$636,81,FALSE)</f>
        <v>(Million Chilean pesos)</v>
      </c>
      <c r="B161" s="57"/>
      <c r="C161" s="57"/>
      <c r="D161" s="57"/>
      <c r="E161" s="57"/>
      <c r="F161" s="96"/>
      <c r="G161" s="70"/>
      <c r="H161" s="70"/>
      <c r="I161" s="70"/>
    </row>
    <row r="162" spans="1:9" ht="15.75" customHeight="1">
      <c r="A162" s="57"/>
      <c r="B162" s="80">
        <f t="shared" ref="B162:I162" si="32">+B$30</f>
        <v>45747</v>
      </c>
      <c r="C162" s="80">
        <f t="shared" si="32"/>
        <v>45838</v>
      </c>
      <c r="D162" s="80">
        <f t="shared" si="32"/>
        <v>45930</v>
      </c>
      <c r="E162" s="92">
        <f t="shared" si="32"/>
        <v>46022</v>
      </c>
      <c r="F162" s="80">
        <f t="shared" si="32"/>
        <v>46112</v>
      </c>
      <c r="G162" s="80">
        <f t="shared" si="32"/>
        <v>46203</v>
      </c>
      <c r="H162" s="80">
        <f t="shared" si="32"/>
        <v>46295</v>
      </c>
      <c r="I162" s="80">
        <f t="shared" si="32"/>
        <v>46387</v>
      </c>
    </row>
    <row r="163" spans="1:9" ht="15.75" customHeight="1">
      <c r="A163" s="7" t="str">
        <f>HLOOKUP(INDICE!$F$2,Nombres!$C$3:$D$636,66,FALSE)</f>
        <v>Loans and advances to customers (gross) (*)</v>
      </c>
      <c r="B163" s="70">
        <v>2278151.2775487686</v>
      </c>
      <c r="C163" s="70">
        <v>2301566.0505730491</v>
      </c>
      <c r="D163" s="70">
        <v>2407898.1866653487</v>
      </c>
      <c r="E163" s="71">
        <v>2488808.5580884991</v>
      </c>
      <c r="F163" s="70">
        <v>2443662.022822293</v>
      </c>
      <c r="G163" s="70">
        <v>2423286.2298982977</v>
      </c>
      <c r="H163" s="70">
        <v>0</v>
      </c>
      <c r="I163" s="70">
        <v>0</v>
      </c>
    </row>
    <row r="164" spans="1:9" ht="15.75" customHeight="1">
      <c r="A164" s="7" t="str">
        <f>HLOOKUP(INDICE!$F$2,Nombres!$C$3:$D$636,67,FALSE)</f>
        <v>Customer deposits under management (*)</v>
      </c>
      <c r="B164" s="70">
        <v>1.0231953520698547</v>
      </c>
      <c r="C164" s="70">
        <v>2.1933767475299835</v>
      </c>
      <c r="D164" s="70">
        <v>10.157321771268844</v>
      </c>
      <c r="E164" s="71">
        <v>25.581066029489516</v>
      </c>
      <c r="F164" s="70">
        <v>1.9419082641601561E-5</v>
      </c>
      <c r="G164" s="70">
        <v>-1.8439483642578125E-7</v>
      </c>
      <c r="H164" s="70">
        <v>0</v>
      </c>
      <c r="I164" s="70">
        <v>0</v>
      </c>
    </row>
    <row r="165" spans="1:9" ht="15.75" customHeight="1">
      <c r="A165" s="7" t="str">
        <f>HLOOKUP(INDICE!$F$2,Nombres!$C$3:$D$636,68,FALSE)</f>
        <v>Investment funds and managed portfolios</v>
      </c>
      <c r="B165" s="70">
        <v>0</v>
      </c>
      <c r="C165" s="70">
        <v>0</v>
      </c>
      <c r="D165" s="70">
        <v>0</v>
      </c>
      <c r="E165" s="71">
        <v>0</v>
      </c>
      <c r="F165" s="70">
        <v>0</v>
      </c>
      <c r="G165" s="70">
        <v>0</v>
      </c>
      <c r="H165" s="70">
        <v>0</v>
      </c>
      <c r="I165" s="70">
        <v>0</v>
      </c>
    </row>
    <row r="166" spans="1:9" ht="15.75" customHeight="1">
      <c r="A166" s="7" t="str">
        <f>HLOOKUP(INDICE!$F$2,Nombres!$C$3:$D$636,69,FALSE)</f>
        <v>Pension funds</v>
      </c>
      <c r="B166" s="70">
        <v>0</v>
      </c>
      <c r="C166" s="70">
        <v>0</v>
      </c>
      <c r="D166" s="70">
        <v>0</v>
      </c>
      <c r="E166" s="71">
        <v>0</v>
      </c>
      <c r="F166" s="70">
        <v>0</v>
      </c>
      <c r="G166" s="70">
        <v>0</v>
      </c>
      <c r="H166" s="70">
        <v>0</v>
      </c>
      <c r="I166" s="70">
        <v>0</v>
      </c>
    </row>
    <row r="167" spans="1:9">
      <c r="A167" s="7" t="str">
        <f>HLOOKUP(INDICE!$F$2,Nombres!$C$3:$D$636,70,FALSE)</f>
        <v>Other off balance-sheet funds</v>
      </c>
      <c r="B167" s="70">
        <v>0</v>
      </c>
      <c r="C167" s="70">
        <v>0</v>
      </c>
      <c r="D167" s="70">
        <v>0</v>
      </c>
      <c r="E167" s="71">
        <v>0</v>
      </c>
      <c r="F167" s="70">
        <v>0</v>
      </c>
      <c r="G167" s="70">
        <v>0</v>
      </c>
      <c r="H167" s="70">
        <v>0</v>
      </c>
      <c r="I167" s="70">
        <v>0</v>
      </c>
    </row>
    <row r="168" spans="1:9">
      <c r="A168" s="8" t="str">
        <f>HLOOKUP(INDICE!$F$2,Nombres!$C$3:$D$636,71,FALSE)</f>
        <v xml:space="preserve">(*) Excluding repos. </v>
      </c>
      <c r="B168" s="70"/>
      <c r="C168" s="79"/>
      <c r="D168" s="79"/>
      <c r="E168" s="79"/>
      <c r="F168" s="70"/>
      <c r="G168" s="70"/>
      <c r="H168" s="70"/>
      <c r="I168" s="70"/>
    </row>
    <row r="169" spans="1:9">
      <c r="A169" s="8">
        <f>HLOOKUP(INDICE!$F$2,Nombres!$C$3:$D$636,72,FALSE)</f>
        <v>0</v>
      </c>
      <c r="B169" s="57"/>
      <c r="C169" s="57"/>
      <c r="D169" s="57"/>
      <c r="E169" s="57"/>
      <c r="F169" s="57"/>
      <c r="G169" s="57"/>
      <c r="H169" s="57"/>
      <c r="I169" s="57"/>
    </row>
    <row r="170" spans="1:9">
      <c r="A170" s="57"/>
      <c r="B170" s="57"/>
      <c r="C170" s="57"/>
      <c r="D170" s="57"/>
      <c r="E170" s="57"/>
      <c r="F170" s="57"/>
      <c r="G170" s="57"/>
      <c r="H170" s="57"/>
      <c r="I170" s="57"/>
    </row>
    <row r="171" spans="1:9">
      <c r="A171" s="57"/>
      <c r="B171" s="57"/>
      <c r="C171" s="57"/>
      <c r="D171" s="57"/>
      <c r="E171" s="57"/>
      <c r="F171" s="57"/>
      <c r="G171" s="57"/>
      <c r="H171" s="57"/>
      <c r="I171" s="57"/>
    </row>
    <row r="172" spans="1:9">
      <c r="A172" s="98"/>
      <c r="C172" s="99"/>
      <c r="D172" s="99"/>
      <c r="E172" s="99"/>
    </row>
    <row r="173" spans="1:9">
      <c r="A173" s="98"/>
      <c r="C173" s="99"/>
      <c r="D173" s="99"/>
      <c r="E173" s="99"/>
    </row>
    <row r="997" spans="1:1">
      <c r="A997" t="s">
        <v>557</v>
      </c>
    </row>
  </sheetData>
  <mergeCells count="6">
    <mergeCell ref="B6:E6"/>
    <mergeCell ref="F6:I6"/>
    <mergeCell ref="B62:E62"/>
    <mergeCell ref="F62:I62"/>
    <mergeCell ref="B118:E118"/>
    <mergeCell ref="F118:I118"/>
  </mergeCells>
  <conditionalFormatting sqref="B26:I26">
    <cfRule type="cellIs" dxfId="29" priority="3" operator="notBetween">
      <formula>0.5</formula>
      <formula>-0.5</formula>
    </cfRule>
  </conditionalFormatting>
  <conditionalFormatting sqref="B82:I82">
    <cfRule type="cellIs" dxfId="28" priority="2" operator="notBetween">
      <formula>0.5</formula>
      <formula>-0.5</formula>
    </cfRule>
  </conditionalFormatting>
  <conditionalFormatting sqref="B138:I138">
    <cfRule type="cellIs" dxfId="27" priority="1" operator="notBetween">
      <formula>0.5</formula>
      <formula>-0.5</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71D02-70A2-460A-B531-0E6D0A32212C}">
  <sheetPr>
    <tabColor theme="8"/>
  </sheetPr>
  <dimension ref="A1:I1006"/>
  <sheetViews>
    <sheetView showGridLines="0" workbookViewId="0">
      <selection activeCell="I1" sqref="H1:I1048576"/>
    </sheetView>
  </sheetViews>
  <sheetFormatPr baseColWidth="10" defaultColWidth="11.453125" defaultRowHeight="14.5"/>
  <cols>
    <col min="1" max="1" width="62" customWidth="1"/>
    <col min="2" max="7" width="12.26953125" customWidth="1"/>
    <col min="8" max="9" width="12.26953125" hidden="1" customWidth="1"/>
  </cols>
  <sheetData>
    <row r="1" spans="1:9" ht="17">
      <c r="A1" s="56" t="str">
        <f>HLOOKUP(INDICE!$F$2,Nombres!$C$3:$D$636,16,FALSE)</f>
        <v>Colombia</v>
      </c>
      <c r="B1" s="57"/>
      <c r="C1" s="57"/>
      <c r="D1" s="57"/>
      <c r="E1" s="57"/>
      <c r="F1" s="57"/>
      <c r="G1" s="57"/>
      <c r="H1" s="57"/>
      <c r="I1" s="57"/>
    </row>
    <row r="2" spans="1:9" ht="19.5">
      <c r="A2" s="58"/>
      <c r="B2" s="57"/>
      <c r="C2" s="57"/>
      <c r="D2" s="57"/>
      <c r="E2" s="57"/>
      <c r="F2" s="57"/>
      <c r="G2" s="57"/>
      <c r="H2" s="57"/>
      <c r="I2" s="57"/>
    </row>
    <row r="3" spans="1:9" ht="17">
      <c r="A3" s="59" t="str">
        <f>HLOOKUP(INDICE!$F$2,Nombres!$C$3:$D$636,31,FALSE)</f>
        <v xml:space="preserve">Income statement  </v>
      </c>
      <c r="B3" s="60"/>
      <c r="C3" s="60"/>
      <c r="D3" s="60"/>
      <c r="E3" s="60"/>
      <c r="F3" s="60"/>
      <c r="G3" s="60"/>
      <c r="H3" s="60"/>
      <c r="I3" s="60"/>
    </row>
    <row r="4" spans="1:9">
      <c r="A4" s="9" t="str">
        <f>HLOOKUP(INDICE!$F$2,Nombres!$C$3:$D$636,32,FALSE)</f>
        <v>(Million euros)</v>
      </c>
      <c r="B4" s="57"/>
      <c r="C4" s="61"/>
      <c r="D4" s="61"/>
      <c r="E4" s="61"/>
      <c r="F4" s="57"/>
      <c r="G4" s="57"/>
      <c r="H4" s="57"/>
      <c r="I4" s="57"/>
    </row>
    <row r="5" spans="1:9">
      <c r="A5" s="62"/>
      <c r="B5" s="57"/>
      <c r="C5" s="61"/>
      <c r="D5" s="61"/>
      <c r="E5" s="61"/>
      <c r="F5" s="57"/>
      <c r="G5" s="57"/>
      <c r="H5" s="57"/>
      <c r="I5" s="57"/>
    </row>
    <row r="6" spans="1:9">
      <c r="A6" s="63"/>
      <c r="B6" s="257">
        <f>+España!B6</f>
        <v>2025</v>
      </c>
      <c r="C6" s="257"/>
      <c r="D6" s="257"/>
      <c r="E6" s="258"/>
      <c r="F6" s="257">
        <f>+España!F6</f>
        <v>2026</v>
      </c>
      <c r="G6" s="257"/>
      <c r="H6" s="257"/>
      <c r="I6" s="257"/>
    </row>
    <row r="7" spans="1:9">
      <c r="A7" s="63"/>
      <c r="B7" s="64" t="str">
        <f>+España!B7</f>
        <v>1Q</v>
      </c>
      <c r="C7" s="64" t="str">
        <f>+España!C7</f>
        <v>2Q</v>
      </c>
      <c r="D7" s="64" t="str">
        <f>+España!D7</f>
        <v>3Q</v>
      </c>
      <c r="E7" s="65" t="str">
        <f>+España!E7</f>
        <v>4Q</v>
      </c>
      <c r="F7" s="64" t="str">
        <f>+España!F7</f>
        <v>1Q</v>
      </c>
      <c r="G7" s="64" t="str">
        <f>+España!G7</f>
        <v>2Q</v>
      </c>
      <c r="H7" s="64" t="str">
        <f>+España!H7</f>
        <v>3Q</v>
      </c>
      <c r="I7" s="64" t="str">
        <f>+España!I7</f>
        <v>4Q</v>
      </c>
    </row>
    <row r="8" spans="1:9">
      <c r="A8" s="17" t="str">
        <f>HLOOKUP(INDICE!$F$2,Nombres!$C$3:$D$636,33,FALSE)</f>
        <v>Net interest income</v>
      </c>
      <c r="B8" s="17">
        <v>235.02400019999988</v>
      </c>
      <c r="C8" s="17">
        <v>238.06200010000009</v>
      </c>
      <c r="D8" s="17">
        <v>251.04099979999947</v>
      </c>
      <c r="E8" s="66">
        <v>274.65317021299995</v>
      </c>
      <c r="F8" s="67">
        <v>296.10799999999995</v>
      </c>
      <c r="G8" s="67">
        <v>322.01099999999968</v>
      </c>
      <c r="H8" s="67">
        <v>0</v>
      </c>
      <c r="I8" s="67">
        <v>0</v>
      </c>
    </row>
    <row r="9" spans="1:9">
      <c r="A9" s="7" t="str">
        <f>HLOOKUP(INDICE!$F$2,Nombres!$C$3:$D$636,34,FALSE)</f>
        <v>Net fees and commissions</v>
      </c>
      <c r="B9" s="70">
        <v>26.026827151999992</v>
      </c>
      <c r="C9" s="70">
        <v>25.481160183000128</v>
      </c>
      <c r="D9" s="70">
        <v>31.924326347999944</v>
      </c>
      <c r="E9" s="71">
        <v>48.053529163000057</v>
      </c>
      <c r="F9" s="70">
        <v>39.03428513099999</v>
      </c>
      <c r="G9" s="70">
        <v>46.064635100999951</v>
      </c>
      <c r="H9" s="70">
        <v>0</v>
      </c>
      <c r="I9" s="70">
        <v>0</v>
      </c>
    </row>
    <row r="10" spans="1:9">
      <c r="A10" s="7" t="str">
        <f>HLOOKUP(INDICE!$F$2,Nombres!$C$3:$D$636,35,FALSE)</f>
        <v>Net trading income</v>
      </c>
      <c r="B10" s="70">
        <v>27.148708508000002</v>
      </c>
      <c r="C10" s="70">
        <v>14.100616619000009</v>
      </c>
      <c r="D10" s="70">
        <v>25.189196771999971</v>
      </c>
      <c r="E10" s="71">
        <v>14.31602357699991</v>
      </c>
      <c r="F10" s="70">
        <v>24.728047349000022</v>
      </c>
      <c r="G10" s="70">
        <v>28.901286937000016</v>
      </c>
      <c r="H10" s="70">
        <v>0</v>
      </c>
      <c r="I10" s="70">
        <v>0</v>
      </c>
    </row>
    <row r="11" spans="1:9">
      <c r="A11" s="7" t="str">
        <f>HLOOKUP(INDICE!$F$2,Nombres!$C$3:$D$636,36,FALSE)</f>
        <v>Other operating income and expenses</v>
      </c>
      <c r="B11" s="70">
        <v>-6.3759999999999959</v>
      </c>
      <c r="C11" s="70">
        <v>-3.5079999999999907</v>
      </c>
      <c r="D11" s="70">
        <v>-14.220000000000017</v>
      </c>
      <c r="E11" s="71">
        <v>-50.812000000000005</v>
      </c>
      <c r="F11" s="70">
        <v>2.4992767349999996</v>
      </c>
      <c r="G11" s="70">
        <v>-7.8982841010000016</v>
      </c>
      <c r="H11" s="70">
        <v>0</v>
      </c>
      <c r="I11" s="70">
        <v>0</v>
      </c>
    </row>
    <row r="12" spans="1:9">
      <c r="A12" s="17" t="str">
        <f>HLOOKUP(INDICE!$F$2,Nombres!$C$3:$D$636,37,FALSE)</f>
        <v>Gross income</v>
      </c>
      <c r="B12" s="17">
        <f>+SUM(B8:B11)</f>
        <v>281.82353585999994</v>
      </c>
      <c r="C12" s="17">
        <f t="shared" ref="C12:I12" si="0">+SUM(C8:C11)</f>
        <v>274.13577690200026</v>
      </c>
      <c r="D12" s="17">
        <f t="shared" si="0"/>
        <v>293.93452291999932</v>
      </c>
      <c r="E12" s="66">
        <f t="shared" si="0"/>
        <v>286.2107229529999</v>
      </c>
      <c r="F12" s="67">
        <f t="shared" si="0"/>
        <v>362.36960921499997</v>
      </c>
      <c r="G12" s="67">
        <f t="shared" si="0"/>
        <v>389.07863793699966</v>
      </c>
      <c r="H12" s="67">
        <f t="shared" si="0"/>
        <v>0</v>
      </c>
      <c r="I12" s="67">
        <f t="shared" si="0"/>
        <v>0</v>
      </c>
    </row>
    <row r="13" spans="1:9">
      <c r="A13" s="7" t="str">
        <f>HLOOKUP(INDICE!$F$2,Nombres!$C$3:$D$636,38,FALSE)</f>
        <v>Operating expenses</v>
      </c>
      <c r="B13" s="70">
        <v>-129.43529107499995</v>
      </c>
      <c r="C13" s="70">
        <v>-121.76759007499999</v>
      </c>
      <c r="D13" s="70">
        <v>-132.77430179000015</v>
      </c>
      <c r="E13" s="71">
        <v>-142.47253264699992</v>
      </c>
      <c r="F13" s="70">
        <v>-144.48280173199993</v>
      </c>
      <c r="G13" s="70">
        <v>-170.32368387199995</v>
      </c>
      <c r="H13" s="70">
        <v>0</v>
      </c>
      <c r="I13" s="70">
        <v>0</v>
      </c>
    </row>
    <row r="14" spans="1:9">
      <c r="A14" s="7" t="str">
        <f>HLOOKUP(INDICE!$F$2,Nombres!$C$3:$D$636,39,FALSE)</f>
        <v xml:space="preserve">  Administration expenses</v>
      </c>
      <c r="B14" s="70">
        <v>-119.72129107499995</v>
      </c>
      <c r="C14" s="70">
        <v>-112.82859007499999</v>
      </c>
      <c r="D14" s="70">
        <v>-123.33030179000014</v>
      </c>
      <c r="E14" s="71">
        <v>-132.66453264699996</v>
      </c>
      <c r="F14" s="70">
        <v>-133.63780173199996</v>
      </c>
      <c r="G14" s="70">
        <v>-158.55868387199996</v>
      </c>
      <c r="H14" s="70">
        <v>0</v>
      </c>
      <c r="I14" s="70">
        <v>0</v>
      </c>
    </row>
    <row r="15" spans="1:9">
      <c r="A15" s="72" t="str">
        <f>HLOOKUP(INDICE!$F$2,Nombres!$C$3:$D$636,40,FALSE)</f>
        <v xml:space="preserve">  Personnel expenses</v>
      </c>
      <c r="B15" s="70">
        <v>-50.321999999999996</v>
      </c>
      <c r="C15" s="70">
        <v>-50.727000000000025</v>
      </c>
      <c r="D15" s="70">
        <v>-59.474000000000082</v>
      </c>
      <c r="E15" s="71">
        <v>-65.055999999999983</v>
      </c>
      <c r="F15" s="70">
        <v>-58.62299999999999</v>
      </c>
      <c r="G15" s="70">
        <v>-80.611999999999952</v>
      </c>
      <c r="H15" s="70">
        <v>0</v>
      </c>
      <c r="I15" s="70">
        <v>0</v>
      </c>
    </row>
    <row r="16" spans="1:9">
      <c r="A16" s="72" t="str">
        <f>HLOOKUP(INDICE!$F$2,Nombres!$C$3:$D$636,41,FALSE)</f>
        <v xml:space="preserve">  General and administrative expenses</v>
      </c>
      <c r="B16" s="70">
        <v>-69.399291075000008</v>
      </c>
      <c r="C16" s="70">
        <v>-62.10159007499994</v>
      </c>
      <c r="D16" s="70">
        <v>-63.856301790000025</v>
      </c>
      <c r="E16" s="71">
        <v>-67.608532646999976</v>
      </c>
      <c r="F16" s="70">
        <v>-75.014801731999967</v>
      </c>
      <c r="G16" s="70">
        <v>-77.94668387199998</v>
      </c>
      <c r="H16" s="70">
        <v>0</v>
      </c>
      <c r="I16" s="70">
        <v>0</v>
      </c>
    </row>
    <row r="17" spans="1:9">
      <c r="A17" s="7" t="str">
        <f>HLOOKUP(INDICE!$F$2,Nombres!$C$3:$D$636,42,FALSE)</f>
        <v xml:space="preserve">  Depreciation</v>
      </c>
      <c r="B17" s="70">
        <v>-9.7140000000000004</v>
      </c>
      <c r="C17" s="70">
        <v>-8.9390000000000036</v>
      </c>
      <c r="D17" s="70">
        <v>-9.4440000000000008</v>
      </c>
      <c r="E17" s="71">
        <v>-9.8079999999999981</v>
      </c>
      <c r="F17" s="70">
        <v>-10.845000000000001</v>
      </c>
      <c r="G17" s="70">
        <v>-11.764999999999999</v>
      </c>
      <c r="H17" s="70">
        <v>0</v>
      </c>
      <c r="I17" s="70">
        <v>0</v>
      </c>
    </row>
    <row r="18" spans="1:9">
      <c r="A18" s="17" t="str">
        <f>HLOOKUP(INDICE!$F$2,Nombres!$C$3:$D$636,43,FALSE)</f>
        <v>Operating income</v>
      </c>
      <c r="B18" s="17">
        <f>+B12+B13</f>
        <v>152.38824478499998</v>
      </c>
      <c r="C18" s="17">
        <f t="shared" ref="C18:I18" si="1">+C12+C13</f>
        <v>152.36818682700027</v>
      </c>
      <c r="D18" s="17">
        <f t="shared" si="1"/>
        <v>161.16022112999917</v>
      </c>
      <c r="E18" s="66">
        <f t="shared" si="1"/>
        <v>143.73819030599998</v>
      </c>
      <c r="F18" s="67">
        <f t="shared" si="1"/>
        <v>217.88680748300004</v>
      </c>
      <c r="G18" s="67">
        <f t="shared" si="1"/>
        <v>218.75495406499971</v>
      </c>
      <c r="H18" s="67">
        <f t="shared" si="1"/>
        <v>0</v>
      </c>
      <c r="I18" s="67">
        <f t="shared" si="1"/>
        <v>0</v>
      </c>
    </row>
    <row r="19" spans="1:9">
      <c r="A19" s="7" t="str">
        <f>HLOOKUP(INDICE!$F$2,Nombres!$C$3:$D$636,44,FALSE)</f>
        <v>Impaiment on financial assets not measured at fair value through profit or loss</v>
      </c>
      <c r="B19" s="70">
        <v>-108.70200000000003</v>
      </c>
      <c r="C19" s="70">
        <v>-94.292000000000044</v>
      </c>
      <c r="D19" s="70">
        <v>-79.387999999999934</v>
      </c>
      <c r="E19" s="71">
        <v>-94.136999999999972</v>
      </c>
      <c r="F19" s="70">
        <v>-90.77</v>
      </c>
      <c r="G19" s="70">
        <v>-101.28999999999982</v>
      </c>
      <c r="H19" s="70">
        <v>0</v>
      </c>
      <c r="I19" s="70">
        <v>0</v>
      </c>
    </row>
    <row r="20" spans="1:9">
      <c r="A20" s="7" t="str">
        <f>HLOOKUP(INDICE!$F$2,Nombres!$C$3:$D$636,45,FALSE)</f>
        <v>Provisions or reversal of provisions and other results</v>
      </c>
      <c r="B20" s="70">
        <v>-0.29400000000000071</v>
      </c>
      <c r="C20" s="70">
        <v>-1.4579999999999986</v>
      </c>
      <c r="D20" s="70">
        <v>-5.8809999999999958</v>
      </c>
      <c r="E20" s="71">
        <v>8.133999999999995</v>
      </c>
      <c r="F20" s="70">
        <v>-3.3990000000000018</v>
      </c>
      <c r="G20" s="70">
        <v>2.3980000000000032</v>
      </c>
      <c r="H20" s="70">
        <v>0</v>
      </c>
      <c r="I20" s="70">
        <v>0</v>
      </c>
    </row>
    <row r="21" spans="1:9">
      <c r="A21" s="17" t="str">
        <f>HLOOKUP(INDICE!$F$2,Nombres!$C$3:$D$636,46,FALSE)</f>
        <v>Profit/(loss) before tax</v>
      </c>
      <c r="B21" s="17">
        <f>+B18+B19+B20</f>
        <v>43.392244784999953</v>
      </c>
      <c r="C21" s="17">
        <f t="shared" ref="C21:I21" si="2">+C18+C19+C20</f>
        <v>56.61818682700023</v>
      </c>
      <c r="D21" s="17">
        <f t="shared" si="2"/>
        <v>75.891221129999238</v>
      </c>
      <c r="E21" s="66">
        <f t="shared" si="2"/>
        <v>57.735190306</v>
      </c>
      <c r="F21" s="67">
        <f t="shared" si="2"/>
        <v>123.71780748300004</v>
      </c>
      <c r="G21" s="67">
        <f t="shared" si="2"/>
        <v>119.86295406499988</v>
      </c>
      <c r="H21" s="67">
        <f t="shared" si="2"/>
        <v>0</v>
      </c>
      <c r="I21" s="67">
        <f t="shared" si="2"/>
        <v>0</v>
      </c>
    </row>
    <row r="22" spans="1:9">
      <c r="A22" s="7" t="str">
        <f>HLOOKUP(INDICE!$F$2,Nombres!$C$3:$D$636,47,FALSE)</f>
        <v>Income tax</v>
      </c>
      <c r="B22" s="70">
        <v>-10.103123630020008</v>
      </c>
      <c r="C22" s="70">
        <v>-15.961513526769991</v>
      </c>
      <c r="D22" s="70">
        <v>-26.433429192889943</v>
      </c>
      <c r="E22" s="71">
        <v>-35.578699426780076</v>
      </c>
      <c r="F22" s="70">
        <v>-43.703880474870026</v>
      </c>
      <c r="G22" s="70">
        <v>-19.640797695219987</v>
      </c>
      <c r="H22" s="70">
        <v>0</v>
      </c>
      <c r="I22" s="70">
        <v>0</v>
      </c>
    </row>
    <row r="23" spans="1:9">
      <c r="A23" s="17" t="str">
        <f>HLOOKUP(INDICE!$F$2,Nombres!$C$3:$D$636,48,FALSE)</f>
        <v>Profit/(loss) for the year</v>
      </c>
      <c r="B23" s="17">
        <f>+B21+B22</f>
        <v>33.289121154979945</v>
      </c>
      <c r="C23" s="17">
        <f t="shared" ref="C23:I23" si="3">+C21+C22</f>
        <v>40.656673300230239</v>
      </c>
      <c r="D23" s="17">
        <f t="shared" si="3"/>
        <v>49.457791937109292</v>
      </c>
      <c r="E23" s="66">
        <f t="shared" si="3"/>
        <v>22.156490879219923</v>
      </c>
      <c r="F23" s="67">
        <f t="shared" si="3"/>
        <v>80.013927008130025</v>
      </c>
      <c r="G23" s="67">
        <f t="shared" si="3"/>
        <v>100.2221563697799</v>
      </c>
      <c r="H23" s="67">
        <f t="shared" si="3"/>
        <v>0</v>
      </c>
      <c r="I23" s="67">
        <f t="shared" si="3"/>
        <v>0</v>
      </c>
    </row>
    <row r="24" spans="1:9">
      <c r="A24" s="7" t="str">
        <f>HLOOKUP(INDICE!$F$2,Nombres!$C$3:$D$636,49,FALSE)</f>
        <v>Non-controlling interests</v>
      </c>
      <c r="B24" s="70">
        <v>-0.3783103599999999</v>
      </c>
      <c r="C24" s="70">
        <v>-0.59074666499999906</v>
      </c>
      <c r="D24" s="70">
        <v>-0.95965426100000206</v>
      </c>
      <c r="E24" s="71">
        <v>-1.2521140849999977</v>
      </c>
      <c r="F24" s="70">
        <v>-1.819195551</v>
      </c>
      <c r="G24" s="70">
        <v>-2.9625403736999991</v>
      </c>
      <c r="H24" s="70">
        <v>0</v>
      </c>
      <c r="I24" s="70">
        <v>0</v>
      </c>
    </row>
    <row r="25" spans="1:9">
      <c r="A25" s="18" t="str">
        <f>HLOOKUP(INDICE!$F$2,Nombres!$C$3:$D$636,50,FALSE)</f>
        <v>Net attributable profit</v>
      </c>
      <c r="B25" s="18">
        <f>+B23+B24</f>
        <v>32.910810794979945</v>
      </c>
      <c r="C25" s="18">
        <f t="shared" ref="C25:I25" si="4">+C23+C24</f>
        <v>40.065926635230241</v>
      </c>
      <c r="D25" s="18">
        <f t="shared" si="4"/>
        <v>48.498137676109287</v>
      </c>
      <c r="E25" s="18">
        <f t="shared" si="4"/>
        <v>20.904376794219925</v>
      </c>
      <c r="F25" s="88">
        <f t="shared" si="4"/>
        <v>78.194731457130018</v>
      </c>
      <c r="G25" s="88">
        <f t="shared" si="4"/>
        <v>97.259615996079901</v>
      </c>
      <c r="H25" s="88">
        <f t="shared" si="4"/>
        <v>0</v>
      </c>
      <c r="I25" s="88">
        <f t="shared" si="4"/>
        <v>0</v>
      </c>
    </row>
    <row r="26" spans="1:9">
      <c r="A26" s="8"/>
      <c r="B26" s="93">
        <v>0</v>
      </c>
      <c r="C26" s="93">
        <v>0</v>
      </c>
      <c r="D26" s="93">
        <v>-7.815970093361102E-14</v>
      </c>
      <c r="E26" s="93">
        <v>1.5276668818842154E-13</v>
      </c>
      <c r="F26" s="93">
        <v>0</v>
      </c>
      <c r="G26" s="93">
        <v>0</v>
      </c>
      <c r="H26" s="93">
        <v>0</v>
      </c>
      <c r="I26" s="93">
        <v>0</v>
      </c>
    </row>
    <row r="27" spans="1:9">
      <c r="A27" s="17"/>
      <c r="B27" s="17"/>
      <c r="C27" s="17"/>
      <c r="D27" s="17"/>
      <c r="E27" s="17"/>
      <c r="F27" s="17"/>
      <c r="G27" s="17"/>
      <c r="H27" s="17"/>
      <c r="I27" s="17"/>
    </row>
    <row r="28" spans="1:9" ht="17">
      <c r="A28" s="59" t="str">
        <f>HLOOKUP(INDICE!$F$2,Nombres!$C$3:$D$636,51,FALSE)</f>
        <v>Balance sheets</v>
      </c>
      <c r="B28" s="60"/>
      <c r="C28" s="60"/>
      <c r="D28" s="60"/>
      <c r="E28" s="60"/>
      <c r="F28" s="60"/>
      <c r="G28" s="60"/>
      <c r="H28" s="60"/>
      <c r="I28" s="60"/>
    </row>
    <row r="29" spans="1:9">
      <c r="A29" s="9" t="str">
        <f>HLOOKUP(INDICE!$F$2,Nombres!$C$3:$D$636,32,FALSE)</f>
        <v>(Million euros)</v>
      </c>
      <c r="B29" s="57"/>
      <c r="C29" s="78"/>
      <c r="D29" s="78"/>
      <c r="E29" s="78"/>
      <c r="F29" s="57"/>
      <c r="G29" s="79"/>
      <c r="H29" s="79"/>
      <c r="I29" s="79"/>
    </row>
    <row r="30" spans="1:9">
      <c r="A30" s="57"/>
      <c r="B30" s="80">
        <f>+España!B32</f>
        <v>45747</v>
      </c>
      <c r="C30" s="80">
        <f>+España!C32</f>
        <v>45838</v>
      </c>
      <c r="D30" s="80">
        <f>+España!D32</f>
        <v>45930</v>
      </c>
      <c r="E30" s="92">
        <f>+España!E32</f>
        <v>46022</v>
      </c>
      <c r="F30" s="94">
        <f>+España!F32</f>
        <v>46112</v>
      </c>
      <c r="G30" s="94">
        <f>+España!G32</f>
        <v>46203</v>
      </c>
      <c r="H30" s="94">
        <f>+España!H32</f>
        <v>46295</v>
      </c>
      <c r="I30" s="94">
        <f>+España!I32</f>
        <v>46387</v>
      </c>
    </row>
    <row r="31" spans="1:9">
      <c r="A31" s="7" t="str">
        <f>HLOOKUP(INDICE!$F$2,Nombres!$C$3:$D$636,52,FALSE)</f>
        <v>Cash, cash balances at central banks and other demand deposits</v>
      </c>
      <c r="B31" s="70">
        <v>1313.627</v>
      </c>
      <c r="C31" s="70">
        <v>1237.963999999999</v>
      </c>
      <c r="D31" s="70">
        <v>1670.346</v>
      </c>
      <c r="E31" s="71">
        <v>1698.7080000000001</v>
      </c>
      <c r="F31" s="70">
        <v>1772.7120000000004</v>
      </c>
      <c r="G31" s="70">
        <v>1764.7829999999994</v>
      </c>
      <c r="H31" s="70">
        <v>0</v>
      </c>
      <c r="I31" s="70">
        <v>0</v>
      </c>
    </row>
    <row r="32" spans="1:9">
      <c r="A32" s="7" t="str">
        <f>HLOOKUP(INDICE!$F$2,Nombres!$C$3:$D$636,53,FALSE)</f>
        <v xml:space="preserve">Financial assets designated at fair value </v>
      </c>
      <c r="B32" s="79">
        <v>3648.1770000000006</v>
      </c>
      <c r="C32" s="79">
        <v>3651.262999999999</v>
      </c>
      <c r="D32" s="79">
        <v>3838.3080000000009</v>
      </c>
      <c r="E32" s="89">
        <v>3868.2119999999995</v>
      </c>
      <c r="F32" s="70">
        <v>4356.3829999999998</v>
      </c>
      <c r="G32" s="70">
        <v>5647.9889999999996</v>
      </c>
      <c r="H32" s="70">
        <v>0</v>
      </c>
      <c r="I32" s="70">
        <v>0</v>
      </c>
    </row>
    <row r="33" spans="1:9">
      <c r="A33" s="7" t="str">
        <f>HLOOKUP(INDICE!$F$2,Nombres!$C$3:$D$636,54,FALSE)</f>
        <v>Financial assets at amortized cost</v>
      </c>
      <c r="B33" s="70">
        <v>17446.546999999999</v>
      </c>
      <c r="C33" s="70">
        <v>16636.006000000005</v>
      </c>
      <c r="D33" s="70">
        <v>17478.889000000003</v>
      </c>
      <c r="E33" s="71">
        <v>18559.471000000005</v>
      </c>
      <c r="F33" s="70">
        <v>19871.241000000009</v>
      </c>
      <c r="G33" s="70">
        <v>21875.534</v>
      </c>
      <c r="H33" s="70">
        <v>0</v>
      </c>
      <c r="I33" s="70">
        <v>0</v>
      </c>
    </row>
    <row r="34" spans="1:9">
      <c r="A34" s="7" t="str">
        <f>HLOOKUP(INDICE!$F$2,Nombres!$C$3:$D$636,55,FALSE)</f>
        <v xml:space="preserve">    of which loans and advances to customers</v>
      </c>
      <c r="B34" s="70">
        <v>16237.472999999998</v>
      </c>
      <c r="C34" s="70">
        <v>15714.430000000004</v>
      </c>
      <c r="D34" s="70">
        <v>16648.394000000004</v>
      </c>
      <c r="E34" s="71">
        <v>17438.096000000005</v>
      </c>
      <c r="F34" s="70">
        <v>18589.742000000009</v>
      </c>
      <c r="G34" s="70">
        <v>20642.047999999999</v>
      </c>
      <c r="H34" s="70">
        <v>0</v>
      </c>
      <c r="I34" s="70">
        <v>0</v>
      </c>
    </row>
    <row r="35" spans="1:9" hidden="1">
      <c r="A35" s="7"/>
      <c r="B35" s="70"/>
      <c r="C35" s="70"/>
      <c r="D35" s="70"/>
      <c r="E35" s="71"/>
      <c r="F35" s="70"/>
      <c r="G35" s="70"/>
      <c r="H35" s="70"/>
      <c r="I35" s="70"/>
    </row>
    <row r="36" spans="1:9">
      <c r="A36" s="7" t="str">
        <f>HLOOKUP(INDICE!$F$2,Nombres!$C$3:$D$636,56,FALSE)</f>
        <v>Tangible assets</v>
      </c>
      <c r="B36" s="70">
        <v>98.962999999999994</v>
      </c>
      <c r="C36" s="70">
        <v>90.220999999999933</v>
      </c>
      <c r="D36" s="70">
        <v>91.762000000000029</v>
      </c>
      <c r="E36" s="71">
        <v>97.109000000000023</v>
      </c>
      <c r="F36" s="70">
        <v>96.795999999999935</v>
      </c>
      <c r="G36" s="70">
        <v>99.607999999999976</v>
      </c>
      <c r="H36" s="70">
        <v>0</v>
      </c>
      <c r="I36" s="70">
        <v>0</v>
      </c>
    </row>
    <row r="37" spans="1:9">
      <c r="A37" s="7" t="str">
        <f>HLOOKUP(INDICE!$F$2,Nombres!$C$3:$D$636,57,FALSE)</f>
        <v>Other assets</v>
      </c>
      <c r="B37" s="79">
        <f>+B38-B36-B33-B32-B31</f>
        <v>1033.4709344249927</v>
      </c>
      <c r="C37" s="79">
        <f t="shared" ref="C37:I37" si="5">+C38-C36-C33-C32-C31</f>
        <v>992.58299999999235</v>
      </c>
      <c r="D37" s="79">
        <f t="shared" si="5"/>
        <v>1048.6619999999944</v>
      </c>
      <c r="E37" s="89">
        <f t="shared" si="5"/>
        <v>1170.335999999998</v>
      </c>
      <c r="F37" s="70">
        <f t="shared" si="5"/>
        <v>1000.949000001995</v>
      </c>
      <c r="G37" s="70">
        <f t="shared" si="5"/>
        <v>1012.9930000032964</v>
      </c>
      <c r="H37" s="70">
        <f t="shared" si="5"/>
        <v>0</v>
      </c>
      <c r="I37" s="70">
        <f t="shared" si="5"/>
        <v>0</v>
      </c>
    </row>
    <row r="38" spans="1:9">
      <c r="A38" s="18" t="str">
        <f>HLOOKUP(INDICE!$F$2,Nombres!$C$3:$D$636,58,FALSE)</f>
        <v>Total assets / Liabilities and equity</v>
      </c>
      <c r="B38" s="18">
        <v>23540.784934424992</v>
      </c>
      <c r="C38" s="18">
        <v>22608.036999999997</v>
      </c>
      <c r="D38" s="18">
        <v>24127.966999999997</v>
      </c>
      <c r="E38" s="18">
        <v>25393.836000000003</v>
      </c>
      <c r="F38" s="88">
        <v>27098.081000002003</v>
      </c>
      <c r="G38" s="88">
        <v>30400.907000003295</v>
      </c>
      <c r="H38" s="88">
        <v>0</v>
      </c>
      <c r="I38" s="88">
        <v>0</v>
      </c>
    </row>
    <row r="39" spans="1:9">
      <c r="A39" s="7" t="str">
        <f>HLOOKUP(INDICE!$F$2,Nombres!$C$3:$D$636,59,FALSE)</f>
        <v>Financial liabilities held for trading and designated at fair value through profit or loss</v>
      </c>
      <c r="B39" s="79">
        <v>1197.152</v>
      </c>
      <c r="C39" s="79">
        <v>1426.6690000000001</v>
      </c>
      <c r="D39" s="79">
        <v>2230.875</v>
      </c>
      <c r="E39" s="89">
        <v>2183.502</v>
      </c>
      <c r="F39" s="70">
        <v>2322.393</v>
      </c>
      <c r="G39" s="70">
        <v>2793.29</v>
      </c>
      <c r="H39" s="70">
        <v>0</v>
      </c>
      <c r="I39" s="70">
        <v>0</v>
      </c>
    </row>
    <row r="40" spans="1:9">
      <c r="A40" s="7" t="str">
        <f>HLOOKUP(INDICE!$F$2,Nombres!$C$3:$D$636,60,FALSE)</f>
        <v>Deposits from central banks and credit institutions</v>
      </c>
      <c r="B40" s="79">
        <v>729.22200002799968</v>
      </c>
      <c r="C40" s="79">
        <v>648.63299999900005</v>
      </c>
      <c r="D40" s="79">
        <v>657.09600002599973</v>
      </c>
      <c r="E40" s="89">
        <v>623.04200001900028</v>
      </c>
      <c r="F40" s="70">
        <v>753.30700012700004</v>
      </c>
      <c r="G40" s="70">
        <v>785.09799991699992</v>
      </c>
      <c r="H40" s="70">
        <v>0</v>
      </c>
      <c r="I40" s="70">
        <v>0</v>
      </c>
    </row>
    <row r="41" spans="1:9" ht="15.75" customHeight="1">
      <c r="A41" s="7" t="str">
        <f>HLOOKUP(INDICE!$F$2,Nombres!$C$3:$D$636,61,FALSE)</f>
        <v>Deposits from customers</v>
      </c>
      <c r="B41" s="79">
        <v>17366.615999972004</v>
      </c>
      <c r="C41" s="79">
        <v>16820.548000000999</v>
      </c>
      <c r="D41" s="79">
        <v>17295.082999974002</v>
      </c>
      <c r="E41" s="89">
        <v>18614.074999981</v>
      </c>
      <c r="F41" s="70">
        <v>20055.976999872997</v>
      </c>
      <c r="G41" s="70">
        <v>22483.104000083003</v>
      </c>
      <c r="H41" s="70">
        <v>0</v>
      </c>
      <c r="I41" s="70">
        <v>0</v>
      </c>
    </row>
    <row r="42" spans="1:9">
      <c r="A42" s="7" t="str">
        <f>HLOOKUP(INDICE!$F$2,Nombres!$C$3:$D$636,62,FALSE)</f>
        <v>Debt certificates</v>
      </c>
      <c r="B42" s="70">
        <v>1393.0425152280002</v>
      </c>
      <c r="C42" s="70">
        <v>963.38926396739976</v>
      </c>
      <c r="D42" s="70">
        <v>1050.0462951469283</v>
      </c>
      <c r="E42" s="71">
        <v>1099.2507067676784</v>
      </c>
      <c r="F42" s="70">
        <v>1131.2124779158253</v>
      </c>
      <c r="G42" s="70">
        <v>1119.0762971610882</v>
      </c>
      <c r="H42" s="70">
        <v>0</v>
      </c>
      <c r="I42" s="70">
        <v>0</v>
      </c>
    </row>
    <row r="43" spans="1:9" hidden="1">
      <c r="A43" s="7"/>
      <c r="B43" s="70"/>
      <c r="C43" s="70"/>
      <c r="D43" s="70"/>
      <c r="E43" s="71"/>
      <c r="F43" s="70"/>
      <c r="G43" s="70"/>
      <c r="H43" s="70"/>
      <c r="I43" s="70"/>
    </row>
    <row r="44" spans="1:9">
      <c r="A44" s="7" t="str">
        <f>HLOOKUP(INDICE!$F$2,Nombres!$C$3:$D$636,63,FALSE)</f>
        <v>Other liabilities</v>
      </c>
      <c r="B44" s="79">
        <f>+B38-B39-B40-B41-B42-B45</f>
        <v>406.3586820479868</v>
      </c>
      <c r="C44" s="79">
        <f t="shared" ref="C44:I44" si="6">+C38-C39-C40-C41-C42-C45</f>
        <v>467.04478677859515</v>
      </c>
      <c r="D44" s="79">
        <f t="shared" si="6"/>
        <v>632.54448145446759</v>
      </c>
      <c r="E44" s="89">
        <f t="shared" si="6"/>
        <v>416.66626558244479</v>
      </c>
      <c r="F44" s="70">
        <f t="shared" si="6"/>
        <v>346.15622724023706</v>
      </c>
      <c r="G44" s="70">
        <f t="shared" si="6"/>
        <v>623.9949340156013</v>
      </c>
      <c r="H44" s="70">
        <f t="shared" si="6"/>
        <v>0</v>
      </c>
      <c r="I44" s="70">
        <f t="shared" si="6"/>
        <v>0</v>
      </c>
    </row>
    <row r="45" spans="1:9">
      <c r="A45" s="7" t="str">
        <f>HLOOKUP(INDICE!$F$2,Nombres!$C$3:$D$636,282,FALSE)</f>
        <v>Allocated regulatory capital</v>
      </c>
      <c r="B45" s="79">
        <v>2448.3937371489992</v>
      </c>
      <c r="C45" s="79">
        <v>2281.7529492539998</v>
      </c>
      <c r="D45" s="79">
        <v>2262.3222233986012</v>
      </c>
      <c r="E45" s="79">
        <v>2457.300027649881</v>
      </c>
      <c r="F45" s="79">
        <v>2489.0352948459445</v>
      </c>
      <c r="G45" s="79">
        <v>2596.3437688265999</v>
      </c>
      <c r="H45" s="79">
        <v>0</v>
      </c>
      <c r="I45" s="79">
        <v>0</v>
      </c>
    </row>
    <row r="46" spans="1:9">
      <c r="A46" s="8"/>
      <c r="B46" s="79"/>
      <c r="C46" s="79"/>
      <c r="D46" s="79"/>
      <c r="E46" s="79"/>
      <c r="F46" s="70"/>
      <c r="G46" s="70"/>
      <c r="H46" s="70"/>
      <c r="I46" s="70"/>
    </row>
    <row r="47" spans="1:9">
      <c r="A47" s="7"/>
      <c r="B47" s="79"/>
      <c r="C47" s="79"/>
      <c r="D47" s="79"/>
      <c r="E47" s="79"/>
      <c r="F47" s="70"/>
      <c r="G47" s="70"/>
      <c r="H47" s="70"/>
      <c r="I47" s="70"/>
    </row>
    <row r="48" spans="1:9" ht="17">
      <c r="A48" s="59" t="str">
        <f>HLOOKUP(INDICE!$F$2,Nombres!$C$3:$D$636,65,FALSE)</f>
        <v>Relevant business indicators</v>
      </c>
      <c r="B48" s="60"/>
      <c r="C48" s="60"/>
      <c r="D48" s="60"/>
      <c r="E48" s="60"/>
      <c r="F48" s="95"/>
      <c r="G48" s="95"/>
      <c r="H48" s="95"/>
      <c r="I48" s="95"/>
    </row>
    <row r="49" spans="1:9">
      <c r="A49" s="9" t="str">
        <f>HLOOKUP(INDICE!$F$2,Nombres!$C$3:$D$636,32,FALSE)</f>
        <v>(Million euros)</v>
      </c>
      <c r="B49" s="57"/>
      <c r="C49" s="57"/>
      <c r="D49" s="57"/>
      <c r="E49" s="57"/>
      <c r="F49" s="96"/>
      <c r="G49" s="70"/>
      <c r="H49" s="70"/>
      <c r="I49" s="70"/>
    </row>
    <row r="50" spans="1:9">
      <c r="A50" s="57"/>
      <c r="B50" s="80">
        <f t="shared" ref="B50:I50" si="7">+B$30</f>
        <v>45747</v>
      </c>
      <c r="C50" s="80">
        <f t="shared" si="7"/>
        <v>45838</v>
      </c>
      <c r="D50" s="80">
        <f t="shared" si="7"/>
        <v>45930</v>
      </c>
      <c r="E50" s="92">
        <f t="shared" si="7"/>
        <v>46022</v>
      </c>
      <c r="F50" s="80">
        <f t="shared" si="7"/>
        <v>46112</v>
      </c>
      <c r="G50" s="80">
        <f t="shared" si="7"/>
        <v>46203</v>
      </c>
      <c r="H50" s="80">
        <f t="shared" si="7"/>
        <v>46295</v>
      </c>
      <c r="I50" s="80">
        <f t="shared" si="7"/>
        <v>46387</v>
      </c>
    </row>
    <row r="51" spans="1:9">
      <c r="A51" s="7" t="str">
        <f>HLOOKUP(INDICE!$F$2,Nombres!$C$3:$D$636,66,FALSE)</f>
        <v>Loans and advances to customers (gross) (*)</v>
      </c>
      <c r="B51" s="70">
        <v>17006.394999999997</v>
      </c>
      <c r="C51" s="70">
        <v>16421.999000000003</v>
      </c>
      <c r="D51" s="70">
        <v>17353.187000000009</v>
      </c>
      <c r="E51" s="71">
        <v>18139.624000000003</v>
      </c>
      <c r="F51" s="70">
        <v>19280.857000000004</v>
      </c>
      <c r="G51" s="70">
        <v>21332.976999999999</v>
      </c>
      <c r="H51" s="70">
        <v>0</v>
      </c>
      <c r="I51" s="70">
        <v>0</v>
      </c>
    </row>
    <row r="52" spans="1:9">
      <c r="A52" s="7" t="str">
        <f>HLOOKUP(INDICE!$F$2,Nombres!$C$3:$D$636,67,FALSE)</f>
        <v>Customer deposits under management (*)</v>
      </c>
      <c r="B52" s="70">
        <v>17366.615999972008</v>
      </c>
      <c r="C52" s="70">
        <v>16820.548000001003</v>
      </c>
      <c r="D52" s="70">
        <v>17295.082999973998</v>
      </c>
      <c r="E52" s="71">
        <v>18614.074999981</v>
      </c>
      <c r="F52" s="70">
        <v>20055.976999873004</v>
      </c>
      <c r="G52" s="70">
        <v>22483.104000083</v>
      </c>
      <c r="H52" s="70">
        <v>0</v>
      </c>
      <c r="I52" s="70">
        <v>0</v>
      </c>
    </row>
    <row r="53" spans="1:9">
      <c r="A53" s="7" t="str">
        <f>HLOOKUP(INDICE!$F$2,Nombres!$C$3:$D$636,68,FALSE)</f>
        <v>Investment funds and managed portfolios</v>
      </c>
      <c r="B53" s="70">
        <v>2640.183878294215</v>
      </c>
      <c r="C53" s="70">
        <v>2486.2928748909349</v>
      </c>
      <c r="D53" s="70">
        <v>2822.394925418916</v>
      </c>
      <c r="E53" s="71">
        <v>2985.2810328798682</v>
      </c>
      <c r="F53" s="70">
        <v>3310.5360683872441</v>
      </c>
      <c r="G53" s="70">
        <v>3507.031600515435</v>
      </c>
      <c r="H53" s="70">
        <v>0</v>
      </c>
      <c r="I53" s="70">
        <v>0</v>
      </c>
    </row>
    <row r="54" spans="1:9">
      <c r="A54" s="7" t="str">
        <f>HLOOKUP(INDICE!$F$2,Nombres!$C$3:$D$636,69,FALSE)</f>
        <v>Pension funds</v>
      </c>
      <c r="B54" s="70">
        <v>0</v>
      </c>
      <c r="C54" s="70">
        <v>0</v>
      </c>
      <c r="D54" s="70">
        <v>0</v>
      </c>
      <c r="E54" s="71">
        <v>0</v>
      </c>
      <c r="F54" s="70">
        <v>0</v>
      </c>
      <c r="G54" s="70">
        <v>0</v>
      </c>
      <c r="H54" s="70">
        <v>0</v>
      </c>
      <c r="I54" s="70">
        <v>0</v>
      </c>
    </row>
    <row r="55" spans="1:9">
      <c r="A55" s="7" t="str">
        <f>HLOOKUP(INDICE!$F$2,Nombres!$C$3:$D$636,70,FALSE)</f>
        <v>Other off balance-sheet funds</v>
      </c>
      <c r="B55" s="70">
        <v>0</v>
      </c>
      <c r="C55" s="70">
        <v>0</v>
      </c>
      <c r="D55" s="70">
        <v>0</v>
      </c>
      <c r="E55" s="71">
        <v>0</v>
      </c>
      <c r="F55" s="70">
        <v>0</v>
      </c>
      <c r="G55" s="70">
        <v>0</v>
      </c>
      <c r="H55" s="70">
        <v>0</v>
      </c>
      <c r="I55" s="70">
        <v>0</v>
      </c>
    </row>
    <row r="56" spans="1:9">
      <c r="A56" s="8" t="str">
        <f>HLOOKUP(INDICE!$F$2,Nombres!$C$3:$D$636,71,FALSE)</f>
        <v xml:space="preserve">(*) Excluding repos. </v>
      </c>
      <c r="B56" s="79"/>
      <c r="C56" s="79"/>
      <c r="D56" s="79"/>
      <c r="E56" s="79"/>
      <c r="F56" s="79"/>
      <c r="G56" s="79"/>
      <c r="H56" s="79"/>
      <c r="I56" s="79"/>
    </row>
    <row r="57" spans="1:9">
      <c r="A57" s="8">
        <f>HLOOKUP(INDICE!$F$2,Nombres!$C$3:$D$636,72,FALSE)</f>
        <v>0</v>
      </c>
      <c r="B57" s="57"/>
      <c r="C57" s="57"/>
      <c r="D57" s="57"/>
      <c r="E57" s="57"/>
      <c r="F57" s="57"/>
      <c r="G57" s="57"/>
      <c r="H57" s="57"/>
      <c r="I57" s="57"/>
    </row>
    <row r="58" spans="1:9">
      <c r="A58" s="8"/>
      <c r="B58" s="57"/>
      <c r="C58" s="57"/>
      <c r="D58" s="57"/>
      <c r="E58" s="57"/>
      <c r="F58" s="57"/>
      <c r="G58" s="57"/>
      <c r="H58" s="57"/>
      <c r="I58" s="57"/>
    </row>
    <row r="59" spans="1:9" ht="17">
      <c r="A59" s="59" t="str">
        <f>HLOOKUP(INDICE!$F$2,Nombres!$C$3:$D$636,31,FALSE)</f>
        <v xml:space="preserve">Income statement  </v>
      </c>
      <c r="B59" s="60"/>
      <c r="C59" s="60"/>
      <c r="D59" s="60"/>
      <c r="E59" s="60"/>
      <c r="F59" s="60"/>
      <c r="G59" s="60"/>
      <c r="H59" s="60"/>
      <c r="I59" s="60"/>
    </row>
    <row r="60" spans="1:9">
      <c r="A60" s="9" t="str">
        <f>HLOOKUP(INDICE!$F$2,Nombres!$C$3:$D$636,73,FALSE)</f>
        <v xml:space="preserve">(Constant million euros)    </v>
      </c>
      <c r="B60" s="57"/>
      <c r="C60" s="61"/>
      <c r="D60" s="61"/>
      <c r="E60" s="61"/>
      <c r="F60" s="57"/>
      <c r="G60" s="57"/>
      <c r="H60" s="57"/>
      <c r="I60" s="57"/>
    </row>
    <row r="61" spans="1:9">
      <c r="A61" s="62"/>
      <c r="B61" s="57"/>
      <c r="C61" s="61"/>
      <c r="D61" s="61"/>
      <c r="E61" s="61"/>
      <c r="F61" s="57"/>
      <c r="G61" s="57"/>
      <c r="H61" s="57"/>
      <c r="I61" s="57"/>
    </row>
    <row r="62" spans="1:9">
      <c r="A62" s="63"/>
      <c r="B62" s="257">
        <f>+B$6</f>
        <v>2025</v>
      </c>
      <c r="C62" s="257"/>
      <c r="D62" s="257"/>
      <c r="E62" s="258"/>
      <c r="F62" s="257">
        <f>+F$6</f>
        <v>2026</v>
      </c>
      <c r="G62" s="257"/>
      <c r="H62" s="257"/>
      <c r="I62" s="257"/>
    </row>
    <row r="63" spans="1:9">
      <c r="A63" s="63"/>
      <c r="B63" s="64" t="str">
        <f>+B$7</f>
        <v>1Q</v>
      </c>
      <c r="C63" s="64" t="str">
        <f t="shared" ref="C63:I63" si="8">+C$7</f>
        <v>2Q</v>
      </c>
      <c r="D63" s="64" t="str">
        <f t="shared" si="8"/>
        <v>3Q</v>
      </c>
      <c r="E63" s="65" t="str">
        <f t="shared" si="8"/>
        <v>4Q</v>
      </c>
      <c r="F63" s="64" t="str">
        <f t="shared" si="8"/>
        <v>1Q</v>
      </c>
      <c r="G63" s="64" t="str">
        <f t="shared" si="8"/>
        <v>2Q</v>
      </c>
      <c r="H63" s="64" t="str">
        <f t="shared" si="8"/>
        <v>3Q</v>
      </c>
      <c r="I63" s="64" t="str">
        <f t="shared" si="8"/>
        <v>4Q</v>
      </c>
    </row>
    <row r="64" spans="1:9">
      <c r="A64" s="17" t="str">
        <f>HLOOKUP(INDICE!$F$2,Nombres!$C$3:$D$636,33,FALSE)</f>
        <v>Net interest income</v>
      </c>
      <c r="B64" s="17">
        <v>243.21173815281952</v>
      </c>
      <c r="C64" s="17">
        <v>265.80485395008759</v>
      </c>
      <c r="D64" s="17">
        <v>275.56530363545312</v>
      </c>
      <c r="E64" s="66">
        <v>287.55068550963739</v>
      </c>
      <c r="F64" s="67">
        <v>300.51467485135305</v>
      </c>
      <c r="G64" s="67">
        <v>317.60432514925759</v>
      </c>
      <c r="H64" s="67">
        <v>0</v>
      </c>
      <c r="I64" s="67">
        <v>0</v>
      </c>
    </row>
    <row r="65" spans="1:9">
      <c r="A65" s="7" t="str">
        <f>HLOOKUP(INDICE!$F$2,Nombres!$C$3:$D$636,34,FALSE)</f>
        <v>Net fees and commissions</v>
      </c>
      <c r="B65" s="70">
        <v>26.933546637230148</v>
      </c>
      <c r="C65" s="70">
        <v>28.486440770486961</v>
      </c>
      <c r="D65" s="70">
        <v>34.977805833014031</v>
      </c>
      <c r="E65" s="71">
        <v>50.744632567956771</v>
      </c>
      <c r="F65" s="70">
        <v>39.615192781560573</v>
      </c>
      <c r="G65" s="70">
        <v>45.483727450446345</v>
      </c>
      <c r="H65" s="70">
        <v>0</v>
      </c>
      <c r="I65" s="70">
        <v>0</v>
      </c>
    </row>
    <row r="66" spans="1:9">
      <c r="A66" s="7" t="str">
        <f>HLOOKUP(INDICE!$F$2,Nombres!$C$3:$D$636,35,FALSE)</f>
        <v>Net trading income</v>
      </c>
      <c r="B66" s="70">
        <v>28.094511961464242</v>
      </c>
      <c r="C66" s="70">
        <v>16.287674130321388</v>
      </c>
      <c r="D66" s="70">
        <v>27.603061598509775</v>
      </c>
      <c r="E66" s="71">
        <v>14.700072925618807</v>
      </c>
      <c r="F66" s="70">
        <v>25.096049781739246</v>
      </c>
      <c r="G66" s="70">
        <v>28.533284504260099</v>
      </c>
      <c r="H66" s="70">
        <v>0</v>
      </c>
      <c r="I66" s="70">
        <v>0</v>
      </c>
    </row>
    <row r="67" spans="1:9">
      <c r="A67" s="7" t="str">
        <f>HLOOKUP(INDICE!$F$2,Nombres!$C$3:$D$636,36,FALSE)</f>
        <v>Other operating income and expenses</v>
      </c>
      <c r="B67" s="70">
        <v>-6.5981263233315941</v>
      </c>
      <c r="C67" s="70">
        <v>-4.0365574184723139</v>
      </c>
      <c r="D67" s="70">
        <v>-15.481677081336494</v>
      </c>
      <c r="E67" s="71">
        <v>-54.30161987723762</v>
      </c>
      <c r="F67" s="70">
        <v>2.5364709332613815</v>
      </c>
      <c r="G67" s="70">
        <v>-7.9354782998967801</v>
      </c>
      <c r="H67" s="70">
        <v>0</v>
      </c>
      <c r="I67" s="70">
        <v>0</v>
      </c>
    </row>
    <row r="68" spans="1:9">
      <c r="A68" s="17" t="str">
        <f>HLOOKUP(INDICE!$F$2,Nombres!$C$3:$D$636,37,FALSE)</f>
        <v>Gross income</v>
      </c>
      <c r="B68" s="17">
        <f>+SUM(B64:B67)</f>
        <v>291.64167042818235</v>
      </c>
      <c r="C68" s="17">
        <f t="shared" ref="C68:I68" si="9">+SUM(C64:C67)</f>
        <v>306.54241143242359</v>
      </c>
      <c r="D68" s="17">
        <f t="shared" si="9"/>
        <v>322.66449398564043</v>
      </c>
      <c r="E68" s="66">
        <f t="shared" si="9"/>
        <v>298.69377112597539</v>
      </c>
      <c r="F68" s="67">
        <f t="shared" si="9"/>
        <v>367.76238834791423</v>
      </c>
      <c r="G68" s="67">
        <f t="shared" si="9"/>
        <v>383.68585880406727</v>
      </c>
      <c r="H68" s="67">
        <f t="shared" si="9"/>
        <v>0</v>
      </c>
      <c r="I68" s="67">
        <f t="shared" si="9"/>
        <v>0</v>
      </c>
    </row>
    <row r="69" spans="1:9">
      <c r="A69" s="7" t="str">
        <f>HLOOKUP(INDICE!$F$2,Nombres!$C$3:$D$636,38,FALSE)</f>
        <v>Operating expenses</v>
      </c>
      <c r="B69" s="70">
        <v>-133.94454223377409</v>
      </c>
      <c r="C69" s="70">
        <v>-136.3370437962065</v>
      </c>
      <c r="D69" s="70">
        <v>-145.75254343751575</v>
      </c>
      <c r="E69" s="71">
        <v>-149.07910489995223</v>
      </c>
      <c r="F69" s="70">
        <v>-146.63299263771589</v>
      </c>
      <c r="G69" s="70">
        <v>-168.17349296626622</v>
      </c>
      <c r="H69" s="70">
        <v>0</v>
      </c>
      <c r="I69" s="70">
        <v>0</v>
      </c>
    </row>
    <row r="70" spans="1:9">
      <c r="A70" s="7" t="str">
        <f>HLOOKUP(INDICE!$F$2,Nombres!$C$3:$D$636,39,FALSE)</f>
        <v xml:space="preserve">  Administration expenses</v>
      </c>
      <c r="B70" s="70">
        <v>-123.89212706591289</v>
      </c>
      <c r="C70" s="70">
        <v>-126.31977504508912</v>
      </c>
      <c r="D70" s="70">
        <v>-135.37950457243033</v>
      </c>
      <c r="E70" s="71">
        <v>-138.83300876269948</v>
      </c>
      <c r="F70" s="70">
        <v>-135.62659750907005</v>
      </c>
      <c r="G70" s="70">
        <v>-156.5698880949121</v>
      </c>
      <c r="H70" s="70">
        <v>0</v>
      </c>
      <c r="I70" s="70">
        <v>0</v>
      </c>
    </row>
    <row r="71" spans="1:9">
      <c r="A71" s="72" t="str">
        <f>HLOOKUP(INDICE!$F$2,Nombres!$C$3:$D$636,40,FALSE)</f>
        <v xml:space="preserve">  Personnel expenses</v>
      </c>
      <c r="B71" s="70">
        <v>-52.075111805344058</v>
      </c>
      <c r="C71" s="70">
        <v>-56.648497819320447</v>
      </c>
      <c r="D71" s="70">
        <v>-65.200908632313144</v>
      </c>
      <c r="E71" s="71">
        <v>-68.221454133253303</v>
      </c>
      <c r="F71" s="70">
        <v>-59.49542661379499</v>
      </c>
      <c r="G71" s="70">
        <v>-79.739573386204981</v>
      </c>
      <c r="H71" s="70">
        <v>0</v>
      </c>
      <c r="I71" s="70">
        <v>0</v>
      </c>
    </row>
    <row r="72" spans="1:9">
      <c r="A72" s="72" t="str">
        <f>HLOOKUP(INDICE!$F$2,Nombres!$C$3:$D$636,41,FALSE)</f>
        <v xml:space="preserve">  General and administrative expenses</v>
      </c>
      <c r="B72" s="70">
        <v>-71.817015260568823</v>
      </c>
      <c r="C72" s="70">
        <v>-69.671277225768691</v>
      </c>
      <c r="D72" s="70">
        <v>-70.178595940117205</v>
      </c>
      <c r="E72" s="71">
        <v>-70.611554629446161</v>
      </c>
      <c r="F72" s="70">
        <v>-76.131170895275062</v>
      </c>
      <c r="G72" s="70">
        <v>-76.830314708707107</v>
      </c>
      <c r="H72" s="70">
        <v>0</v>
      </c>
      <c r="I72" s="70">
        <v>0</v>
      </c>
    </row>
    <row r="73" spans="1:9">
      <c r="A73" s="7" t="str">
        <f>HLOOKUP(INDICE!$F$2,Nombres!$C$3:$D$636,42,FALSE)</f>
        <v xml:space="preserve">  Depreciation</v>
      </c>
      <c r="B73" s="70">
        <v>-10.0524151678612</v>
      </c>
      <c r="C73" s="70">
        <v>-10.017268751117362</v>
      </c>
      <c r="D73" s="70">
        <v>-10.373038865085466</v>
      </c>
      <c r="E73" s="71">
        <v>-10.246096137252783</v>
      </c>
      <c r="F73" s="70">
        <v>-11.006395128645874</v>
      </c>
      <c r="G73" s="70">
        <v>-11.603604871354124</v>
      </c>
      <c r="H73" s="70">
        <v>0</v>
      </c>
      <c r="I73" s="70">
        <v>0</v>
      </c>
    </row>
    <row r="74" spans="1:9">
      <c r="A74" s="17" t="str">
        <f>HLOOKUP(INDICE!$F$2,Nombres!$C$3:$D$636,43,FALSE)</f>
        <v>Operating income</v>
      </c>
      <c r="B74" s="17">
        <f>+B68+B69</f>
        <v>157.69712819440826</v>
      </c>
      <c r="C74" s="17">
        <f t="shared" ref="C74:I74" si="10">+C68+C69</f>
        <v>170.20536763621709</v>
      </c>
      <c r="D74" s="17">
        <f t="shared" si="10"/>
        <v>176.91195054812468</v>
      </c>
      <c r="E74" s="66">
        <f t="shared" si="10"/>
        <v>149.61466622602316</v>
      </c>
      <c r="F74" s="67">
        <f t="shared" si="10"/>
        <v>221.12939571019834</v>
      </c>
      <c r="G74" s="67">
        <f t="shared" si="10"/>
        <v>215.51236583780104</v>
      </c>
      <c r="H74" s="67">
        <f t="shared" si="10"/>
        <v>0</v>
      </c>
      <c r="I74" s="67">
        <f t="shared" si="10"/>
        <v>0</v>
      </c>
    </row>
    <row r="75" spans="1:9">
      <c r="A75" s="7" t="str">
        <f>HLOOKUP(INDICE!$F$2,Nombres!$C$3:$D$636,44,FALSE)</f>
        <v>Impaiment on financial assets not measured at fair value through profit or loss</v>
      </c>
      <c r="B75" s="70">
        <v>-112.48894724900649</v>
      </c>
      <c r="C75" s="70">
        <v>-105.92232265123131</v>
      </c>
      <c r="D75" s="70">
        <v>-87.545841008740851</v>
      </c>
      <c r="E75" s="71">
        <v>-98.214196608111166</v>
      </c>
      <c r="F75" s="70">
        <v>-92.120837789505401</v>
      </c>
      <c r="G75" s="70">
        <v>-99.939162210494715</v>
      </c>
      <c r="H75" s="70">
        <v>0</v>
      </c>
      <c r="I75" s="70">
        <v>0</v>
      </c>
    </row>
    <row r="76" spans="1:9">
      <c r="A76" s="7" t="str">
        <f>HLOOKUP(INDICE!$F$2,Nombres!$C$3:$D$636,45,FALSE)</f>
        <v>Provisions or reversal of provisions and other results</v>
      </c>
      <c r="B76" s="70">
        <v>-0.30424233676664403</v>
      </c>
      <c r="C76" s="70">
        <v>-1.5808209895642662</v>
      </c>
      <c r="D76" s="70">
        <v>-6.3851898327522942</v>
      </c>
      <c r="E76" s="71">
        <v>8.8080475999110615</v>
      </c>
      <c r="F76" s="70">
        <v>-3.449583867428982</v>
      </c>
      <c r="G76" s="70">
        <v>2.4485838674289826</v>
      </c>
      <c r="H76" s="70">
        <v>0</v>
      </c>
      <c r="I76" s="70">
        <v>0</v>
      </c>
    </row>
    <row r="77" spans="1:9">
      <c r="A77" s="17" t="str">
        <f>HLOOKUP(INDICE!$F$2,Nombres!$C$3:$D$636,46,FALSE)</f>
        <v>Profit/(loss) before tax</v>
      </c>
      <c r="B77" s="17">
        <f>+B74+B75+B76</f>
        <v>44.903938608635137</v>
      </c>
      <c r="C77" s="17">
        <f t="shared" ref="C77:I77" si="11">+C74+C75+C76</f>
        <v>62.702223995421512</v>
      </c>
      <c r="D77" s="17">
        <f t="shared" si="11"/>
        <v>82.980919706631539</v>
      </c>
      <c r="E77" s="66">
        <f t="shared" si="11"/>
        <v>60.208517217823058</v>
      </c>
      <c r="F77" s="67">
        <f t="shared" si="11"/>
        <v>125.55897405326395</v>
      </c>
      <c r="G77" s="67">
        <f t="shared" si="11"/>
        <v>118.02178749473531</v>
      </c>
      <c r="H77" s="67">
        <f t="shared" si="11"/>
        <v>0</v>
      </c>
      <c r="I77" s="67">
        <f t="shared" si="11"/>
        <v>0</v>
      </c>
    </row>
    <row r="78" spans="1:9">
      <c r="A78" s="7" t="str">
        <f>HLOOKUP(INDICE!$F$2,Nombres!$C$3:$D$636,47,FALSE)</f>
        <v>Income tax</v>
      </c>
      <c r="B78" s="70">
        <v>-10.455095040270734</v>
      </c>
      <c r="C78" s="70">
        <v>-17.589135335520783</v>
      </c>
      <c r="D78" s="70">
        <v>-28.836720636156635</v>
      </c>
      <c r="E78" s="71">
        <v>-37.664348390600757</v>
      </c>
      <c r="F78" s="70">
        <v>-44.354280973861748</v>
      </c>
      <c r="G78" s="70">
        <v>-18.990397196228212</v>
      </c>
      <c r="H78" s="70">
        <v>0</v>
      </c>
      <c r="I78" s="70">
        <v>0</v>
      </c>
    </row>
    <row r="79" spans="1:9">
      <c r="A79" s="17" t="str">
        <f>HLOOKUP(INDICE!$F$2,Nombres!$C$3:$D$636,48,FALSE)</f>
        <v>Profit/(loss) for the year</v>
      </c>
      <c r="B79" s="17">
        <f>+B77+B78</f>
        <v>34.448843568364403</v>
      </c>
      <c r="C79" s="17">
        <f t="shared" ref="C79:I79" si="12">+C77+C78</f>
        <v>45.113088659900725</v>
      </c>
      <c r="D79" s="17">
        <f t="shared" si="12"/>
        <v>54.144199070474905</v>
      </c>
      <c r="E79" s="66">
        <f t="shared" si="12"/>
        <v>22.5441688272223</v>
      </c>
      <c r="F79" s="67">
        <f t="shared" si="12"/>
        <v>81.204693079402205</v>
      </c>
      <c r="G79" s="67">
        <f t="shared" si="12"/>
        <v>99.031390298507091</v>
      </c>
      <c r="H79" s="67">
        <f t="shared" si="12"/>
        <v>0</v>
      </c>
      <c r="I79" s="67">
        <f t="shared" si="12"/>
        <v>0</v>
      </c>
    </row>
    <row r="80" spans="1:9">
      <c r="A80" s="7" t="str">
        <f>HLOOKUP(INDICE!$F$2,Nombres!$C$3:$D$636,49,FALSE)</f>
        <v>Non-controlling interests</v>
      </c>
      <c r="B80" s="70">
        <v>-0.39148989098445858</v>
      </c>
      <c r="C80" s="70">
        <v>-0.65116642120209212</v>
      </c>
      <c r="D80" s="70">
        <v>-1.0470765066266219</v>
      </c>
      <c r="E80" s="71">
        <v>-1.3246987216418991</v>
      </c>
      <c r="F80" s="70">
        <v>-1.8462687921236212</v>
      </c>
      <c r="G80" s="70">
        <v>-2.9354671325763788</v>
      </c>
      <c r="H80" s="70">
        <v>0</v>
      </c>
      <c r="I80" s="70">
        <v>0</v>
      </c>
    </row>
    <row r="81" spans="1:9">
      <c r="A81" s="18" t="str">
        <f>HLOOKUP(INDICE!$F$2,Nombres!$C$3:$D$636,50,FALSE)</f>
        <v>Net attributable profit</v>
      </c>
      <c r="B81" s="18">
        <f>+B79+B80</f>
        <v>34.057353677379943</v>
      </c>
      <c r="C81" s="18">
        <f t="shared" ref="C81:I81" si="13">+C79+C80</f>
        <v>44.461922238698634</v>
      </c>
      <c r="D81" s="18">
        <f t="shared" si="13"/>
        <v>53.097122563848281</v>
      </c>
      <c r="E81" s="18">
        <f t="shared" si="13"/>
        <v>21.219470105580402</v>
      </c>
      <c r="F81" s="88">
        <f t="shared" si="13"/>
        <v>79.358424287278581</v>
      </c>
      <c r="G81" s="88">
        <f t="shared" si="13"/>
        <v>96.095923165930714</v>
      </c>
      <c r="H81" s="88">
        <f t="shared" si="13"/>
        <v>0</v>
      </c>
      <c r="I81" s="88">
        <f t="shared" si="13"/>
        <v>0</v>
      </c>
    </row>
    <row r="82" spans="1:9">
      <c r="A82" s="8"/>
      <c r="B82" s="93">
        <v>0</v>
      </c>
      <c r="C82" s="93">
        <v>0</v>
      </c>
      <c r="D82" s="93">
        <v>0</v>
      </c>
      <c r="E82" s="93">
        <v>0</v>
      </c>
      <c r="F82" s="93">
        <v>0</v>
      </c>
      <c r="G82" s="93">
        <v>0</v>
      </c>
      <c r="H82" s="93">
        <v>0</v>
      </c>
      <c r="I82" s="93">
        <v>0</v>
      </c>
    </row>
    <row r="83" spans="1:9">
      <c r="A83" s="17"/>
      <c r="B83" s="17"/>
      <c r="C83" s="17"/>
      <c r="D83" s="17"/>
      <c r="E83" s="17"/>
      <c r="F83" s="67"/>
      <c r="G83" s="67"/>
      <c r="H83" s="67"/>
      <c r="I83" s="67"/>
    </row>
    <row r="84" spans="1:9" ht="17">
      <c r="A84" s="59" t="str">
        <f>HLOOKUP(INDICE!$F$2,Nombres!$C$3:$D$636,51,FALSE)</f>
        <v>Balance sheets</v>
      </c>
      <c r="B84" s="60"/>
      <c r="C84" s="60"/>
      <c r="D84" s="60"/>
      <c r="E84" s="60"/>
      <c r="F84" s="95"/>
      <c r="G84" s="95"/>
      <c r="H84" s="95"/>
      <c r="I84" s="95"/>
    </row>
    <row r="85" spans="1:9">
      <c r="A85" s="9" t="str">
        <f>HLOOKUP(INDICE!$F$2,Nombres!$C$3:$D$636,73,FALSE)</f>
        <v xml:space="preserve">(Constant million euros)    </v>
      </c>
      <c r="B85" s="57"/>
      <c r="C85" s="78"/>
      <c r="D85" s="78"/>
      <c r="E85" s="78"/>
      <c r="F85" s="96"/>
      <c r="G85" s="70"/>
      <c r="H85" s="70"/>
      <c r="I85" s="70"/>
    </row>
    <row r="86" spans="1:9">
      <c r="A86" s="57"/>
      <c r="B86" s="80">
        <f t="shared" ref="B86:I86" si="14">+B$30</f>
        <v>45747</v>
      </c>
      <c r="C86" s="80">
        <f t="shared" si="14"/>
        <v>45838</v>
      </c>
      <c r="D86" s="80">
        <f t="shared" si="14"/>
        <v>45930</v>
      </c>
      <c r="E86" s="92">
        <f t="shared" si="14"/>
        <v>46022</v>
      </c>
      <c r="F86" s="80">
        <f t="shared" si="14"/>
        <v>46112</v>
      </c>
      <c r="G86" s="80">
        <f t="shared" si="14"/>
        <v>46203</v>
      </c>
      <c r="H86" s="80">
        <f t="shared" si="14"/>
        <v>46295</v>
      </c>
      <c r="I86" s="80">
        <f t="shared" si="14"/>
        <v>46387</v>
      </c>
    </row>
    <row r="87" spans="1:9">
      <c r="A87" s="7" t="str">
        <f>HLOOKUP(INDICE!$F$2,Nombres!$C$3:$D$636,52,FALSE)</f>
        <v>Cash, cash balances at central banks and other demand deposits</v>
      </c>
      <c r="B87" s="70">
        <v>1518.0681203975053</v>
      </c>
      <c r="C87" s="70">
        <v>1504.8983644022878</v>
      </c>
      <c r="D87" s="70">
        <v>1949.9887756864198</v>
      </c>
      <c r="E87" s="71">
        <v>1911.258318552226</v>
      </c>
      <c r="F87" s="70">
        <v>1906.4884021321741</v>
      </c>
      <c r="G87" s="70">
        <v>1764.7829999994317</v>
      </c>
      <c r="H87" s="70">
        <v>0</v>
      </c>
      <c r="I87" s="70">
        <v>0</v>
      </c>
    </row>
    <row r="88" spans="1:9">
      <c r="A88" s="7" t="str">
        <f>HLOOKUP(INDICE!$F$2,Nombres!$C$3:$D$636,53,FALSE)</f>
        <v xml:space="preserve">Financial assets designated at fair value </v>
      </c>
      <c r="B88" s="79">
        <v>4215.9465367788998</v>
      </c>
      <c r="C88" s="79">
        <v>4438.5617971925749</v>
      </c>
      <c r="D88" s="79">
        <v>4480.9024702811848</v>
      </c>
      <c r="E88" s="89">
        <v>4352.2208425016534</v>
      </c>
      <c r="F88" s="70">
        <v>4685.1342263986553</v>
      </c>
      <c r="G88" s="70">
        <v>5647.9890000000014</v>
      </c>
      <c r="H88" s="70">
        <v>0</v>
      </c>
      <c r="I88" s="70">
        <v>0</v>
      </c>
    </row>
    <row r="89" spans="1:9">
      <c r="A89" s="7" t="str">
        <f>HLOOKUP(INDICE!$F$2,Nombres!$C$3:$D$636,54,FALSE)</f>
        <v>Financial assets at amortized cost</v>
      </c>
      <c r="B89" s="70">
        <v>20161.771044386453</v>
      </c>
      <c r="C89" s="70">
        <v>20223.122982231096</v>
      </c>
      <c r="D89" s="70">
        <v>20405.136038555222</v>
      </c>
      <c r="E89" s="71">
        <v>20881.719128115263</v>
      </c>
      <c r="F89" s="70">
        <v>21370.809529399223</v>
      </c>
      <c r="G89" s="70">
        <v>21875.533999998974</v>
      </c>
      <c r="H89" s="70">
        <v>0</v>
      </c>
      <c r="I89" s="70">
        <v>0</v>
      </c>
    </row>
    <row r="90" spans="1:9">
      <c r="A90" s="7" t="str">
        <f>HLOOKUP(INDICE!$F$2,Nombres!$C$3:$D$636,55,FALSE)</f>
        <v xml:space="preserve">    of which loans and advances to customers</v>
      </c>
      <c r="B90" s="70">
        <v>18764.527614857288</v>
      </c>
      <c r="C90" s="70">
        <v>19102.833365512295</v>
      </c>
      <c r="D90" s="70">
        <v>19435.602823123791</v>
      </c>
      <c r="E90" s="71">
        <v>19620.032424475365</v>
      </c>
      <c r="F90" s="70">
        <v>19992.603153606353</v>
      </c>
      <c r="G90" s="70">
        <v>20642.047999998973</v>
      </c>
      <c r="H90" s="70">
        <v>0</v>
      </c>
      <c r="I90" s="70">
        <v>0</v>
      </c>
    </row>
    <row r="91" spans="1:9" hidden="1">
      <c r="A91" s="7"/>
      <c r="B91" s="70"/>
      <c r="C91" s="70"/>
      <c r="D91" s="70"/>
      <c r="E91" s="71"/>
      <c r="F91" s="70"/>
      <c r="G91" s="70"/>
      <c r="H91" s="70"/>
      <c r="I91" s="70"/>
    </row>
    <row r="92" spans="1:9">
      <c r="A92" s="7" t="str">
        <f>HLOOKUP(INDICE!$F$2,Nombres!$C$3:$D$636,56,FALSE)</f>
        <v>Tangible assets</v>
      </c>
      <c r="B92" s="70">
        <v>114.36471342241624</v>
      </c>
      <c r="C92" s="70">
        <v>109.67478483596251</v>
      </c>
      <c r="D92" s="70">
        <v>107.12443411991477</v>
      </c>
      <c r="E92" s="71">
        <v>109.25973390147506</v>
      </c>
      <c r="F92" s="70">
        <v>104.10063866709712</v>
      </c>
      <c r="G92" s="70">
        <v>99.607999999999947</v>
      </c>
      <c r="H92" s="70">
        <v>0</v>
      </c>
      <c r="I92" s="70">
        <v>0</v>
      </c>
    </row>
    <row r="93" spans="1:9">
      <c r="A93" s="7" t="str">
        <f>HLOOKUP(INDICE!$F$2,Nombres!$C$3:$D$636,57,FALSE)</f>
        <v>Other assets</v>
      </c>
      <c r="B93" s="79">
        <f>+B94-B92-B89-B88-B87</f>
        <v>1194.3110783404775</v>
      </c>
      <c r="C93" s="79">
        <f t="shared" ref="C93:I93" si="15">+C94-C92-C89-C88-C87</f>
        <v>1206.6074079979521</v>
      </c>
      <c r="D93" s="79">
        <f t="shared" si="15"/>
        <v>1224.2248788523741</v>
      </c>
      <c r="E93" s="89">
        <f t="shared" si="15"/>
        <v>1316.7739337782134</v>
      </c>
      <c r="F93" s="70">
        <f t="shared" si="15"/>
        <v>1076.4848771980978</v>
      </c>
      <c r="G93" s="70">
        <f t="shared" si="15"/>
        <v>1012.9930000015268</v>
      </c>
      <c r="H93" s="70">
        <f t="shared" si="15"/>
        <v>0</v>
      </c>
      <c r="I93" s="70">
        <f t="shared" si="15"/>
        <v>0</v>
      </c>
    </row>
    <row r="94" spans="1:9">
      <c r="A94" s="18" t="str">
        <f>HLOOKUP(INDICE!$F$2,Nombres!$C$3:$D$636,58,FALSE)</f>
        <v>Total assets / Liabilities and equity</v>
      </c>
      <c r="B94" s="18">
        <v>27204.461493325751</v>
      </c>
      <c r="C94" s="18">
        <v>27482.865336659874</v>
      </c>
      <c r="D94" s="18">
        <v>28167.376597495117</v>
      </c>
      <c r="E94" s="18">
        <v>28571.231956848831</v>
      </c>
      <c r="F94" s="88">
        <v>29143.017673795246</v>
      </c>
      <c r="G94" s="88">
        <v>30400.906999999934</v>
      </c>
      <c r="H94" s="88">
        <v>0</v>
      </c>
      <c r="I94" s="88">
        <v>0</v>
      </c>
    </row>
    <row r="95" spans="1:9">
      <c r="A95" s="7" t="str">
        <f>HLOOKUP(INDICE!$F$2,Nombres!$C$3:$D$636,59,FALSE)</f>
        <v>Financial liabilities held for trading and designated at fair value through profit or loss</v>
      </c>
      <c r="B95" s="79">
        <v>1383.4659964135326</v>
      </c>
      <c r="C95" s="79">
        <v>1734.2926326147806</v>
      </c>
      <c r="D95" s="79">
        <v>2604.3593422905456</v>
      </c>
      <c r="E95" s="89">
        <v>2456.712019414666</v>
      </c>
      <c r="F95" s="70">
        <v>2497.6506729203247</v>
      </c>
      <c r="G95" s="70">
        <v>2793.2900000000018</v>
      </c>
      <c r="H95" s="70">
        <v>0</v>
      </c>
      <c r="I95" s="70">
        <v>0</v>
      </c>
    </row>
    <row r="96" spans="1:9">
      <c r="A96" s="7" t="str">
        <f>HLOOKUP(INDICE!$F$2,Nombres!$C$3:$D$636,60,FALSE)</f>
        <v>Deposits from central banks and credit institutions</v>
      </c>
      <c r="B96" s="79">
        <v>842.71156952076717</v>
      </c>
      <c r="C96" s="79">
        <v>788.49364019917186</v>
      </c>
      <c r="D96" s="79">
        <v>767.10443500844281</v>
      </c>
      <c r="E96" s="89">
        <v>700.99993956810226</v>
      </c>
      <c r="F96" s="70">
        <v>810.15475665952897</v>
      </c>
      <c r="G96" s="70">
        <v>785.09799991699992</v>
      </c>
      <c r="H96" s="70">
        <v>0</v>
      </c>
      <c r="I96" s="70">
        <v>0</v>
      </c>
    </row>
    <row r="97" spans="1:9">
      <c r="A97" s="7" t="str">
        <f>HLOOKUP(INDICE!$F$2,Nombres!$C$3:$D$636,61,FALSE)</f>
        <v>Deposits from customers</v>
      </c>
      <c r="B97" s="79">
        <v>20069.400300656773</v>
      </c>
      <c r="C97" s="79">
        <v>20447.456609028508</v>
      </c>
      <c r="D97" s="79">
        <v>20190.557958950842</v>
      </c>
      <c r="E97" s="89">
        <v>20943.155436880261</v>
      </c>
      <c r="F97" s="70">
        <v>21569.486495096375</v>
      </c>
      <c r="G97" s="70">
        <v>22483.104000082429</v>
      </c>
      <c r="H97" s="70">
        <v>0</v>
      </c>
      <c r="I97" s="70">
        <v>0</v>
      </c>
    </row>
    <row r="98" spans="1:9">
      <c r="A98" s="7" t="str">
        <f>HLOOKUP(INDICE!$F$2,Nombres!$C$3:$D$636,62,FALSE)</f>
        <v>Debt certificates</v>
      </c>
      <c r="B98" s="70">
        <v>1609.8369450923697</v>
      </c>
      <c r="C98" s="70">
        <v>1171.1188243625886</v>
      </c>
      <c r="D98" s="70">
        <v>1225.840944672314</v>
      </c>
      <c r="E98" s="71">
        <v>1236.7941149887754</v>
      </c>
      <c r="F98" s="70">
        <v>1216.578592289216</v>
      </c>
      <c r="G98" s="70">
        <v>1119.076297161088</v>
      </c>
      <c r="H98" s="70">
        <v>0</v>
      </c>
      <c r="I98" s="70">
        <v>0</v>
      </c>
    </row>
    <row r="99" spans="1:9" hidden="1">
      <c r="A99" s="7"/>
      <c r="B99" s="70"/>
      <c r="C99" s="70"/>
      <c r="D99" s="70"/>
      <c r="E99" s="71"/>
      <c r="F99" s="70"/>
      <c r="G99" s="70"/>
      <c r="H99" s="70"/>
      <c r="I99" s="70"/>
    </row>
    <row r="100" spans="1:9">
      <c r="A100" s="7" t="str">
        <f>HLOOKUP(INDICE!$F$2,Nombres!$C$3:$D$636,63,FALSE)</f>
        <v>Other liabilities</v>
      </c>
      <c r="B100" s="79">
        <f>+B94-B95-B96-B97-B98-B101</f>
        <v>469.62482029007924</v>
      </c>
      <c r="C100" s="79">
        <f t="shared" ref="C100:I100" si="16">+C94-C95-C96-C97-C98-C101</f>
        <v>567.75065431751864</v>
      </c>
      <c r="D100" s="79">
        <f t="shared" si="16"/>
        <v>738.44252986161973</v>
      </c>
      <c r="E100" s="89">
        <f t="shared" si="16"/>
        <v>468.80150452850921</v>
      </c>
      <c r="F100" s="70">
        <f t="shared" si="16"/>
        <v>372.27865133085152</v>
      </c>
      <c r="G100" s="70">
        <f t="shared" si="16"/>
        <v>623.9949340145813</v>
      </c>
      <c r="H100" s="70">
        <f t="shared" si="16"/>
        <v>0</v>
      </c>
      <c r="I100" s="70">
        <f t="shared" si="16"/>
        <v>0</v>
      </c>
    </row>
    <row r="101" spans="1:9">
      <c r="A101" s="7" t="str">
        <f>HLOOKUP(INDICE!$F$2,Nombres!$C$3:$D$636,282,FALSE)</f>
        <v>Allocated regulatory capital</v>
      </c>
      <c r="B101" s="79">
        <v>2829.4218613522289</v>
      </c>
      <c r="C101" s="79">
        <v>2773.7529761373071</v>
      </c>
      <c r="D101" s="79">
        <v>2641.0713867113532</v>
      </c>
      <c r="E101" s="79">
        <v>2764.7689414685183</v>
      </c>
      <c r="F101" s="79">
        <v>2676.8685054989501</v>
      </c>
      <c r="G101" s="79">
        <v>2596.3437688248337</v>
      </c>
      <c r="H101" s="79">
        <v>0</v>
      </c>
      <c r="I101" s="79">
        <v>0</v>
      </c>
    </row>
    <row r="102" spans="1:9">
      <c r="A102" s="8"/>
      <c r="B102" s="79"/>
      <c r="C102" s="79"/>
      <c r="D102" s="79"/>
      <c r="E102" s="79"/>
      <c r="F102" s="70"/>
      <c r="G102" s="70"/>
      <c r="H102" s="70"/>
      <c r="I102" s="70"/>
    </row>
    <row r="103" spans="1:9">
      <c r="A103" s="7"/>
      <c r="B103" s="79"/>
      <c r="C103" s="79"/>
      <c r="D103" s="79"/>
      <c r="E103" s="79"/>
      <c r="F103" s="70"/>
      <c r="G103" s="70"/>
      <c r="H103" s="70"/>
      <c r="I103" s="70"/>
    </row>
    <row r="104" spans="1:9" ht="17">
      <c r="A104" s="59" t="str">
        <f>HLOOKUP(INDICE!$F$2,Nombres!$C$3:$D$636,65,FALSE)</f>
        <v>Relevant business indicators</v>
      </c>
      <c r="B104" s="60"/>
      <c r="C104" s="60"/>
      <c r="D104" s="60"/>
      <c r="E104" s="60"/>
      <c r="F104" s="95"/>
      <c r="G104" s="95"/>
      <c r="H104" s="95"/>
      <c r="I104" s="95"/>
    </row>
    <row r="105" spans="1:9">
      <c r="A105" s="9" t="str">
        <f>HLOOKUP(INDICE!$F$2,Nombres!$C$3:$D$636,73,FALSE)</f>
        <v xml:space="preserve">(Constant million euros)    </v>
      </c>
      <c r="B105" s="57"/>
      <c r="C105" s="57"/>
      <c r="D105" s="57"/>
      <c r="E105" s="57"/>
      <c r="F105" s="96"/>
      <c r="G105" s="70"/>
      <c r="H105" s="70"/>
      <c r="I105" s="70"/>
    </row>
    <row r="106" spans="1:9">
      <c r="A106" s="57"/>
      <c r="B106" s="80">
        <f t="shared" ref="B106:I106" si="17">+B$30</f>
        <v>45747</v>
      </c>
      <c r="C106" s="80">
        <f t="shared" si="17"/>
        <v>45838</v>
      </c>
      <c r="D106" s="80">
        <f t="shared" si="17"/>
        <v>45930</v>
      </c>
      <c r="E106" s="92">
        <f t="shared" si="17"/>
        <v>46022</v>
      </c>
      <c r="F106" s="80">
        <f t="shared" si="17"/>
        <v>46112</v>
      </c>
      <c r="G106" s="80">
        <f t="shared" si="17"/>
        <v>46203</v>
      </c>
      <c r="H106" s="80">
        <f t="shared" si="17"/>
        <v>46295</v>
      </c>
      <c r="I106" s="80">
        <f t="shared" si="17"/>
        <v>46387</v>
      </c>
    </row>
    <row r="107" spans="1:9">
      <c r="A107" s="7" t="str">
        <f>HLOOKUP(INDICE!$F$2,Nombres!$C$3:$D$636,66,FALSE)</f>
        <v>Loans and advances to customers (gross) (*)</v>
      </c>
      <c r="B107" s="70">
        <v>19653.117736157074</v>
      </c>
      <c r="C107" s="70">
        <v>19962.971003441347</v>
      </c>
      <c r="D107" s="70">
        <v>20258.389502758902</v>
      </c>
      <c r="E107" s="71">
        <v>20409.338900748764</v>
      </c>
      <c r="F107" s="70">
        <v>20735.872636771059</v>
      </c>
      <c r="G107" s="70">
        <v>21332.976999998973</v>
      </c>
      <c r="H107" s="70">
        <v>0</v>
      </c>
      <c r="I107" s="70">
        <v>0</v>
      </c>
    </row>
    <row r="108" spans="1:9">
      <c r="A108" s="7" t="str">
        <f>HLOOKUP(INDICE!$F$2,Nombres!$C$3:$D$636,67,FALSE)</f>
        <v>Customer deposits under management (*)</v>
      </c>
      <c r="B108" s="70">
        <v>20069.400300656776</v>
      </c>
      <c r="C108" s="70">
        <v>20447.456609028512</v>
      </c>
      <c r="D108" s="70">
        <v>20190.557958950845</v>
      </c>
      <c r="E108" s="71">
        <v>20943.155436880268</v>
      </c>
      <c r="F108" s="70">
        <v>21569.486495096375</v>
      </c>
      <c r="G108" s="70">
        <v>22483.104000082429</v>
      </c>
      <c r="H108" s="70">
        <v>0</v>
      </c>
      <c r="I108" s="70">
        <v>0</v>
      </c>
    </row>
    <row r="109" spans="1:9">
      <c r="A109" s="7" t="str">
        <f>HLOOKUP(INDICE!$F$2,Nombres!$C$3:$D$636,68,FALSE)</f>
        <v>Investment funds and managed portfolios</v>
      </c>
      <c r="B109" s="70">
        <v>3051.0784093408797</v>
      </c>
      <c r="C109" s="70">
        <v>3022.3965162528702</v>
      </c>
      <c r="D109" s="70">
        <v>3294.9092134916486</v>
      </c>
      <c r="E109" s="71">
        <v>3358.8134083717796</v>
      </c>
      <c r="F109" s="70">
        <v>3560.3632283314687</v>
      </c>
      <c r="G109" s="70">
        <v>3507.031600515435</v>
      </c>
      <c r="H109" s="70">
        <v>0</v>
      </c>
      <c r="I109" s="70">
        <v>0</v>
      </c>
    </row>
    <row r="110" spans="1:9">
      <c r="A110" s="7" t="str">
        <f>HLOOKUP(INDICE!$F$2,Nombres!$C$3:$D$636,69,FALSE)</f>
        <v>Pension funds</v>
      </c>
      <c r="B110" s="70">
        <v>0</v>
      </c>
      <c r="C110" s="70">
        <v>0</v>
      </c>
      <c r="D110" s="70">
        <v>0</v>
      </c>
      <c r="E110" s="71">
        <v>0</v>
      </c>
      <c r="F110" s="70">
        <v>0</v>
      </c>
      <c r="G110" s="70">
        <v>0</v>
      </c>
      <c r="H110" s="70">
        <v>0</v>
      </c>
      <c r="I110" s="70">
        <v>0</v>
      </c>
    </row>
    <row r="111" spans="1:9">
      <c r="A111" s="7" t="str">
        <f>HLOOKUP(INDICE!$F$2,Nombres!$C$3:$D$636,70,FALSE)</f>
        <v>Other off balance-sheet funds</v>
      </c>
      <c r="B111" s="70">
        <v>0</v>
      </c>
      <c r="C111" s="70">
        <v>0</v>
      </c>
      <c r="D111" s="70">
        <v>0</v>
      </c>
      <c r="E111" s="71">
        <v>0</v>
      </c>
      <c r="F111" s="70">
        <v>0</v>
      </c>
      <c r="G111" s="70">
        <v>0</v>
      </c>
      <c r="H111" s="70">
        <v>0</v>
      </c>
      <c r="I111" s="70">
        <v>0</v>
      </c>
    </row>
    <row r="112" spans="1:9">
      <c r="A112" s="8" t="str">
        <f>HLOOKUP(INDICE!$F$2,Nombres!$C$3:$D$636,71,FALSE)</f>
        <v xml:space="preserve">(*) Excluding repos. </v>
      </c>
      <c r="B112" s="79"/>
      <c r="C112" s="79"/>
      <c r="D112" s="79"/>
      <c r="E112" s="79"/>
      <c r="F112" s="79"/>
      <c r="G112" s="79"/>
      <c r="H112" s="79"/>
      <c r="I112" s="79"/>
    </row>
    <row r="113" spans="1:9">
      <c r="A113" s="8">
        <f>HLOOKUP(INDICE!$F$2,Nombres!$C$3:$D$636,72,FALSE)</f>
        <v>0</v>
      </c>
      <c r="B113" s="57"/>
      <c r="C113" s="57"/>
      <c r="D113" s="57"/>
      <c r="E113" s="57"/>
      <c r="F113" s="57"/>
      <c r="G113" s="57"/>
      <c r="H113" s="57"/>
      <c r="I113" s="57"/>
    </row>
    <row r="114" spans="1:9">
      <c r="A114" s="8"/>
      <c r="B114" s="79"/>
      <c r="C114" s="70"/>
      <c r="D114" s="70"/>
      <c r="E114" s="70"/>
      <c r="F114" s="70"/>
      <c r="G114" s="57"/>
      <c r="H114" s="57"/>
      <c r="I114" s="57"/>
    </row>
    <row r="115" spans="1:9" ht="17">
      <c r="A115" s="59" t="str">
        <f>HLOOKUP(INDICE!$F$2,Nombres!$C$3:$D$636,31,FALSE)</f>
        <v xml:space="preserve">Income statement  </v>
      </c>
      <c r="B115" s="60"/>
      <c r="C115" s="60"/>
      <c r="D115" s="60"/>
      <c r="E115" s="60"/>
      <c r="F115" s="60"/>
      <c r="G115" s="60"/>
      <c r="H115" s="60"/>
      <c r="I115" s="60"/>
    </row>
    <row r="116" spans="1:9">
      <c r="A116" s="9" t="str">
        <f>HLOOKUP(INDICE!$F$2,Nombres!$C$3:$D$636,75,FALSE)</f>
        <v>(Million Colombian pesos)</v>
      </c>
      <c r="B116" s="57"/>
      <c r="C116" s="61"/>
      <c r="D116" s="61"/>
      <c r="E116" s="61"/>
      <c r="F116" s="57"/>
      <c r="G116" s="57"/>
      <c r="H116" s="57"/>
      <c r="I116" s="57"/>
    </row>
    <row r="117" spans="1:9">
      <c r="A117" s="62"/>
      <c r="B117" s="57"/>
      <c r="C117" s="61"/>
      <c r="D117" s="61"/>
      <c r="E117" s="61"/>
      <c r="F117" s="57"/>
      <c r="G117" s="57"/>
      <c r="H117" s="57"/>
      <c r="I117" s="57"/>
    </row>
    <row r="118" spans="1:9">
      <c r="A118" s="63"/>
      <c r="B118" s="257">
        <f>+B$6</f>
        <v>2025</v>
      </c>
      <c r="C118" s="257"/>
      <c r="D118" s="257"/>
      <c r="E118" s="258"/>
      <c r="F118" s="257">
        <f>+F$6</f>
        <v>2026</v>
      </c>
      <c r="G118" s="257"/>
      <c r="H118" s="257"/>
      <c r="I118" s="257"/>
    </row>
    <row r="119" spans="1:9">
      <c r="A119" s="63"/>
      <c r="B119" s="64" t="str">
        <f>+B$7</f>
        <v>1Q</v>
      </c>
      <c r="C119" s="64" t="str">
        <f t="shared" ref="C119:I119" si="18">+C$7</f>
        <v>2Q</v>
      </c>
      <c r="D119" s="64" t="str">
        <f t="shared" si="18"/>
        <v>3Q</v>
      </c>
      <c r="E119" s="65" t="str">
        <f t="shared" si="18"/>
        <v>4Q</v>
      </c>
      <c r="F119" s="64" t="str">
        <f t="shared" si="18"/>
        <v>1Q</v>
      </c>
      <c r="G119" s="64" t="str">
        <f t="shared" si="18"/>
        <v>2Q</v>
      </c>
      <c r="H119" s="64" t="str">
        <f t="shared" si="18"/>
        <v>3Q</v>
      </c>
      <c r="I119" s="64" t="str">
        <f t="shared" si="18"/>
        <v>4Q</v>
      </c>
    </row>
    <row r="120" spans="1:9">
      <c r="A120" s="17" t="str">
        <f>HLOOKUP(INDICE!$F$2,Nombres!$C$3:$D$636,33,FALSE)</f>
        <v>Net interest income</v>
      </c>
      <c r="B120" s="17">
        <v>1036691.2781132644</v>
      </c>
      <c r="C120" s="17">
        <v>1132994.5497823069</v>
      </c>
      <c r="D120" s="17">
        <v>1174598.5164992593</v>
      </c>
      <c r="E120" s="66">
        <v>1225686.2680534874</v>
      </c>
      <c r="F120" s="67">
        <v>1280945.338944488</v>
      </c>
      <c r="G120" s="67">
        <v>1353790.0607675407</v>
      </c>
      <c r="H120" s="67">
        <v>0</v>
      </c>
      <c r="I120" s="67">
        <v>0</v>
      </c>
    </row>
    <row r="121" spans="1:9">
      <c r="A121" s="7" t="str">
        <f>HLOOKUP(INDICE!$F$2,Nombres!$C$3:$D$636,34,FALSE)</f>
        <v>Net fees and commissions</v>
      </c>
      <c r="B121" s="70">
        <v>114804.38032941065</v>
      </c>
      <c r="C121" s="70">
        <v>121423.59951680474</v>
      </c>
      <c r="D121" s="70">
        <v>149093.07630473233</v>
      </c>
      <c r="E121" s="71">
        <v>216299.25592328268</v>
      </c>
      <c r="F121" s="70">
        <v>168859.96189712823</v>
      </c>
      <c r="G121" s="70">
        <v>193874.62094584774</v>
      </c>
      <c r="H121" s="70">
        <v>0</v>
      </c>
      <c r="I121" s="70">
        <v>0</v>
      </c>
    </row>
    <row r="122" spans="1:9">
      <c r="A122" s="7" t="str">
        <f>HLOOKUP(INDICE!$F$2,Nombres!$C$3:$D$636,35,FALSE)</f>
        <v>Net trading income</v>
      </c>
      <c r="B122" s="70">
        <v>119753.00096329306</v>
      </c>
      <c r="C122" s="70">
        <v>69426.294305933465</v>
      </c>
      <c r="D122" s="70">
        <v>117658.19127700891</v>
      </c>
      <c r="E122" s="71">
        <v>62659.136048945249</v>
      </c>
      <c r="F122" s="70">
        <v>106972.04058250657</v>
      </c>
      <c r="G122" s="70">
        <v>121623.27117165884</v>
      </c>
      <c r="H122" s="70">
        <v>0</v>
      </c>
      <c r="I122" s="70">
        <v>0</v>
      </c>
    </row>
    <row r="123" spans="1:9">
      <c r="A123" s="7" t="str">
        <f>HLOOKUP(INDICE!$F$2,Nombres!$C$3:$D$636,36,FALSE)</f>
        <v>Other operating income and expenses</v>
      </c>
      <c r="B123" s="70">
        <v>-28124.547208282485</v>
      </c>
      <c r="C123" s="70">
        <v>-17205.846646695329</v>
      </c>
      <c r="D123" s="70">
        <v>-65990.72776126831</v>
      </c>
      <c r="E123" s="71">
        <v>-231460.93252613672</v>
      </c>
      <c r="F123" s="70">
        <v>10811.720329253456</v>
      </c>
      <c r="G123" s="70">
        <v>-33825.016850095279</v>
      </c>
      <c r="H123" s="70">
        <v>0</v>
      </c>
      <c r="I123" s="70">
        <v>0</v>
      </c>
    </row>
    <row r="124" spans="1:9">
      <c r="A124" s="17" t="str">
        <f>HLOOKUP(INDICE!$F$2,Nombres!$C$3:$D$636,37,FALSE)</f>
        <v>Gross income</v>
      </c>
      <c r="B124" s="17">
        <f>+SUM(B120:B123)</f>
        <v>1243124.1121976855</v>
      </c>
      <c r="C124" s="17">
        <f t="shared" ref="C124:I124" si="19">+SUM(C120:C123)</f>
        <v>1306638.5969583497</v>
      </c>
      <c r="D124" s="17">
        <f t="shared" si="19"/>
        <v>1375359.0563197322</v>
      </c>
      <c r="E124" s="66">
        <f t="shared" si="19"/>
        <v>1273183.7274995786</v>
      </c>
      <c r="F124" s="67">
        <f t="shared" si="19"/>
        <v>1567589.0617533764</v>
      </c>
      <c r="G124" s="67">
        <f t="shared" si="19"/>
        <v>1635462.9360349521</v>
      </c>
      <c r="H124" s="67">
        <f t="shared" si="19"/>
        <v>0</v>
      </c>
      <c r="I124" s="67">
        <f t="shared" si="19"/>
        <v>0</v>
      </c>
    </row>
    <row r="125" spans="1:9">
      <c r="A125" s="7" t="str">
        <f>HLOOKUP(INDICE!$F$2,Nombres!$C$3:$D$636,38,FALSE)</f>
        <v>Operating expenses</v>
      </c>
      <c r="B125" s="70">
        <v>-570939.29651280574</v>
      </c>
      <c r="C125" s="70">
        <v>-581137.34666237375</v>
      </c>
      <c r="D125" s="70">
        <v>-621270.96205181966</v>
      </c>
      <c r="E125" s="71">
        <v>-635450.44730367337</v>
      </c>
      <c r="F125" s="70">
        <v>-625023.88127192692</v>
      </c>
      <c r="G125" s="70">
        <v>-716840.37412052683</v>
      </c>
      <c r="H125" s="70">
        <v>0</v>
      </c>
      <c r="I125" s="70">
        <v>0</v>
      </c>
    </row>
    <row r="126" spans="1:9">
      <c r="A126" s="7" t="str">
        <f>HLOOKUP(INDICE!$F$2,Nombres!$C$3:$D$636,39,FALSE)</f>
        <v xml:space="preserve">  Administration expenses</v>
      </c>
      <c r="B126" s="70">
        <v>-528090.82543306239</v>
      </c>
      <c r="C126" s="70">
        <v>-538438.68736380513</v>
      </c>
      <c r="D126" s="70">
        <v>-577055.83082239248</v>
      </c>
      <c r="E126" s="71">
        <v>-591776.41010105412</v>
      </c>
      <c r="F126" s="70">
        <v>-578109.06572891213</v>
      </c>
      <c r="G126" s="70">
        <v>-667379.94899397739</v>
      </c>
      <c r="H126" s="70">
        <v>0</v>
      </c>
      <c r="I126" s="70">
        <v>0</v>
      </c>
    </row>
    <row r="127" spans="1:9">
      <c r="A127" s="72" t="str">
        <f>HLOOKUP(INDICE!$F$2,Nombres!$C$3:$D$636,40,FALSE)</f>
        <v xml:space="preserve">  Personnel expenses</v>
      </c>
      <c r="B127" s="70">
        <v>-221970.43047918956</v>
      </c>
      <c r="C127" s="70">
        <v>-241464.51176056042</v>
      </c>
      <c r="D127" s="70">
        <v>-277919.20660386642</v>
      </c>
      <c r="E127" s="71">
        <v>-290794.29725430778</v>
      </c>
      <c r="F127" s="70">
        <v>-253599.56031149355</v>
      </c>
      <c r="G127" s="70">
        <v>-339890.33949508407</v>
      </c>
      <c r="H127" s="70">
        <v>0</v>
      </c>
      <c r="I127" s="70">
        <v>0</v>
      </c>
    </row>
    <row r="128" spans="1:9">
      <c r="A128" s="72" t="str">
        <f>HLOOKUP(INDICE!$F$2,Nombres!$C$3:$D$636,41,FALSE)</f>
        <v xml:space="preserve">  General and administrative expenses</v>
      </c>
      <c r="B128" s="70">
        <v>-306120.39495387289</v>
      </c>
      <c r="C128" s="70">
        <v>-296974.17560324463</v>
      </c>
      <c r="D128" s="70">
        <v>-299136.62421852606</v>
      </c>
      <c r="E128" s="71">
        <v>-300982.11284674617</v>
      </c>
      <c r="F128" s="70">
        <v>-324509.50541741843</v>
      </c>
      <c r="G128" s="70">
        <v>-327489.60949889343</v>
      </c>
      <c r="H128" s="70">
        <v>0</v>
      </c>
      <c r="I128" s="70">
        <v>0</v>
      </c>
    </row>
    <row r="129" spans="1:9">
      <c r="A129" s="7" t="str">
        <f>HLOOKUP(INDICE!$F$2,Nombres!$C$3:$D$636,42,FALSE)</f>
        <v xml:space="preserve">  Depreciation</v>
      </c>
      <c r="B129" s="70">
        <v>-42848.471079743365</v>
      </c>
      <c r="C129" s="70">
        <v>-42698.659298568658</v>
      </c>
      <c r="D129" s="70">
        <v>-44215.131229427287</v>
      </c>
      <c r="E129" s="71">
        <v>-43674.037202619438</v>
      </c>
      <c r="F129" s="70">
        <v>-46914.815543014658</v>
      </c>
      <c r="G129" s="70">
        <v>-49460.425126549213</v>
      </c>
      <c r="H129" s="70">
        <v>0</v>
      </c>
      <c r="I129" s="70">
        <v>0</v>
      </c>
    </row>
    <row r="130" spans="1:9">
      <c r="A130" s="17" t="str">
        <f>HLOOKUP(INDICE!$F$2,Nombres!$C$3:$D$636,43,FALSE)</f>
        <v>Operating income</v>
      </c>
      <c r="B130" s="17">
        <f>+B124+B125</f>
        <v>672184.81568487978</v>
      </c>
      <c r="C130" s="17">
        <f t="shared" ref="C130:I130" si="20">+C124+C125</f>
        <v>725501.25029597594</v>
      </c>
      <c r="D130" s="17">
        <f t="shared" si="20"/>
        <v>754088.09426791256</v>
      </c>
      <c r="E130" s="66">
        <f t="shared" si="20"/>
        <v>637733.28019590524</v>
      </c>
      <c r="F130" s="67">
        <f t="shared" si="20"/>
        <v>942565.18048144947</v>
      </c>
      <c r="G130" s="67">
        <f t="shared" si="20"/>
        <v>918622.56191442523</v>
      </c>
      <c r="H130" s="67">
        <f t="shared" si="20"/>
        <v>0</v>
      </c>
      <c r="I130" s="67">
        <f t="shared" si="20"/>
        <v>0</v>
      </c>
    </row>
    <row r="131" spans="1:9">
      <c r="A131" s="7" t="str">
        <f>HLOOKUP(INDICE!$F$2,Nombres!$C$3:$D$636,44,FALSE)</f>
        <v>Impaiment on financial assets not measured at fair value through profit or loss</v>
      </c>
      <c r="B131" s="70">
        <v>-479484.71312644257</v>
      </c>
      <c r="C131" s="70">
        <v>-451494.44218450325</v>
      </c>
      <c r="D131" s="70">
        <v>-373164.59517190512</v>
      </c>
      <c r="E131" s="71">
        <v>-418638.51549202029</v>
      </c>
      <c r="F131" s="70">
        <v>-392665.54235495068</v>
      </c>
      <c r="G131" s="70">
        <v>-425991.19019686017</v>
      </c>
      <c r="H131" s="70">
        <v>0</v>
      </c>
      <c r="I131" s="70">
        <v>0</v>
      </c>
    </row>
    <row r="132" spans="1:9">
      <c r="A132" s="7" t="str">
        <f>HLOOKUP(INDICE!$F$2,Nombres!$C$3:$D$636,45,FALSE)</f>
        <v>Provisions or reversal of provisions and other results</v>
      </c>
      <c r="B132" s="70">
        <v>-1296.8345169286104</v>
      </c>
      <c r="C132" s="70">
        <v>-6738.2575552744056</v>
      </c>
      <c r="D132" s="70">
        <v>-27216.904327835226</v>
      </c>
      <c r="E132" s="71">
        <v>37544.347955347286</v>
      </c>
      <c r="F132" s="70">
        <v>-14703.868882499477</v>
      </c>
      <c r="G132" s="70">
        <v>10437.10126152498</v>
      </c>
      <c r="H132" s="70">
        <v>0</v>
      </c>
      <c r="I132" s="70">
        <v>0</v>
      </c>
    </row>
    <row r="133" spans="1:9">
      <c r="A133" s="17" t="str">
        <f>HLOOKUP(INDICE!$F$2,Nombres!$C$3:$D$636,46,FALSE)</f>
        <v>Profit/(loss) before tax</v>
      </c>
      <c r="B133" s="17">
        <f>+B130+B131+B132</f>
        <v>191403.26804150859</v>
      </c>
      <c r="C133" s="17">
        <f t="shared" ref="C133:I133" si="21">+C130+C131+C132</f>
        <v>267268.55055619829</v>
      </c>
      <c r="D133" s="17">
        <f t="shared" si="21"/>
        <v>353706.59476817219</v>
      </c>
      <c r="E133" s="66">
        <f t="shared" si="21"/>
        <v>256639.11265923223</v>
      </c>
      <c r="F133" s="67">
        <f t="shared" si="21"/>
        <v>535195.76924399927</v>
      </c>
      <c r="G133" s="67">
        <f t="shared" si="21"/>
        <v>503068.47297909006</v>
      </c>
      <c r="H133" s="67">
        <f t="shared" si="21"/>
        <v>0</v>
      </c>
      <c r="I133" s="67">
        <f t="shared" si="21"/>
        <v>0</v>
      </c>
    </row>
    <row r="134" spans="1:9">
      <c r="A134" s="7" t="str">
        <f>HLOOKUP(INDICE!$F$2,Nombres!$C$3:$D$636,47,FALSE)</f>
        <v>Income tax</v>
      </c>
      <c r="B134" s="70">
        <v>-44564.896095942328</v>
      </c>
      <c r="C134" s="70">
        <v>-74973.779351187302</v>
      </c>
      <c r="D134" s="70">
        <v>-122916.66923620406</v>
      </c>
      <c r="E134" s="71">
        <v>-160544.47770041783</v>
      </c>
      <c r="F134" s="70">
        <v>-189060.3495613173</v>
      </c>
      <c r="G134" s="70">
        <v>-80946.665201110445</v>
      </c>
      <c r="H134" s="70">
        <v>0</v>
      </c>
      <c r="I134" s="70">
        <v>0</v>
      </c>
    </row>
    <row r="135" spans="1:9">
      <c r="A135" s="17" t="str">
        <f>HLOOKUP(INDICE!$F$2,Nombres!$C$3:$D$636,48,FALSE)</f>
        <v>Profit/(loss) for the year</v>
      </c>
      <c r="B135" s="17">
        <f>+B133+B134</f>
        <v>146838.37194556626</v>
      </c>
      <c r="C135" s="17">
        <f t="shared" ref="C135:I135" si="22">+C133+C134</f>
        <v>192294.771205011</v>
      </c>
      <c r="D135" s="17">
        <f t="shared" si="22"/>
        <v>230789.92553196813</v>
      </c>
      <c r="E135" s="66">
        <f t="shared" si="22"/>
        <v>96094.634958814393</v>
      </c>
      <c r="F135" s="67">
        <f t="shared" si="22"/>
        <v>346135.41968268197</v>
      </c>
      <c r="G135" s="67">
        <f t="shared" si="22"/>
        <v>422121.80777797964</v>
      </c>
      <c r="H135" s="67">
        <f t="shared" si="22"/>
        <v>0</v>
      </c>
      <c r="I135" s="67">
        <f t="shared" si="22"/>
        <v>0</v>
      </c>
    </row>
    <row r="136" spans="1:9">
      <c r="A136" s="7" t="str">
        <f>HLOOKUP(INDICE!$F$2,Nombres!$C$3:$D$636,49,FALSE)</f>
        <v>Non-controlling interests</v>
      </c>
      <c r="B136" s="70">
        <v>-1668.7276631281943</v>
      </c>
      <c r="C136" s="70">
        <v>-2775.600201649278</v>
      </c>
      <c r="D136" s="70">
        <v>-4463.1689661913715</v>
      </c>
      <c r="E136" s="71">
        <v>-5646.5350779699947</v>
      </c>
      <c r="F136" s="70">
        <v>-7869.7301716770817</v>
      </c>
      <c r="G136" s="70">
        <v>-12512.443670041708</v>
      </c>
      <c r="H136" s="70">
        <v>0</v>
      </c>
      <c r="I136" s="70">
        <v>0</v>
      </c>
    </row>
    <row r="137" spans="1:9">
      <c r="A137" s="18" t="str">
        <f>HLOOKUP(INDICE!$F$2,Nombres!$C$3:$D$636,50,FALSE)</f>
        <v>Net attributable profit</v>
      </c>
      <c r="B137" s="18">
        <f>+B135+B136</f>
        <v>145169.64428243806</v>
      </c>
      <c r="C137" s="18">
        <f t="shared" ref="C137:I137" si="23">+C135+C136</f>
        <v>189519.17100336173</v>
      </c>
      <c r="D137" s="18">
        <f t="shared" si="23"/>
        <v>226326.75656577674</v>
      </c>
      <c r="E137" s="18">
        <f t="shared" si="23"/>
        <v>90448.099880844398</v>
      </c>
      <c r="F137" s="88">
        <f t="shared" si="23"/>
        <v>338265.68951100489</v>
      </c>
      <c r="G137" s="88">
        <f t="shared" si="23"/>
        <v>409609.36410793796</v>
      </c>
      <c r="H137" s="88">
        <f t="shared" si="23"/>
        <v>0</v>
      </c>
      <c r="I137" s="88">
        <f t="shared" si="23"/>
        <v>0</v>
      </c>
    </row>
    <row r="138" spans="1:9">
      <c r="A138" s="8"/>
      <c r="B138" s="93">
        <v>0</v>
      </c>
      <c r="C138" s="93">
        <v>0</v>
      </c>
      <c r="D138" s="93">
        <v>0</v>
      </c>
      <c r="E138" s="93">
        <v>-5.0931703299283981E-10</v>
      </c>
      <c r="F138" s="93">
        <v>0</v>
      </c>
      <c r="G138" s="93">
        <v>0</v>
      </c>
      <c r="H138" s="93">
        <v>0</v>
      </c>
      <c r="I138" s="93">
        <v>0</v>
      </c>
    </row>
    <row r="139" spans="1:9">
      <c r="A139" s="17"/>
      <c r="B139" s="17"/>
      <c r="C139" s="17"/>
      <c r="D139" s="17"/>
      <c r="E139" s="17"/>
      <c r="F139" s="67"/>
      <c r="G139" s="67"/>
      <c r="H139" s="67"/>
      <c r="I139" s="67"/>
    </row>
    <row r="140" spans="1:9" ht="17">
      <c r="A140" s="59" t="str">
        <f>HLOOKUP(INDICE!$F$2,Nombres!$C$3:$D$636,51,FALSE)</f>
        <v>Balance sheets</v>
      </c>
      <c r="B140" s="60"/>
      <c r="C140" s="60"/>
      <c r="D140" s="60"/>
      <c r="E140" s="60"/>
      <c r="F140" s="95"/>
      <c r="G140" s="95"/>
      <c r="H140" s="95"/>
      <c r="I140" s="95"/>
    </row>
    <row r="141" spans="1:9">
      <c r="A141" s="9" t="str">
        <f>HLOOKUP(INDICE!$F$2,Nombres!$C$3:$D$636,75,FALSE)</f>
        <v>(Million Colombian pesos)</v>
      </c>
      <c r="B141" s="57"/>
      <c r="C141" s="78"/>
      <c r="D141" s="78"/>
      <c r="E141" s="78"/>
      <c r="F141" s="96"/>
      <c r="G141" s="70"/>
      <c r="H141" s="70"/>
      <c r="I141" s="70"/>
    </row>
    <row r="142" spans="1:9">
      <c r="A142" s="57"/>
      <c r="B142" s="80">
        <f t="shared" ref="B142:I142" si="24">+B$30</f>
        <v>45747</v>
      </c>
      <c r="C142" s="80">
        <f t="shared" si="24"/>
        <v>45838</v>
      </c>
      <c r="D142" s="80">
        <f t="shared" si="24"/>
        <v>45930</v>
      </c>
      <c r="E142" s="92">
        <f t="shared" si="24"/>
        <v>46022</v>
      </c>
      <c r="F142" s="80">
        <f t="shared" si="24"/>
        <v>46112</v>
      </c>
      <c r="G142" s="80">
        <f t="shared" si="24"/>
        <v>46203</v>
      </c>
      <c r="H142" s="80">
        <f t="shared" si="24"/>
        <v>46295</v>
      </c>
      <c r="I142" s="80">
        <f t="shared" si="24"/>
        <v>46387</v>
      </c>
    </row>
    <row r="143" spans="1:9">
      <c r="A143" s="7" t="str">
        <f>HLOOKUP(INDICE!$F$2,Nombres!$C$3:$D$636,52,FALSE)</f>
        <v>Cash, cash balances at central banks and other demand deposits</v>
      </c>
      <c r="B143" s="70">
        <v>5956332.2129856395</v>
      </c>
      <c r="C143" s="70">
        <v>5904659.0101711722</v>
      </c>
      <c r="D143" s="70">
        <v>7651027.5155110462</v>
      </c>
      <c r="E143" s="71">
        <v>7499063.6699152039</v>
      </c>
      <c r="F143" s="70">
        <v>7480348.299738951</v>
      </c>
      <c r="G143" s="70">
        <v>6924349.2374199796</v>
      </c>
      <c r="H143" s="70">
        <v>0</v>
      </c>
      <c r="I143" s="70">
        <v>0</v>
      </c>
    </row>
    <row r="144" spans="1:9">
      <c r="A144" s="7" t="str">
        <f>HLOOKUP(INDICE!$F$2,Nombres!$C$3:$D$636,53,FALSE)</f>
        <v xml:space="preserve">Financial assets designated at fair value </v>
      </c>
      <c r="B144" s="79">
        <v>16541799.295980176</v>
      </c>
      <c r="C144" s="79">
        <v>17415258.41740416</v>
      </c>
      <c r="D144" s="79">
        <v>17581387.401768275</v>
      </c>
      <c r="E144" s="89">
        <v>17076488.764833622</v>
      </c>
      <c r="F144" s="70">
        <v>18382716.519699156</v>
      </c>
      <c r="G144" s="70">
        <v>22160598.966059305</v>
      </c>
      <c r="H144" s="70">
        <v>0</v>
      </c>
      <c r="I144" s="70">
        <v>0</v>
      </c>
    </row>
    <row r="145" spans="1:9">
      <c r="A145" s="7" t="str">
        <f>HLOOKUP(INDICE!$F$2,Nombres!$C$3:$D$636,54,FALSE)</f>
        <v>Financial assets at amortized cost</v>
      </c>
      <c r="B145" s="70">
        <v>79107257.921386659</v>
      </c>
      <c r="C145" s="70">
        <v>79347980.006781265</v>
      </c>
      <c r="D145" s="70">
        <v>80062131.246768713</v>
      </c>
      <c r="E145" s="71">
        <v>81932065.257218406</v>
      </c>
      <c r="F145" s="70">
        <v>83851073.286625475</v>
      </c>
      <c r="G145" s="70">
        <v>85831423.563744932</v>
      </c>
      <c r="H145" s="70">
        <v>0</v>
      </c>
      <c r="I145" s="70">
        <v>0</v>
      </c>
    </row>
    <row r="146" spans="1:9">
      <c r="A146" s="7" t="str">
        <f>HLOOKUP(INDICE!$F$2,Nombres!$C$3:$D$636,55,FALSE)</f>
        <v xml:space="preserve">    of which loans and advances to customers</v>
      </c>
      <c r="B146" s="70">
        <v>73624996.659943506</v>
      </c>
      <c r="C146" s="70">
        <v>74952382.047588065</v>
      </c>
      <c r="D146" s="70">
        <v>76258045.089474529</v>
      </c>
      <c r="E146" s="71">
        <v>76981677.949422121</v>
      </c>
      <c r="F146" s="70">
        <v>78443506.312537566</v>
      </c>
      <c r="G146" s="70">
        <v>80991685.282340959</v>
      </c>
      <c r="H146" s="70">
        <v>0</v>
      </c>
      <c r="I146" s="70">
        <v>0</v>
      </c>
    </row>
    <row r="147" spans="1:9" hidden="1">
      <c r="A147" s="7"/>
      <c r="B147" s="70"/>
      <c r="C147" s="70"/>
      <c r="D147" s="70"/>
      <c r="E147" s="71"/>
      <c r="F147" s="70"/>
      <c r="G147" s="70"/>
      <c r="H147" s="70"/>
      <c r="I147" s="70"/>
    </row>
    <row r="148" spans="1:9">
      <c r="A148" s="7" t="str">
        <f>HLOOKUP(INDICE!$F$2,Nombres!$C$3:$D$636,56,FALSE)</f>
        <v>Tangible assets</v>
      </c>
      <c r="B148" s="70">
        <v>448724.41324203444</v>
      </c>
      <c r="C148" s="70">
        <v>430322.88544446655</v>
      </c>
      <c r="D148" s="70">
        <v>420316.26194694615</v>
      </c>
      <c r="E148" s="71">
        <v>428694.38062449172</v>
      </c>
      <c r="F148" s="70">
        <v>408452.01816295774</v>
      </c>
      <c r="G148" s="70">
        <v>390824.58230907196</v>
      </c>
      <c r="H148" s="70">
        <v>0</v>
      </c>
      <c r="I148" s="70">
        <v>0</v>
      </c>
    </row>
    <row r="149" spans="1:9">
      <c r="A149" s="7" t="str">
        <f>HLOOKUP(INDICE!$F$2,Nombres!$C$3:$D$636,57,FALSE)</f>
        <v>Other assets</v>
      </c>
      <c r="B149" s="79">
        <f>+B150-B148-B145-B144-B143</f>
        <v>4686030.5230454402</v>
      </c>
      <c r="C149" s="79">
        <f t="shared" ref="C149:I149" si="25">+C150-C148-C145-C144-C143</f>
        <v>4734276.7271888731</v>
      </c>
      <c r="D149" s="79">
        <f t="shared" si="25"/>
        <v>4803401.101616961</v>
      </c>
      <c r="E149" s="89">
        <f t="shared" si="25"/>
        <v>5166529.0204034327</v>
      </c>
      <c r="F149" s="70">
        <f t="shared" si="25"/>
        <v>4223724.5250681117</v>
      </c>
      <c r="G149" s="70">
        <f t="shared" si="25"/>
        <v>3974606.1170550045</v>
      </c>
      <c r="H149" s="70">
        <f t="shared" si="25"/>
        <v>0</v>
      </c>
      <c r="I149" s="70">
        <f t="shared" si="25"/>
        <v>0</v>
      </c>
    </row>
    <row r="150" spans="1:9">
      <c r="A150" s="18" t="str">
        <f>HLOOKUP(INDICE!$F$2,Nombres!$C$3:$D$636,58,FALSE)</f>
        <v>Total assets / Liabilities and equity</v>
      </c>
      <c r="B150" s="18">
        <v>106740144.36663994</v>
      </c>
      <c r="C150" s="18">
        <v>107832497.04698993</v>
      </c>
      <c r="D150" s="18">
        <v>110518263.52761194</v>
      </c>
      <c r="E150" s="18">
        <v>112102841.09299515</v>
      </c>
      <c r="F150" s="88">
        <v>114346314.64929464</v>
      </c>
      <c r="G150" s="88">
        <v>119281802.46658829</v>
      </c>
      <c r="H150" s="88">
        <v>0</v>
      </c>
      <c r="I150" s="88">
        <v>0</v>
      </c>
    </row>
    <row r="151" spans="1:9">
      <c r="A151" s="7" t="str">
        <f>HLOOKUP(INDICE!$F$2,Nombres!$C$3:$D$636,59,FALSE)</f>
        <v>Financial liabilities held for trading and designated at fair value through profit or loss</v>
      </c>
      <c r="B151" s="79">
        <v>5428203.7606128352</v>
      </c>
      <c r="C151" s="79">
        <v>6804716.4258229481</v>
      </c>
      <c r="D151" s="79">
        <v>10218533.171366083</v>
      </c>
      <c r="E151" s="89">
        <v>9639220.2317224909</v>
      </c>
      <c r="F151" s="70">
        <v>9799848.214983318</v>
      </c>
      <c r="G151" s="70">
        <v>10959826.495041646</v>
      </c>
      <c r="H151" s="70">
        <v>0</v>
      </c>
      <c r="I151" s="70">
        <v>0</v>
      </c>
    </row>
    <row r="152" spans="1:9">
      <c r="A152" s="7" t="str">
        <f>HLOOKUP(INDICE!$F$2,Nombres!$C$3:$D$636,60,FALSE)</f>
        <v>Deposits from central banks and credit institutions</v>
      </c>
      <c r="B152" s="79">
        <v>3306485.394395798</v>
      </c>
      <c r="C152" s="79">
        <v>3093754.4934563632</v>
      </c>
      <c r="D152" s="79">
        <v>3009831.2424665866</v>
      </c>
      <c r="E152" s="89">
        <v>2750461.8964379197</v>
      </c>
      <c r="F152" s="70">
        <v>3178744.6226926385</v>
      </c>
      <c r="G152" s="70">
        <v>3080431.2694688118</v>
      </c>
      <c r="H152" s="70">
        <v>0</v>
      </c>
      <c r="I152" s="70">
        <v>0</v>
      </c>
    </row>
    <row r="153" spans="1:9">
      <c r="A153" s="7" t="str">
        <f>HLOOKUP(INDICE!$F$2,Nombres!$C$3:$D$636,61,FALSE)</f>
        <v>Deposits from customers</v>
      </c>
      <c r="B153" s="79">
        <v>78744829.629123703</v>
      </c>
      <c r="C153" s="79">
        <v>80228181.355979934</v>
      </c>
      <c r="D153" s="79">
        <v>79220207.020461023</v>
      </c>
      <c r="E153" s="89">
        <v>82173118.382586792</v>
      </c>
      <c r="F153" s="70">
        <v>84630607.482001603</v>
      </c>
      <c r="G153" s="70">
        <v>88215301.279451922</v>
      </c>
      <c r="H153" s="70">
        <v>0</v>
      </c>
      <c r="I153" s="70">
        <v>0</v>
      </c>
    </row>
    <row r="154" spans="1:9">
      <c r="A154" s="7" t="str">
        <f>HLOOKUP(INDICE!$F$2,Nombres!$C$3:$D$636,62,FALSE)</f>
        <v>Debt certificates</v>
      </c>
      <c r="B154" s="70">
        <v>6316423.1608469039</v>
      </c>
      <c r="C154" s="70">
        <v>4595032.7293720162</v>
      </c>
      <c r="D154" s="70">
        <v>4809741.8718793942</v>
      </c>
      <c r="E154" s="71">
        <v>4852718.0888363058</v>
      </c>
      <c r="F154" s="70">
        <v>4773399.9294995563</v>
      </c>
      <c r="G154" s="70">
        <v>4390837.3464979269</v>
      </c>
      <c r="H154" s="70">
        <v>0</v>
      </c>
      <c r="I154" s="70">
        <v>0</v>
      </c>
    </row>
    <row r="155" spans="1:9" hidden="1">
      <c r="A155" s="7"/>
      <c r="B155" s="70"/>
      <c r="C155" s="70"/>
      <c r="D155" s="70"/>
      <c r="E155" s="71"/>
      <c r="F155" s="70"/>
      <c r="G155" s="70"/>
      <c r="H155" s="70"/>
      <c r="I155" s="70"/>
    </row>
    <row r="156" spans="1:9">
      <c r="A156" s="7" t="str">
        <f>HLOOKUP(INDICE!$F$2,Nombres!$C$3:$D$636,63,FALSE)</f>
        <v>Other liabilities</v>
      </c>
      <c r="B156" s="79">
        <f>+B150-B151-B152-B153-B154-B157</f>
        <v>1842537.7279140148</v>
      </c>
      <c r="C156" s="79">
        <f t="shared" ref="C156:I156" si="26">+C150-C151-C152-C153-C154-C157</f>
        <v>2227641.6829636171</v>
      </c>
      <c r="D156" s="79">
        <f t="shared" si="26"/>
        <v>2897372.8990268875</v>
      </c>
      <c r="E156" s="89">
        <f t="shared" si="26"/>
        <v>1839401.9776847083</v>
      </c>
      <c r="F156" s="70">
        <f t="shared" si="26"/>
        <v>1460682.3589367196</v>
      </c>
      <c r="G156" s="70">
        <f t="shared" si="26"/>
        <v>2448323.0207335576</v>
      </c>
      <c r="H156" s="70">
        <f t="shared" si="26"/>
        <v>0</v>
      </c>
      <c r="I156" s="70">
        <f t="shared" si="26"/>
        <v>0</v>
      </c>
    </row>
    <row r="157" spans="1:9">
      <c r="A157" s="7" t="str">
        <f>HLOOKUP(INDICE!$F$2,Nombres!$C$3:$D$636,282,FALSE)</f>
        <v>Allocated regulatory capital</v>
      </c>
      <c r="B157" s="79">
        <v>11101664.693746692</v>
      </c>
      <c r="C157" s="79">
        <v>10883170.359395057</v>
      </c>
      <c r="D157" s="79">
        <v>10362577.322411971</v>
      </c>
      <c r="E157" s="79">
        <v>10847920.515726944</v>
      </c>
      <c r="F157" s="79">
        <v>10503032.041180808</v>
      </c>
      <c r="G157" s="79">
        <v>10187083.05539443</v>
      </c>
      <c r="H157" s="79">
        <v>0</v>
      </c>
      <c r="I157" s="79">
        <v>0</v>
      </c>
    </row>
    <row r="158" spans="1:9">
      <c r="A158" s="8"/>
      <c r="B158" s="79"/>
      <c r="C158" s="79"/>
      <c r="D158" s="79"/>
      <c r="E158" s="79"/>
      <c r="F158" s="70"/>
      <c r="G158" s="70"/>
      <c r="H158" s="70"/>
      <c r="I158" s="70"/>
    </row>
    <row r="159" spans="1:9">
      <c r="A159" s="7"/>
      <c r="B159" s="79"/>
      <c r="C159" s="79"/>
      <c r="D159" s="79"/>
      <c r="E159" s="79"/>
      <c r="F159" s="70"/>
      <c r="G159" s="70"/>
      <c r="H159" s="70"/>
      <c r="I159" s="70"/>
    </row>
    <row r="160" spans="1:9" ht="17">
      <c r="A160" s="59" t="str">
        <f>HLOOKUP(INDICE!$F$2,Nombres!$C$3:$D$636,65,FALSE)</f>
        <v>Relevant business indicators</v>
      </c>
      <c r="B160" s="60"/>
      <c r="C160" s="60"/>
      <c r="D160" s="60"/>
      <c r="E160" s="60"/>
      <c r="F160" s="95"/>
      <c r="G160" s="95"/>
      <c r="H160" s="95"/>
      <c r="I160" s="95"/>
    </row>
    <row r="161" spans="1:9">
      <c r="A161" s="9" t="str">
        <f>HLOOKUP(INDICE!$F$2,Nombres!$C$3:$D$636,75,FALSE)</f>
        <v>(Million Colombian pesos)</v>
      </c>
      <c r="B161" s="57"/>
      <c r="C161" s="57"/>
      <c r="D161" s="57"/>
      <c r="E161" s="57"/>
      <c r="F161" s="96"/>
      <c r="G161" s="70"/>
      <c r="H161" s="70"/>
      <c r="I161" s="70"/>
    </row>
    <row r="162" spans="1:9" ht="15.75" customHeight="1">
      <c r="A162" s="57"/>
      <c r="B162" s="80">
        <f t="shared" ref="B162:I162" si="27">+B$30</f>
        <v>45747</v>
      </c>
      <c r="C162" s="80">
        <f t="shared" si="27"/>
        <v>45838</v>
      </c>
      <c r="D162" s="80">
        <f t="shared" si="27"/>
        <v>45930</v>
      </c>
      <c r="E162" s="92">
        <f t="shared" si="27"/>
        <v>46022</v>
      </c>
      <c r="F162" s="80">
        <f t="shared" si="27"/>
        <v>46112</v>
      </c>
      <c r="G162" s="80">
        <f t="shared" si="27"/>
        <v>46203</v>
      </c>
      <c r="H162" s="80">
        <f t="shared" si="27"/>
        <v>46295</v>
      </c>
      <c r="I162" s="80">
        <f t="shared" si="27"/>
        <v>46387</v>
      </c>
    </row>
    <row r="163" spans="1:9" ht="15.75" customHeight="1">
      <c r="A163" s="7" t="str">
        <f>HLOOKUP(INDICE!$F$2,Nombres!$C$3:$D$636,66,FALSE)</f>
        <v>Loans and advances to customers (gross) (*)</v>
      </c>
      <c r="B163" s="70">
        <v>77111492.353070125</v>
      </c>
      <c r="C163" s="70">
        <v>78327240.824713722</v>
      </c>
      <c r="D163" s="70">
        <v>79486352.659126192</v>
      </c>
      <c r="E163" s="71">
        <v>80078621.707989708</v>
      </c>
      <c r="F163" s="70">
        <v>81359818.107784197</v>
      </c>
      <c r="G163" s="70">
        <v>83702632.574026629</v>
      </c>
      <c r="H163" s="70">
        <v>0</v>
      </c>
      <c r="I163" s="70">
        <v>0</v>
      </c>
    </row>
    <row r="164" spans="1:9" ht="15.75" customHeight="1">
      <c r="A164" s="7" t="str">
        <f>HLOOKUP(INDICE!$F$2,Nombres!$C$3:$D$636,67,FALSE)</f>
        <v>Customer deposits under management (*)</v>
      </c>
      <c r="B164" s="70">
        <v>78744829.629123688</v>
      </c>
      <c r="C164" s="70">
        <v>80228181.355979934</v>
      </c>
      <c r="D164" s="70">
        <v>79220207.020461023</v>
      </c>
      <c r="E164" s="71">
        <v>82173118.382586777</v>
      </c>
      <c r="F164" s="70">
        <v>84630607.482001588</v>
      </c>
      <c r="G164" s="70">
        <v>88215301.279451936</v>
      </c>
      <c r="H164" s="70">
        <v>0</v>
      </c>
      <c r="I164" s="70">
        <v>0</v>
      </c>
    </row>
    <row r="165" spans="1:9" ht="15.75" customHeight="1">
      <c r="A165" s="7" t="str">
        <f>HLOOKUP(INDICE!$F$2,Nombres!$C$3:$D$636,68,FALSE)</f>
        <v>Investment funds and managed portfolios</v>
      </c>
      <c r="B165" s="70">
        <v>11971291.913529817</v>
      </c>
      <c r="C165" s="70">
        <v>11858754.879496856</v>
      </c>
      <c r="D165" s="70">
        <v>12927992.9032727</v>
      </c>
      <c r="E165" s="71">
        <v>13178729.091850176</v>
      </c>
      <c r="F165" s="70">
        <v>13969535.294165393</v>
      </c>
      <c r="G165" s="70">
        <v>13760281.909245862</v>
      </c>
      <c r="H165" s="70">
        <v>0</v>
      </c>
      <c r="I165" s="70">
        <v>0</v>
      </c>
    </row>
    <row r="166" spans="1:9" ht="15.75" customHeight="1">
      <c r="A166" s="7" t="str">
        <f>HLOOKUP(INDICE!$F$2,Nombres!$C$3:$D$636,69,FALSE)</f>
        <v>Pension funds</v>
      </c>
      <c r="B166" s="70">
        <v>0</v>
      </c>
      <c r="C166" s="70">
        <v>0</v>
      </c>
      <c r="D166" s="70">
        <v>0</v>
      </c>
      <c r="E166" s="71">
        <v>0</v>
      </c>
      <c r="F166" s="70">
        <v>0</v>
      </c>
      <c r="G166" s="70">
        <v>0</v>
      </c>
      <c r="H166" s="70">
        <v>0</v>
      </c>
      <c r="I166" s="70">
        <v>0</v>
      </c>
    </row>
    <row r="167" spans="1:9">
      <c r="A167" s="7" t="str">
        <f>HLOOKUP(INDICE!$F$2,Nombres!$C$3:$D$636,70,FALSE)</f>
        <v>Other off balance-sheet funds</v>
      </c>
      <c r="B167" s="70">
        <v>0</v>
      </c>
      <c r="C167" s="70">
        <v>0</v>
      </c>
      <c r="D167" s="70">
        <v>0</v>
      </c>
      <c r="E167" s="71">
        <v>0</v>
      </c>
      <c r="F167" s="70">
        <v>0</v>
      </c>
      <c r="G167" s="70">
        <v>0</v>
      </c>
      <c r="H167" s="70">
        <v>0</v>
      </c>
      <c r="I167" s="70">
        <v>0</v>
      </c>
    </row>
    <row r="168" spans="1:9">
      <c r="A168" s="8" t="str">
        <f>HLOOKUP(INDICE!$F$2,Nombres!$C$3:$D$636,71,FALSE)</f>
        <v xml:space="preserve">(*) Excluding repos. </v>
      </c>
      <c r="B168" s="79"/>
      <c r="C168" s="79"/>
      <c r="D168" s="79"/>
      <c r="E168" s="79"/>
      <c r="F168" s="70"/>
      <c r="G168" s="70"/>
      <c r="H168" s="70"/>
      <c r="I168" s="70"/>
    </row>
    <row r="169" spans="1:9">
      <c r="A169" s="8">
        <f>HLOOKUP(INDICE!$F$2,Nombres!$C$3:$D$636,72,FALSE)</f>
        <v>0</v>
      </c>
      <c r="B169" s="57"/>
      <c r="C169" s="57"/>
      <c r="D169" s="57"/>
      <c r="E169" s="57"/>
      <c r="F169" s="57"/>
      <c r="G169" s="57"/>
      <c r="H169" s="57"/>
      <c r="I169" s="57"/>
    </row>
    <row r="170" spans="1:9">
      <c r="A170" s="57"/>
      <c r="B170" s="57"/>
      <c r="C170" s="57"/>
      <c r="D170" s="57"/>
      <c r="E170" s="57"/>
      <c r="F170" s="57"/>
      <c r="G170" s="57"/>
      <c r="H170" s="57"/>
      <c r="I170" s="57"/>
    </row>
    <row r="171" spans="1:9">
      <c r="A171" s="57"/>
      <c r="B171" s="57"/>
      <c r="C171" s="57"/>
      <c r="D171" s="57"/>
      <c r="E171" s="57"/>
      <c r="F171" s="57"/>
      <c r="G171" s="57"/>
      <c r="H171" s="57"/>
      <c r="I171" s="57"/>
    </row>
    <row r="172" spans="1:9">
      <c r="A172" s="98"/>
      <c r="C172" s="99"/>
      <c r="D172" s="99"/>
      <c r="E172" s="99"/>
    </row>
    <row r="173" spans="1:9">
      <c r="A173" s="98"/>
      <c r="C173" s="99"/>
      <c r="D173" s="99"/>
      <c r="E173" s="99"/>
    </row>
    <row r="1006" spans="1:1">
      <c r="A1006" t="s">
        <v>557</v>
      </c>
    </row>
  </sheetData>
  <mergeCells count="6">
    <mergeCell ref="B6:E6"/>
    <mergeCell ref="F6:I6"/>
    <mergeCell ref="B62:E62"/>
    <mergeCell ref="F62:I62"/>
    <mergeCell ref="B118:E118"/>
    <mergeCell ref="F118:I118"/>
  </mergeCells>
  <conditionalFormatting sqref="B26:I26">
    <cfRule type="cellIs" dxfId="26" priority="3" operator="notBetween">
      <formula>0.5</formula>
      <formula>-0.5</formula>
    </cfRule>
  </conditionalFormatting>
  <conditionalFormatting sqref="B82:I82">
    <cfRule type="cellIs" dxfId="25" priority="2" operator="notBetween">
      <formula>0.5</formula>
      <formula>-0.5</formula>
    </cfRule>
  </conditionalFormatting>
  <conditionalFormatting sqref="B138:I138">
    <cfRule type="cellIs" dxfId="24" priority="1" operator="notBetween">
      <formula>0.5</formula>
      <formula>-0.5</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6AB28-08ED-4440-872B-EBE2E171C0F2}">
  <sheetPr>
    <tabColor theme="8"/>
  </sheetPr>
  <dimension ref="A1:O173"/>
  <sheetViews>
    <sheetView showGridLines="0" workbookViewId="0">
      <selection activeCell="I1" sqref="H1:I1048576"/>
    </sheetView>
  </sheetViews>
  <sheetFormatPr baseColWidth="10" defaultColWidth="11.453125" defaultRowHeight="14.5"/>
  <cols>
    <col min="1" max="1" width="62" customWidth="1"/>
    <col min="8" max="9" width="0" hidden="1" customWidth="1"/>
  </cols>
  <sheetData>
    <row r="1" spans="1:15" ht="17">
      <c r="A1" s="105" t="str">
        <f>HLOOKUP(INDICE!$F$2,Nombres!$C$3:$D$636,17,FALSE)</f>
        <v>Peru</v>
      </c>
      <c r="B1" s="57"/>
      <c r="C1" s="57"/>
      <c r="D1" s="57"/>
      <c r="E1" s="57"/>
      <c r="F1" s="57"/>
      <c r="G1" s="57"/>
      <c r="H1" s="57"/>
      <c r="I1" s="57"/>
    </row>
    <row r="2" spans="1:15" ht="19.5">
      <c r="A2" s="58"/>
      <c r="B2" s="57"/>
      <c r="C2" s="57"/>
      <c r="D2" s="57"/>
      <c r="E2" s="57"/>
      <c r="F2" s="57"/>
      <c r="G2" s="57"/>
      <c r="H2" s="57"/>
      <c r="I2" s="57"/>
    </row>
    <row r="3" spans="1:15" ht="17">
      <c r="A3" s="106" t="str">
        <f>HLOOKUP(INDICE!$F$2,Nombres!$C$3:$D$636,31,FALSE)</f>
        <v xml:space="preserve">Income statement  </v>
      </c>
      <c r="B3" s="60"/>
      <c r="C3" s="60"/>
      <c r="D3" s="60"/>
      <c r="E3" s="60"/>
      <c r="F3" s="60"/>
      <c r="G3" s="60"/>
      <c r="H3" s="60"/>
      <c r="I3" s="60"/>
    </row>
    <row r="4" spans="1:15">
      <c r="A4" s="107" t="str">
        <f>HLOOKUP(INDICE!$F$2,Nombres!$C$3:$D$636,32,FALSE)</f>
        <v>(Million euros)</v>
      </c>
      <c r="B4" s="57"/>
      <c r="C4" s="61"/>
      <c r="D4" s="61"/>
      <c r="E4" s="61"/>
      <c r="F4" s="57"/>
      <c r="G4" s="57"/>
      <c r="H4" s="57"/>
      <c r="I4" s="57"/>
    </row>
    <row r="5" spans="1:15">
      <c r="A5" s="62"/>
      <c r="B5" s="57"/>
      <c r="C5" s="61"/>
      <c r="D5" s="61"/>
      <c r="E5" s="61"/>
      <c r="F5" s="57"/>
      <c r="G5" s="57"/>
      <c r="H5" s="57"/>
      <c r="I5" s="57"/>
    </row>
    <row r="6" spans="1:15">
      <c r="A6" s="63"/>
      <c r="B6" s="257">
        <f>+España!B6</f>
        <v>2025</v>
      </c>
      <c r="C6" s="257"/>
      <c r="D6" s="257"/>
      <c r="E6" s="258"/>
      <c r="F6" s="257">
        <f>+España!F6</f>
        <v>2026</v>
      </c>
      <c r="G6" s="257"/>
      <c r="H6" s="257"/>
      <c r="I6" s="257"/>
    </row>
    <row r="7" spans="1:15">
      <c r="A7" s="63"/>
      <c r="B7" s="108" t="str">
        <f>+España!B7</f>
        <v>1Q</v>
      </c>
      <c r="C7" s="108" t="str">
        <f>+España!C7</f>
        <v>2Q</v>
      </c>
      <c r="D7" s="108" t="str">
        <f>+España!D7</f>
        <v>3Q</v>
      </c>
      <c r="E7" s="109" t="str">
        <f>+España!E7</f>
        <v>4Q</v>
      </c>
      <c r="F7" s="108" t="str">
        <f>+España!F7</f>
        <v>1Q</v>
      </c>
      <c r="G7" s="108" t="str">
        <f>+España!G7</f>
        <v>2Q</v>
      </c>
      <c r="H7" s="108" t="str">
        <f>+España!H7</f>
        <v>3Q</v>
      </c>
      <c r="I7" s="108" t="str">
        <f>+España!I7</f>
        <v>4Q</v>
      </c>
    </row>
    <row r="8" spans="1:15">
      <c r="A8" s="17" t="str">
        <f>HLOOKUP(INDICE!$F$2,Nombres!$C$3:$D$636,33,FALSE)</f>
        <v>Net interest income</v>
      </c>
      <c r="B8" s="17">
        <v>371.65900020116112</v>
      </c>
      <c r="C8" s="17">
        <v>350.57999999901779</v>
      </c>
      <c r="D8" s="17">
        <v>371.13400020132849</v>
      </c>
      <c r="E8" s="66">
        <v>395.64200029906954</v>
      </c>
      <c r="F8" s="67">
        <v>407.40799999999984</v>
      </c>
      <c r="G8" s="67">
        <v>415.87000000000018</v>
      </c>
      <c r="H8" s="110">
        <v>0</v>
      </c>
      <c r="I8" s="110">
        <v>0</v>
      </c>
      <c r="J8" s="11"/>
      <c r="K8" s="11"/>
      <c r="L8" s="11"/>
      <c r="M8" s="11"/>
      <c r="N8" s="11"/>
      <c r="O8" s="11"/>
    </row>
    <row r="9" spans="1:15">
      <c r="A9" s="111" t="str">
        <f>HLOOKUP(INDICE!$F$2,Nombres!$C$3:$D$636,34,FALSE)</f>
        <v>Net fees and commissions</v>
      </c>
      <c r="B9" s="70">
        <v>82.240589888472314</v>
      </c>
      <c r="C9" s="70">
        <v>72.225289989801382</v>
      </c>
      <c r="D9" s="70">
        <v>92.808408504224985</v>
      </c>
      <c r="E9" s="71">
        <v>86.358960364953035</v>
      </c>
      <c r="F9" s="70">
        <v>85.28815305800012</v>
      </c>
      <c r="G9" s="70">
        <v>83.850586646999986</v>
      </c>
      <c r="H9" s="70">
        <v>0</v>
      </c>
      <c r="I9" s="70">
        <v>0</v>
      </c>
    </row>
    <row r="10" spans="1:15">
      <c r="A10" s="111" t="str">
        <f>HLOOKUP(INDICE!$F$2,Nombres!$C$3:$D$636,35,FALSE)</f>
        <v>Net trading income</v>
      </c>
      <c r="B10" s="70">
        <v>52.01116988216998</v>
      </c>
      <c r="C10" s="70">
        <v>53.704547082826025</v>
      </c>
      <c r="D10" s="70">
        <v>54.737821936113029</v>
      </c>
      <c r="E10" s="71">
        <v>46.082158705573725</v>
      </c>
      <c r="F10" s="70">
        <v>55.465794112000005</v>
      </c>
      <c r="G10" s="70">
        <v>59.524505491000006</v>
      </c>
      <c r="H10" s="70">
        <v>0</v>
      </c>
      <c r="I10" s="70">
        <v>0</v>
      </c>
    </row>
    <row r="11" spans="1:15">
      <c r="A11" s="111" t="str">
        <f>HLOOKUP(INDICE!$F$2,Nombres!$C$3:$D$636,36,FALSE)</f>
        <v>Other operating income and expenses</v>
      </c>
      <c r="B11" s="70">
        <v>-8.1829999995248723</v>
      </c>
      <c r="C11" s="70">
        <v>-5.6919999999415767</v>
      </c>
      <c r="D11" s="70">
        <v>-16.259000001198743</v>
      </c>
      <c r="E11" s="71">
        <v>-11.97799999959347</v>
      </c>
      <c r="F11" s="70">
        <v>-10.156999999999996</v>
      </c>
      <c r="G11" s="70">
        <v>-12.027000000000006</v>
      </c>
      <c r="H11" s="70">
        <v>0</v>
      </c>
      <c r="I11" s="70">
        <v>0</v>
      </c>
    </row>
    <row r="12" spans="1:15">
      <c r="A12" s="17" t="str">
        <f>HLOOKUP(INDICE!$F$2,Nombres!$C$3:$D$636,37,FALSE)</f>
        <v>Gross income</v>
      </c>
      <c r="B12" s="17">
        <f t="shared" ref="B12:I12" si="0">+SUM(B8:B11)</f>
        <v>497.72775997227848</v>
      </c>
      <c r="C12" s="17">
        <f t="shared" si="0"/>
        <v>470.81783707170359</v>
      </c>
      <c r="D12" s="17">
        <f t="shared" si="0"/>
        <v>502.4212306404678</v>
      </c>
      <c r="E12" s="66">
        <f t="shared" si="0"/>
        <v>516.10511937000274</v>
      </c>
      <c r="F12" s="67">
        <f t="shared" si="0"/>
        <v>538.00494716999992</v>
      </c>
      <c r="G12" s="67">
        <f t="shared" si="0"/>
        <v>547.21809213800009</v>
      </c>
      <c r="H12" s="67">
        <f t="shared" si="0"/>
        <v>0</v>
      </c>
      <c r="I12" s="67">
        <f t="shared" si="0"/>
        <v>0</v>
      </c>
    </row>
    <row r="13" spans="1:15">
      <c r="A13" s="111" t="str">
        <f>HLOOKUP(INDICE!$F$2,Nombres!$C$3:$D$636,38,FALSE)</f>
        <v>Operating expenses</v>
      </c>
      <c r="B13" s="70">
        <v>-191.28384656811664</v>
      </c>
      <c r="C13" s="70">
        <v>-176.50984656852009</v>
      </c>
      <c r="D13" s="70">
        <v>-188.12543706595261</v>
      </c>
      <c r="E13" s="71">
        <v>-216.14695240045003</v>
      </c>
      <c r="F13" s="70">
        <v>-208.17833953899986</v>
      </c>
      <c r="G13" s="70">
        <v>-203.82990894900001</v>
      </c>
      <c r="H13" s="70">
        <v>0</v>
      </c>
      <c r="I13" s="70">
        <v>0</v>
      </c>
    </row>
    <row r="14" spans="1:15">
      <c r="A14" s="111" t="str">
        <f>HLOOKUP(INDICE!$F$2,Nombres!$C$3:$D$636,39,FALSE)</f>
        <v xml:space="preserve">  Administration expenses</v>
      </c>
      <c r="B14" s="70">
        <v>-167.42984656811666</v>
      </c>
      <c r="C14" s="70">
        <v>-154.88184656852013</v>
      </c>
      <c r="D14" s="70">
        <v>-167.4814370659526</v>
      </c>
      <c r="E14" s="71">
        <v>-193.81095240045005</v>
      </c>
      <c r="F14" s="70">
        <v>-186.08033953899985</v>
      </c>
      <c r="G14" s="70">
        <v>-181.516908949</v>
      </c>
      <c r="H14" s="70">
        <v>0</v>
      </c>
      <c r="I14" s="70">
        <v>0</v>
      </c>
    </row>
    <row r="15" spans="1:15">
      <c r="A15" s="112" t="str">
        <f>HLOOKUP(INDICE!$F$2,Nombres!$C$3:$D$636,40,FALSE)</f>
        <v xml:space="preserve">  Personnel expenses</v>
      </c>
      <c r="B15" s="70">
        <v>-81.977000000000018</v>
      </c>
      <c r="C15" s="70">
        <v>-77.745999999999967</v>
      </c>
      <c r="D15" s="70">
        <v>-79.922000000000082</v>
      </c>
      <c r="E15" s="71">
        <v>-99.070000000000022</v>
      </c>
      <c r="F15" s="70">
        <v>-86.637000000000015</v>
      </c>
      <c r="G15" s="70">
        <v>-89.645999999999958</v>
      </c>
      <c r="H15" s="70">
        <v>0</v>
      </c>
      <c r="I15" s="70">
        <v>0</v>
      </c>
    </row>
    <row r="16" spans="1:15">
      <c r="A16" s="112" t="str">
        <f>HLOOKUP(INDICE!$F$2,Nombres!$C$3:$D$636,41,FALSE)</f>
        <v xml:space="preserve">  General and administrative expenses</v>
      </c>
      <c r="B16" s="70">
        <v>-85.452846568116684</v>
      </c>
      <c r="C16" s="70">
        <v>-77.135846568520165</v>
      </c>
      <c r="D16" s="70">
        <v>-87.55943706595248</v>
      </c>
      <c r="E16" s="71">
        <v>-94.740952400449984</v>
      </c>
      <c r="F16" s="70">
        <v>-99.443339538999851</v>
      </c>
      <c r="G16" s="70">
        <v>-91.870908949000082</v>
      </c>
      <c r="H16" s="70">
        <v>0</v>
      </c>
      <c r="I16" s="70">
        <v>0</v>
      </c>
    </row>
    <row r="17" spans="1:9">
      <c r="A17" s="111" t="str">
        <f>HLOOKUP(INDICE!$F$2,Nombres!$C$3:$D$636,42,FALSE)</f>
        <v xml:space="preserve">  Depreciation</v>
      </c>
      <c r="B17" s="70">
        <v>-23.853999999999999</v>
      </c>
      <c r="C17" s="70">
        <v>-21.628</v>
      </c>
      <c r="D17" s="70">
        <v>-20.643999999999998</v>
      </c>
      <c r="E17" s="71">
        <v>-22.335999999999999</v>
      </c>
      <c r="F17" s="70">
        <v>-22.097999999999999</v>
      </c>
      <c r="G17" s="70">
        <v>-22.312999999999999</v>
      </c>
      <c r="H17" s="70">
        <v>0</v>
      </c>
      <c r="I17" s="70">
        <v>0</v>
      </c>
    </row>
    <row r="18" spans="1:9">
      <c r="A18" s="17" t="str">
        <f>HLOOKUP(INDICE!$F$2,Nombres!$C$3:$D$636,43,FALSE)</f>
        <v>Operating income</v>
      </c>
      <c r="B18" s="17">
        <f t="shared" ref="B18:I18" si="1">+B12+B13</f>
        <v>306.44391340416183</v>
      </c>
      <c r="C18" s="17">
        <f t="shared" si="1"/>
        <v>294.30799050318353</v>
      </c>
      <c r="D18" s="17">
        <f t="shared" si="1"/>
        <v>314.29579357451519</v>
      </c>
      <c r="E18" s="66">
        <f t="shared" si="1"/>
        <v>299.95816696955274</v>
      </c>
      <c r="F18" s="67">
        <f t="shared" si="1"/>
        <v>329.82660763100006</v>
      </c>
      <c r="G18" s="67">
        <f t="shared" si="1"/>
        <v>343.38818318900007</v>
      </c>
      <c r="H18" s="67">
        <f t="shared" si="1"/>
        <v>0</v>
      </c>
      <c r="I18" s="67">
        <f t="shared" si="1"/>
        <v>0</v>
      </c>
    </row>
    <row r="19" spans="1:9">
      <c r="A19" s="111" t="str">
        <f>HLOOKUP(INDICE!$F$2,Nombres!$C$3:$D$636,44,FALSE)</f>
        <v>Impaiment on financial assets not measured at fair value through profit or loss</v>
      </c>
      <c r="B19" s="70">
        <v>-68.947000097</v>
      </c>
      <c r="C19" s="70">
        <v>-78.979000001432013</v>
      </c>
      <c r="D19" s="70">
        <v>-110.39800009880203</v>
      </c>
      <c r="E19" s="71">
        <v>-73.000999800000059</v>
      </c>
      <c r="F19" s="70">
        <v>-77.811999999999927</v>
      </c>
      <c r="G19" s="70">
        <v>-53.586000000000077</v>
      </c>
      <c r="H19" s="70">
        <v>0</v>
      </c>
      <c r="I19" s="70">
        <v>0</v>
      </c>
    </row>
    <row r="20" spans="1:9">
      <c r="A20" s="111" t="str">
        <f>HLOOKUP(INDICE!$F$2,Nombres!$C$3:$D$636,45,FALSE)</f>
        <v>Provisions or reversal of provisions and other results</v>
      </c>
      <c r="B20" s="70">
        <v>14.787000000950986</v>
      </c>
      <c r="C20" s="70">
        <v>-9.1580000001074495</v>
      </c>
      <c r="D20" s="70">
        <v>-12.743000000694618</v>
      </c>
      <c r="E20" s="71">
        <v>-16.332000000583548</v>
      </c>
      <c r="F20" s="70">
        <v>-8.7199999999999971</v>
      </c>
      <c r="G20" s="70">
        <v>22.826999999999973</v>
      </c>
      <c r="H20" s="70">
        <v>0</v>
      </c>
      <c r="I20" s="70">
        <v>0</v>
      </c>
    </row>
    <row r="21" spans="1:9">
      <c r="A21" s="113" t="str">
        <f>HLOOKUP(INDICE!$F$2,Nombres!$C$3:$D$636,46,FALSE)</f>
        <v>Profit/(loss) before tax</v>
      </c>
      <c r="B21" s="17">
        <f t="shared" ref="B21:I21" si="2">+B18+B19+B20</f>
        <v>252.28391330811283</v>
      </c>
      <c r="C21" s="17">
        <f t="shared" si="2"/>
        <v>206.17099050164407</v>
      </c>
      <c r="D21" s="17">
        <f t="shared" si="2"/>
        <v>191.15479347501855</v>
      </c>
      <c r="E21" s="66">
        <f t="shared" si="2"/>
        <v>210.62516716896914</v>
      </c>
      <c r="F21" s="67">
        <f t="shared" si="2"/>
        <v>243.29460763100013</v>
      </c>
      <c r="G21" s="67">
        <f t="shared" si="2"/>
        <v>312.629183189</v>
      </c>
      <c r="H21" s="67">
        <f t="shared" si="2"/>
        <v>0</v>
      </c>
      <c r="I21" s="67">
        <f t="shared" si="2"/>
        <v>0</v>
      </c>
    </row>
    <row r="22" spans="1:9">
      <c r="A22" s="7" t="str">
        <f>HLOOKUP(INDICE!$F$2,Nombres!$C$3:$D$636,47,FALSE)</f>
        <v>Income tax</v>
      </c>
      <c r="B22" s="70">
        <v>-73.638630071887718</v>
      </c>
      <c r="C22" s="70">
        <v>-57.532164460459803</v>
      </c>
      <c r="D22" s="70">
        <v>-44.362703253404227</v>
      </c>
      <c r="E22" s="71">
        <v>-60.0255808633665</v>
      </c>
      <c r="F22" s="70">
        <v>-68.505951963019982</v>
      </c>
      <c r="G22" s="70">
        <v>-88.863143295650005</v>
      </c>
      <c r="H22" s="70">
        <v>0</v>
      </c>
      <c r="I22" s="70">
        <v>0</v>
      </c>
    </row>
    <row r="23" spans="1:9">
      <c r="A23" s="113" t="str">
        <f>HLOOKUP(INDICE!$F$2,Nombres!$C$3:$D$636,48,FALSE)</f>
        <v>Profit/(loss) for the year</v>
      </c>
      <c r="B23" s="17">
        <f t="shared" ref="B23:I23" si="3">+B21+B22</f>
        <v>178.64528323622511</v>
      </c>
      <c r="C23" s="17">
        <f t="shared" si="3"/>
        <v>148.63882604118427</v>
      </c>
      <c r="D23" s="17">
        <f t="shared" si="3"/>
        <v>146.79209022161433</v>
      </c>
      <c r="E23" s="66">
        <f t="shared" si="3"/>
        <v>150.59958630560266</v>
      </c>
      <c r="F23" s="67">
        <f t="shared" si="3"/>
        <v>174.78865566798015</v>
      </c>
      <c r="G23" s="67">
        <f t="shared" si="3"/>
        <v>223.76603989335001</v>
      </c>
      <c r="H23" s="67">
        <f t="shared" si="3"/>
        <v>0</v>
      </c>
      <c r="I23" s="67">
        <f t="shared" si="3"/>
        <v>0</v>
      </c>
    </row>
    <row r="24" spans="1:9">
      <c r="A24" s="111" t="str">
        <f>HLOOKUP(INDICE!$F$2,Nombres!$C$3:$D$636,49,FALSE)</f>
        <v>Non-controlling interests</v>
      </c>
      <c r="B24" s="70">
        <v>-95.419444530999996</v>
      </c>
      <c r="C24" s="70">
        <v>-77.313681998999996</v>
      </c>
      <c r="D24" s="70">
        <v>-76.968832105000089</v>
      </c>
      <c r="E24" s="71">
        <v>-83.129705023999946</v>
      </c>
      <c r="F24" s="70">
        <v>-93.706380144000235</v>
      </c>
      <c r="G24" s="70">
        <v>-111.18504612199975</v>
      </c>
      <c r="H24" s="70">
        <v>0</v>
      </c>
      <c r="I24" s="70">
        <v>0</v>
      </c>
    </row>
    <row r="25" spans="1:9">
      <c r="A25" s="114" t="str">
        <f>HLOOKUP(INDICE!$F$2,Nombres!$C$3:$D$636,50,FALSE)</f>
        <v>Net attributable profit</v>
      </c>
      <c r="B25" s="18">
        <f t="shared" ref="B25:I25" si="4">+B23+B24</f>
        <v>83.225838705225115</v>
      </c>
      <c r="C25" s="18">
        <f t="shared" si="4"/>
        <v>71.325144042184277</v>
      </c>
      <c r="D25" s="18">
        <f t="shared" si="4"/>
        <v>69.823258116614241</v>
      </c>
      <c r="E25" s="18">
        <f t="shared" si="4"/>
        <v>67.46988128160271</v>
      </c>
      <c r="F25" s="88">
        <f t="shared" si="4"/>
        <v>81.082275523979916</v>
      </c>
      <c r="G25" s="88">
        <f t="shared" si="4"/>
        <v>112.58099377135026</v>
      </c>
      <c r="H25" s="88">
        <f t="shared" si="4"/>
        <v>0</v>
      </c>
      <c r="I25" s="88">
        <f t="shared" si="4"/>
        <v>0</v>
      </c>
    </row>
    <row r="26" spans="1:9">
      <c r="A26" s="115"/>
      <c r="B26" s="93">
        <v>-1.8474111129762605E-13</v>
      </c>
      <c r="C26" s="93">
        <v>2.4158453015843406E-13</v>
      </c>
      <c r="D26" s="93">
        <v>-1.9895196601282805E-13</v>
      </c>
      <c r="E26" s="93">
        <v>0</v>
      </c>
      <c r="F26" s="93">
        <v>0</v>
      </c>
      <c r="G26" s="93">
        <v>0</v>
      </c>
      <c r="H26" s="93">
        <v>0</v>
      </c>
      <c r="I26" s="93">
        <v>0</v>
      </c>
    </row>
    <row r="27" spans="1:9">
      <c r="A27" s="113"/>
      <c r="B27" s="17"/>
      <c r="C27" s="17"/>
      <c r="D27" s="17"/>
      <c r="E27" s="17"/>
      <c r="F27" s="17"/>
      <c r="G27" s="17"/>
      <c r="H27" s="17"/>
      <c r="I27" s="17"/>
    </row>
    <row r="28" spans="1:9" ht="17">
      <c r="A28" s="106" t="str">
        <f>HLOOKUP(INDICE!$F$2,Nombres!$C$3:$D$636,51,FALSE)</f>
        <v>Balance sheets</v>
      </c>
      <c r="B28" s="60"/>
      <c r="C28" s="60"/>
      <c r="D28" s="60"/>
      <c r="E28" s="60"/>
      <c r="F28" s="60"/>
      <c r="G28" s="60"/>
      <c r="H28" s="60"/>
      <c r="I28" s="60"/>
    </row>
    <row r="29" spans="1:9">
      <c r="A29" s="107" t="str">
        <f>HLOOKUP(INDICE!$F$2,Nombres!$C$3:$D$636,32,FALSE)</f>
        <v>(Million euros)</v>
      </c>
      <c r="B29" s="57"/>
      <c r="C29" s="78"/>
      <c r="D29" s="78"/>
      <c r="E29" s="78"/>
      <c r="F29" s="57"/>
      <c r="G29" s="79"/>
      <c r="H29" s="79"/>
      <c r="I29" s="79"/>
    </row>
    <row r="30" spans="1:9">
      <c r="A30" s="57"/>
      <c r="B30" s="80">
        <f>+España!B32</f>
        <v>45747</v>
      </c>
      <c r="C30" s="80">
        <f>+España!C32</f>
        <v>45838</v>
      </c>
      <c r="D30" s="80">
        <f>+España!D32</f>
        <v>45930</v>
      </c>
      <c r="E30" s="92">
        <f>+España!E32</f>
        <v>46022</v>
      </c>
      <c r="F30" s="94">
        <f>+España!F32</f>
        <v>46112</v>
      </c>
      <c r="G30" s="94">
        <f>+España!G32</f>
        <v>46203</v>
      </c>
      <c r="H30" s="94">
        <f>+España!H32</f>
        <v>46295</v>
      </c>
      <c r="I30" s="94">
        <f>+España!I32</f>
        <v>46387</v>
      </c>
    </row>
    <row r="31" spans="1:9">
      <c r="A31" s="111" t="str">
        <f>HLOOKUP(INDICE!$F$2,Nombres!$C$3:$D$636,52,FALSE)</f>
        <v>Cash, cash balances at central banks and other demand deposits</v>
      </c>
      <c r="B31" s="70">
        <v>2530.0499999999997</v>
      </c>
      <c r="C31" s="70">
        <v>1763.0229999999999</v>
      </c>
      <c r="D31" s="70">
        <v>1956.491</v>
      </c>
      <c r="E31" s="71">
        <v>2462.9949999999994</v>
      </c>
      <c r="F31" s="70">
        <v>2423.4769999999999</v>
      </c>
      <c r="G31" s="70">
        <v>2695.5329999999994</v>
      </c>
      <c r="H31" s="70">
        <v>0</v>
      </c>
      <c r="I31" s="70">
        <v>0</v>
      </c>
    </row>
    <row r="32" spans="1:9">
      <c r="A32" s="111" t="str">
        <f>HLOOKUP(INDICE!$F$2,Nombres!$C$3:$D$636,53,FALSE)</f>
        <v xml:space="preserve">Financial assets designated at fair value </v>
      </c>
      <c r="B32" s="79">
        <v>4277.3900000000003</v>
      </c>
      <c r="C32" s="79">
        <v>4095.1129999999998</v>
      </c>
      <c r="D32" s="79">
        <v>4033.5340000000006</v>
      </c>
      <c r="E32" s="89">
        <v>4008.1279999999988</v>
      </c>
      <c r="F32" s="70">
        <v>3878.038</v>
      </c>
      <c r="G32" s="70">
        <v>3952.35</v>
      </c>
      <c r="H32" s="70">
        <v>0</v>
      </c>
      <c r="I32" s="70">
        <v>0</v>
      </c>
    </row>
    <row r="33" spans="1:9">
      <c r="A33" s="7" t="str">
        <f>HLOOKUP(INDICE!$F$2,Nombres!$C$3:$D$636,54,FALSE)</f>
        <v>Financial assets at amortized cost</v>
      </c>
      <c r="B33" s="70">
        <v>19290.700000016837</v>
      </c>
      <c r="C33" s="70">
        <v>19547.755000055124</v>
      </c>
      <c r="D33" s="70">
        <v>20263.192000095623</v>
      </c>
      <c r="E33" s="71">
        <v>21117.476000020735</v>
      </c>
      <c r="F33" s="70">
        <v>22188.493999999988</v>
      </c>
      <c r="G33" s="70">
        <v>22586.904999999999</v>
      </c>
      <c r="H33" s="70">
        <v>0</v>
      </c>
      <c r="I33" s="70">
        <v>0</v>
      </c>
    </row>
    <row r="34" spans="1:9">
      <c r="A34" s="111" t="str">
        <f>HLOOKUP(INDICE!$F$2,Nombres!$C$3:$D$636,55,FALSE)</f>
        <v xml:space="preserve">    of which loans and advances to customers</v>
      </c>
      <c r="B34" s="70">
        <v>18677.188000016838</v>
      </c>
      <c r="C34" s="70">
        <v>18140.098000055121</v>
      </c>
      <c r="D34" s="70">
        <v>18633.842000095625</v>
      </c>
      <c r="E34" s="71">
        <v>20278.804000020737</v>
      </c>
      <c r="F34" s="70">
        <v>20371.312999999987</v>
      </c>
      <c r="G34" s="70">
        <v>21690.202000000001</v>
      </c>
      <c r="H34" s="70">
        <v>0</v>
      </c>
      <c r="I34" s="70">
        <v>0</v>
      </c>
    </row>
    <row r="35" spans="1:9" hidden="1">
      <c r="A35" s="111"/>
      <c r="B35" s="70"/>
      <c r="C35" s="70"/>
      <c r="D35" s="70"/>
      <c r="E35" s="71"/>
      <c r="F35" s="70"/>
      <c r="G35" s="70"/>
      <c r="H35" s="70"/>
      <c r="I35" s="70"/>
    </row>
    <row r="36" spans="1:9">
      <c r="A36" s="7" t="str">
        <f>HLOOKUP(INDICE!$F$2,Nombres!$C$3:$D$636,56,FALSE)</f>
        <v>Tangible assets</v>
      </c>
      <c r="B36" s="70">
        <v>341.65699999999987</v>
      </c>
      <c r="C36" s="70">
        <v>318.84900000000005</v>
      </c>
      <c r="D36" s="70">
        <v>321.70699999999999</v>
      </c>
      <c r="E36" s="71">
        <v>345.29199999999992</v>
      </c>
      <c r="F36" s="70">
        <v>332.52299999999985</v>
      </c>
      <c r="G36" s="70">
        <v>345.35700000000008</v>
      </c>
      <c r="H36" s="70">
        <v>0</v>
      </c>
      <c r="I36" s="70">
        <v>0</v>
      </c>
    </row>
    <row r="37" spans="1:9">
      <c r="A37" s="111" t="str">
        <f>HLOOKUP(INDICE!$F$2,Nombres!$C$3:$D$636,57,FALSE)</f>
        <v>Other assets</v>
      </c>
      <c r="B37" s="79">
        <f t="shared" ref="B37:I37" si="5">+B38-B36-B33-B32-B31</f>
        <v>692.8470000006987</v>
      </c>
      <c r="C37" s="79">
        <f t="shared" si="5"/>
        <v>526.22977710151713</v>
      </c>
      <c r="D37" s="79">
        <f t="shared" si="5"/>
        <v>531.32900000000609</v>
      </c>
      <c r="E37" s="89">
        <f t="shared" si="5"/>
        <v>529.79199999998809</v>
      </c>
      <c r="F37" s="70">
        <f t="shared" si="5"/>
        <v>555.86100000000761</v>
      </c>
      <c r="G37" s="70">
        <f t="shared" si="5"/>
        <v>534.12700000400082</v>
      </c>
      <c r="H37" s="70">
        <f t="shared" si="5"/>
        <v>0</v>
      </c>
      <c r="I37" s="70">
        <f t="shared" si="5"/>
        <v>0</v>
      </c>
    </row>
    <row r="38" spans="1:9">
      <c r="A38" s="114" t="str">
        <f>HLOOKUP(INDICE!$F$2,Nombres!$C$3:$D$636,58,FALSE)</f>
        <v>Total assets / Liabilities and equity</v>
      </c>
      <c r="B38" s="18">
        <v>27132.644000017535</v>
      </c>
      <c r="C38" s="18">
        <v>26250.969777156639</v>
      </c>
      <c r="D38" s="18">
        <v>27106.253000095629</v>
      </c>
      <c r="E38" s="18">
        <v>28463.683000020723</v>
      </c>
      <c r="F38" s="88">
        <v>29378.392999999996</v>
      </c>
      <c r="G38" s="88">
        <v>30114.272000003999</v>
      </c>
      <c r="H38" s="88">
        <v>0</v>
      </c>
      <c r="I38" s="88">
        <v>0</v>
      </c>
    </row>
    <row r="39" spans="1:9">
      <c r="A39" s="111" t="str">
        <f>HLOOKUP(INDICE!$F$2,Nombres!$C$3:$D$636,59,FALSE)</f>
        <v>Financial liabilities held for trading and designated at fair value through profit or loss</v>
      </c>
      <c r="B39" s="79">
        <v>342.654</v>
      </c>
      <c r="C39" s="79">
        <v>384.21600000000001</v>
      </c>
      <c r="D39" s="79">
        <v>371.21199999999993</v>
      </c>
      <c r="E39" s="89">
        <v>240.59299999999999</v>
      </c>
      <c r="F39" s="70">
        <v>164.80899999999997</v>
      </c>
      <c r="G39" s="70">
        <v>172.864</v>
      </c>
      <c r="H39" s="70">
        <v>0</v>
      </c>
      <c r="I39" s="70">
        <v>0</v>
      </c>
    </row>
    <row r="40" spans="1:9">
      <c r="A40" s="111" t="str">
        <f>HLOOKUP(INDICE!$F$2,Nombres!$C$3:$D$636,60,FALSE)</f>
        <v>Deposits from central banks and credit institutions</v>
      </c>
      <c r="B40" s="79">
        <v>1829.2839999999999</v>
      </c>
      <c r="C40" s="79">
        <v>2342.8059999999996</v>
      </c>
      <c r="D40" s="79">
        <v>1743.9929999999997</v>
      </c>
      <c r="E40" s="89">
        <v>1570.8170000000002</v>
      </c>
      <c r="F40" s="70">
        <v>1373.6570000000002</v>
      </c>
      <c r="G40" s="70">
        <v>1365.5790000000002</v>
      </c>
      <c r="H40" s="70">
        <v>0</v>
      </c>
      <c r="I40" s="70">
        <v>0</v>
      </c>
    </row>
    <row r="41" spans="1:9" ht="15.75" customHeight="1">
      <c r="A41" s="111" t="str">
        <f>HLOOKUP(INDICE!$F$2,Nombres!$C$3:$D$636,61,FALSE)</f>
        <v>Deposits from customers</v>
      </c>
      <c r="B41" s="79">
        <v>19390.529000008999</v>
      </c>
      <c r="C41" s="79">
        <v>18340.819999878004</v>
      </c>
      <c r="D41" s="79">
        <v>19290.279999864993</v>
      </c>
      <c r="E41" s="89">
        <v>20822.028999980997</v>
      </c>
      <c r="F41" s="70">
        <v>21693.451000000015</v>
      </c>
      <c r="G41" s="70">
        <v>22342.340999999997</v>
      </c>
      <c r="H41" s="70">
        <v>0</v>
      </c>
      <c r="I41" s="70">
        <v>0</v>
      </c>
    </row>
    <row r="42" spans="1:9">
      <c r="A42" s="7" t="str">
        <f>HLOOKUP(INDICE!$F$2,Nombres!$C$3:$D$636,62,FALSE)</f>
        <v>Debt certificates</v>
      </c>
      <c r="B42" s="70">
        <v>922.48062126602542</v>
      </c>
      <c r="C42" s="70">
        <v>780.12760136215684</v>
      </c>
      <c r="D42" s="70">
        <v>864.21374365089866</v>
      </c>
      <c r="E42" s="71">
        <v>883.97100128747729</v>
      </c>
      <c r="F42" s="70">
        <v>859.73879845572401</v>
      </c>
      <c r="G42" s="70">
        <v>831.83860659910454</v>
      </c>
      <c r="H42" s="70">
        <v>0</v>
      </c>
      <c r="I42" s="70">
        <v>0</v>
      </c>
    </row>
    <row r="43" spans="1:9" hidden="1">
      <c r="A43" s="7"/>
      <c r="B43" s="70"/>
      <c r="C43" s="70"/>
      <c r="D43" s="70"/>
      <c r="E43" s="71"/>
      <c r="F43" s="70"/>
      <c r="G43" s="70"/>
      <c r="H43" s="70"/>
      <c r="I43" s="70"/>
    </row>
    <row r="44" spans="1:9">
      <c r="A44" s="111" t="str">
        <f>HLOOKUP(INDICE!$F$2,Nombres!$C$3:$D$636,63,FALSE)</f>
        <v>Other liabilities</v>
      </c>
      <c r="B44" s="79">
        <f t="shared" ref="B44:I44" si="6">+B38-B39-B40-B41-B42-B45</f>
        <v>2059.0110572365934</v>
      </c>
      <c r="C44" s="79">
        <f t="shared" si="6"/>
        <v>1934.5239952089473</v>
      </c>
      <c r="D44" s="79">
        <f t="shared" si="6"/>
        <v>2407.7369635062223</v>
      </c>
      <c r="E44" s="89">
        <f t="shared" si="6"/>
        <v>2305.0299722789114</v>
      </c>
      <c r="F44" s="70">
        <f t="shared" si="6"/>
        <v>2730.1690150431286</v>
      </c>
      <c r="G44" s="70">
        <f t="shared" si="6"/>
        <v>2757.9970501241714</v>
      </c>
      <c r="H44" s="70">
        <f t="shared" si="6"/>
        <v>0</v>
      </c>
      <c r="I44" s="70">
        <f t="shared" si="6"/>
        <v>0</v>
      </c>
    </row>
    <row r="45" spans="1:9">
      <c r="A45" s="7" t="str">
        <f>HLOOKUP(INDICE!$F$2,Nombres!$C$3:$D$636,282,FALSE)</f>
        <v>Allocated regulatory capital</v>
      </c>
      <c r="B45" s="79">
        <v>2588.6853215059195</v>
      </c>
      <c r="C45" s="79">
        <v>2468.4761807075297</v>
      </c>
      <c r="D45" s="79">
        <v>2428.8172930735163</v>
      </c>
      <c r="E45" s="79">
        <v>2641.2430264733366</v>
      </c>
      <c r="F45" s="79">
        <v>2556.5681865011275</v>
      </c>
      <c r="G45" s="79">
        <v>2643.6523432807235</v>
      </c>
      <c r="H45" s="79">
        <v>0</v>
      </c>
      <c r="I45" s="79">
        <v>0</v>
      </c>
    </row>
    <row r="46" spans="1:9">
      <c r="A46" s="8"/>
      <c r="B46" s="79"/>
      <c r="C46" s="79"/>
      <c r="D46" s="79"/>
      <c r="E46" s="79"/>
      <c r="F46" s="70"/>
      <c r="G46" s="70"/>
      <c r="H46" s="70"/>
      <c r="I46" s="70"/>
    </row>
    <row r="47" spans="1:9">
      <c r="A47" s="7"/>
      <c r="B47" s="79"/>
      <c r="C47" s="79"/>
      <c r="D47" s="79"/>
      <c r="E47" s="79"/>
      <c r="F47" s="70"/>
      <c r="G47" s="70"/>
      <c r="H47" s="70"/>
      <c r="I47" s="70"/>
    </row>
    <row r="48" spans="1:9" ht="17">
      <c r="A48" s="106" t="str">
        <f>HLOOKUP(INDICE!$F$2,Nombres!$C$3:$D$636,65,FALSE)</f>
        <v>Relevant business indicators</v>
      </c>
      <c r="B48" s="60"/>
      <c r="C48" s="60"/>
      <c r="D48" s="60"/>
      <c r="E48" s="60"/>
      <c r="F48" s="95"/>
      <c r="G48" s="95"/>
      <c r="H48" s="95"/>
      <c r="I48" s="95"/>
    </row>
    <row r="49" spans="1:11">
      <c r="A49" s="107" t="str">
        <f>HLOOKUP(INDICE!$F$2,Nombres!$C$3:$D$636,32,FALSE)</f>
        <v>(Million euros)</v>
      </c>
      <c r="B49" s="57"/>
      <c r="C49" s="57"/>
      <c r="D49" s="57"/>
      <c r="E49" s="57"/>
      <c r="F49" s="96"/>
      <c r="G49" s="70"/>
      <c r="H49" s="70"/>
      <c r="I49" s="70"/>
    </row>
    <row r="50" spans="1:11">
      <c r="A50" s="57"/>
      <c r="B50" s="80">
        <f t="shared" ref="B50:I50" si="7">+B$30</f>
        <v>45747</v>
      </c>
      <c r="C50" s="80">
        <f t="shared" si="7"/>
        <v>45838</v>
      </c>
      <c r="D50" s="80">
        <f t="shared" si="7"/>
        <v>45930</v>
      </c>
      <c r="E50" s="92">
        <f t="shared" si="7"/>
        <v>46022</v>
      </c>
      <c r="F50" s="80">
        <f t="shared" si="7"/>
        <v>46112</v>
      </c>
      <c r="G50" s="80">
        <f t="shared" si="7"/>
        <v>46203</v>
      </c>
      <c r="H50" s="80">
        <f t="shared" si="7"/>
        <v>46295</v>
      </c>
      <c r="I50" s="80">
        <f t="shared" si="7"/>
        <v>46387</v>
      </c>
    </row>
    <row r="51" spans="1:11">
      <c r="A51" s="111" t="str">
        <f>HLOOKUP(INDICE!$F$2,Nombres!$C$3:$D$636,66,FALSE)</f>
        <v>Loans and advances to customers (gross) (*)</v>
      </c>
      <c r="B51" s="70">
        <v>19609.659000016833</v>
      </c>
      <c r="C51" s="70">
        <v>18986.003000055123</v>
      </c>
      <c r="D51" s="70">
        <v>19506.774000095626</v>
      </c>
      <c r="E51" s="71">
        <v>20588.316000020735</v>
      </c>
      <c r="F51" s="70">
        <v>20623.396999999994</v>
      </c>
      <c r="G51" s="70">
        <v>21981.440999999999</v>
      </c>
      <c r="H51" s="70">
        <v>0</v>
      </c>
      <c r="I51" s="70">
        <v>0</v>
      </c>
      <c r="K51" s="68"/>
    </row>
    <row r="52" spans="1:11">
      <c r="A52" s="111" t="str">
        <f>HLOOKUP(INDICE!$F$2,Nombres!$C$3:$D$636,67,FALSE)</f>
        <v>Customer deposits under management (*)</v>
      </c>
      <c r="B52" s="70">
        <v>19390.529000008999</v>
      </c>
      <c r="C52" s="70">
        <v>18340.819999878004</v>
      </c>
      <c r="D52" s="70">
        <v>19290.27999986499</v>
      </c>
      <c r="E52" s="71">
        <v>20822.028999980994</v>
      </c>
      <c r="F52" s="70">
        <v>21693.451000000015</v>
      </c>
      <c r="G52" s="70">
        <v>22342.340999999986</v>
      </c>
      <c r="H52" s="70">
        <v>0</v>
      </c>
      <c r="I52" s="70">
        <v>0</v>
      </c>
    </row>
    <row r="53" spans="1:11">
      <c r="A53" s="7" t="str">
        <f>HLOOKUP(INDICE!$F$2,Nombres!$C$3:$D$636,68,FALSE)</f>
        <v>Investment funds and managed portfolios</v>
      </c>
      <c r="B53" s="70">
        <v>2823.3584329608148</v>
      </c>
      <c r="C53" s="70">
        <v>2870.6754956120499</v>
      </c>
      <c r="D53" s="70">
        <v>3022.7369247767847</v>
      </c>
      <c r="E53" s="71">
        <v>3199.8426020725401</v>
      </c>
      <c r="F53" s="70">
        <v>3288.9041325442945</v>
      </c>
      <c r="G53" s="70">
        <v>3507.6216709445439</v>
      </c>
      <c r="H53" s="70">
        <v>0</v>
      </c>
      <c r="I53" s="70">
        <v>0</v>
      </c>
    </row>
    <row r="54" spans="1:11">
      <c r="A54" s="111" t="str">
        <f>HLOOKUP(INDICE!$F$2,Nombres!$C$3:$D$636,69,FALSE)</f>
        <v>Pension funds</v>
      </c>
      <c r="B54" s="70">
        <v>0</v>
      </c>
      <c r="C54" s="70">
        <v>0</v>
      </c>
      <c r="D54" s="70">
        <v>0</v>
      </c>
      <c r="E54" s="71">
        <v>0</v>
      </c>
      <c r="F54" s="70">
        <v>0</v>
      </c>
      <c r="G54" s="70">
        <v>0</v>
      </c>
      <c r="H54" s="70">
        <v>0</v>
      </c>
      <c r="I54" s="70">
        <v>0</v>
      </c>
    </row>
    <row r="55" spans="1:11">
      <c r="A55" s="111" t="str">
        <f>HLOOKUP(INDICE!$F$2,Nombres!$C$3:$D$636,70,FALSE)</f>
        <v>Other off balance-sheet funds</v>
      </c>
      <c r="B55" s="70">
        <v>0</v>
      </c>
      <c r="C55" s="70">
        <v>0</v>
      </c>
      <c r="D55" s="70">
        <v>0</v>
      </c>
      <c r="E55" s="71">
        <v>0</v>
      </c>
      <c r="F55" s="70">
        <v>0</v>
      </c>
      <c r="G55" s="70">
        <v>0</v>
      </c>
      <c r="H55" s="70">
        <v>0</v>
      </c>
      <c r="I55" s="70">
        <v>0</v>
      </c>
    </row>
    <row r="56" spans="1:11">
      <c r="A56" s="115" t="str">
        <f>HLOOKUP(INDICE!$F$2,Nombres!$C$3:$D$636,71,FALSE)</f>
        <v xml:space="preserve">(*) Excluding repos. </v>
      </c>
      <c r="B56" s="79"/>
      <c r="C56" s="79"/>
      <c r="D56" s="79"/>
      <c r="E56" s="79"/>
      <c r="F56" s="79"/>
      <c r="G56" s="79"/>
      <c r="H56" s="79"/>
      <c r="I56" s="79"/>
    </row>
    <row r="57" spans="1:11">
      <c r="A57" s="115">
        <f>HLOOKUP(INDICE!$F$2,Nombres!$C$3:$D$636,72,FALSE)</f>
        <v>0</v>
      </c>
      <c r="B57" s="57"/>
      <c r="C57" s="57"/>
      <c r="D57" s="57"/>
      <c r="E57" s="57"/>
      <c r="F57" s="57"/>
      <c r="G57" s="57"/>
      <c r="H57" s="57"/>
      <c r="I57" s="57"/>
    </row>
    <row r="58" spans="1:11">
      <c r="A58" s="8"/>
      <c r="B58" s="57"/>
      <c r="C58" s="57"/>
      <c r="D58" s="57"/>
      <c r="E58" s="57"/>
      <c r="F58" s="57"/>
      <c r="G58" s="57"/>
      <c r="H58" s="57"/>
      <c r="I58" s="57"/>
    </row>
    <row r="59" spans="1:11" ht="17">
      <c r="A59" s="106" t="str">
        <f>HLOOKUP(INDICE!$F$2,Nombres!$C$3:$D$636,31,FALSE)</f>
        <v xml:space="preserve">Income statement  </v>
      </c>
      <c r="B59" s="60"/>
      <c r="C59" s="60"/>
      <c r="D59" s="60"/>
      <c r="E59" s="60"/>
      <c r="F59" s="60"/>
      <c r="G59" s="60"/>
      <c r="H59" s="60"/>
      <c r="I59" s="60"/>
    </row>
    <row r="60" spans="1:11">
      <c r="A60" s="107" t="str">
        <f>HLOOKUP(INDICE!$F$2,Nombres!$C$3:$D$636,73,FALSE)</f>
        <v xml:space="preserve">(Constant million euros)    </v>
      </c>
      <c r="B60" s="57"/>
      <c r="C60" s="61"/>
      <c r="D60" s="61"/>
      <c r="E60" s="61"/>
      <c r="F60" s="57"/>
      <c r="G60" s="57"/>
      <c r="H60" s="57"/>
      <c r="I60" s="57"/>
    </row>
    <row r="61" spans="1:11">
      <c r="A61" s="62"/>
      <c r="B61" s="57"/>
      <c r="C61" s="61"/>
      <c r="D61" s="61"/>
      <c r="E61" s="61"/>
      <c r="F61" s="57"/>
      <c r="G61" s="57"/>
      <c r="H61" s="57"/>
      <c r="I61" s="57"/>
    </row>
    <row r="62" spans="1:11">
      <c r="A62" s="63"/>
      <c r="B62" s="257">
        <f>+B$6</f>
        <v>2025</v>
      </c>
      <c r="C62" s="257"/>
      <c r="D62" s="257"/>
      <c r="E62" s="258"/>
      <c r="F62" s="257">
        <f>+F$6</f>
        <v>2026</v>
      </c>
      <c r="G62" s="257"/>
      <c r="H62" s="257"/>
      <c r="I62" s="257"/>
    </row>
    <row r="63" spans="1:11">
      <c r="A63" s="63"/>
      <c r="B63" s="108" t="str">
        <f t="shared" ref="B63:I63" si="8">+B$7</f>
        <v>1Q</v>
      </c>
      <c r="C63" s="108" t="str">
        <f t="shared" si="8"/>
        <v>2Q</v>
      </c>
      <c r="D63" s="108" t="str">
        <f t="shared" si="8"/>
        <v>3Q</v>
      </c>
      <c r="E63" s="109" t="str">
        <f t="shared" si="8"/>
        <v>4Q</v>
      </c>
      <c r="F63" s="108" t="str">
        <f t="shared" si="8"/>
        <v>1Q</v>
      </c>
      <c r="G63" s="108" t="str">
        <f t="shared" si="8"/>
        <v>2Q</v>
      </c>
      <c r="H63" s="108" t="str">
        <f t="shared" si="8"/>
        <v>3Q</v>
      </c>
      <c r="I63" s="108" t="str">
        <f t="shared" si="8"/>
        <v>4Q</v>
      </c>
    </row>
    <row r="64" spans="1:11">
      <c r="A64" s="17" t="str">
        <f>HLOOKUP(INDICE!$F$2,Nombres!$C$3:$D$636,33,FALSE)</f>
        <v>Net interest income</v>
      </c>
      <c r="B64" s="17">
        <v>363.91251088177961</v>
      </c>
      <c r="C64" s="17">
        <v>366.39962612635208</v>
      </c>
      <c r="D64" s="17">
        <v>385.22840358776534</v>
      </c>
      <c r="E64" s="66">
        <v>392.82281533410941</v>
      </c>
      <c r="F64" s="67">
        <v>406.3740163884886</v>
      </c>
      <c r="G64" s="67">
        <v>416.90398361148129</v>
      </c>
      <c r="H64" s="67">
        <v>0</v>
      </c>
      <c r="I64" s="67">
        <v>0</v>
      </c>
    </row>
    <row r="65" spans="1:9">
      <c r="A65" s="111" t="str">
        <f>HLOOKUP(INDICE!$F$2,Nombres!$C$3:$D$636,34,FALSE)</f>
        <v>Net fees and commissions</v>
      </c>
      <c r="B65" s="70">
        <v>80.526449101231421</v>
      </c>
      <c r="C65" s="70">
        <v>75.66603953131218</v>
      </c>
      <c r="D65" s="70">
        <v>96.095150843088774</v>
      </c>
      <c r="E65" s="71">
        <v>85.680860837492489</v>
      </c>
      <c r="F65" s="70">
        <v>85.071695471213644</v>
      </c>
      <c r="G65" s="70">
        <v>84.067044233772791</v>
      </c>
      <c r="H65" s="70">
        <v>0</v>
      </c>
      <c r="I65" s="70">
        <v>0</v>
      </c>
    </row>
    <row r="66" spans="1:9">
      <c r="A66" s="111" t="str">
        <f>HLOOKUP(INDICE!$F$2,Nombres!$C$3:$D$636,35,FALSE)</f>
        <v>Net trading income</v>
      </c>
      <c r="B66" s="70">
        <v>50.927100959413572</v>
      </c>
      <c r="C66" s="70">
        <v>55.970298863435133</v>
      </c>
      <c r="D66" s="70">
        <v>56.809246912107525</v>
      </c>
      <c r="E66" s="71">
        <v>45.512788807857376</v>
      </c>
      <c r="F66" s="70">
        <v>55.325024362483127</v>
      </c>
      <c r="G66" s="70">
        <v>59.665275240511811</v>
      </c>
      <c r="H66" s="70">
        <v>0</v>
      </c>
      <c r="I66" s="70">
        <v>0</v>
      </c>
    </row>
    <row r="67" spans="1:9">
      <c r="A67" s="111" t="str">
        <f>HLOOKUP(INDICE!$F$2,Nombres!$C$3:$D$636,36,FALSE)</f>
        <v>Other operating income and expenses</v>
      </c>
      <c r="B67" s="70">
        <v>-8.0124417134017865</v>
      </c>
      <c r="C67" s="70">
        <v>-6.0176520613593878</v>
      </c>
      <c r="D67" s="70">
        <v>-16.714856611533538</v>
      </c>
      <c r="E67" s="71">
        <v>-11.914255609231708</v>
      </c>
      <c r="F67" s="70">
        <v>-10.13122198007391</v>
      </c>
      <c r="G67" s="70">
        <v>-12.05277801992564</v>
      </c>
      <c r="H67" s="70">
        <v>0</v>
      </c>
      <c r="I67" s="70">
        <v>0</v>
      </c>
    </row>
    <row r="68" spans="1:9">
      <c r="A68" s="17" t="str">
        <f>HLOOKUP(INDICE!$F$2,Nombres!$C$3:$D$636,37,FALSE)</f>
        <v>Gross income</v>
      </c>
      <c r="B68" s="17">
        <f t="shared" ref="B68:I68" si="9">+SUM(B64:B67)</f>
        <v>487.3536192290228</v>
      </c>
      <c r="C68" s="17">
        <f t="shared" si="9"/>
        <v>492.01831245973995</v>
      </c>
      <c r="D68" s="17">
        <f t="shared" si="9"/>
        <v>521.41794473142818</v>
      </c>
      <c r="E68" s="66">
        <f t="shared" si="9"/>
        <v>512.10220937022757</v>
      </c>
      <c r="F68" s="67">
        <f t="shared" si="9"/>
        <v>536.63951424211143</v>
      </c>
      <c r="G68" s="67">
        <f t="shared" si="9"/>
        <v>548.58352506584026</v>
      </c>
      <c r="H68" s="67">
        <f t="shared" si="9"/>
        <v>0</v>
      </c>
      <c r="I68" s="67">
        <f t="shared" si="9"/>
        <v>0</v>
      </c>
    </row>
    <row r="69" spans="1:9">
      <c r="A69" s="111" t="str">
        <f>HLOOKUP(INDICE!$F$2,Nombres!$C$3:$D$636,38,FALSE)</f>
        <v>Operating expenses</v>
      </c>
      <c r="B69" s="70">
        <v>-187.29691695358181</v>
      </c>
      <c r="C69" s="70">
        <v>-184.60794824794147</v>
      </c>
      <c r="D69" s="70">
        <v>-195.2852216270951</v>
      </c>
      <c r="E69" s="71">
        <v>-214.90827135241273</v>
      </c>
      <c r="F69" s="70">
        <v>-207.64999205599844</v>
      </c>
      <c r="G69" s="70">
        <v>-204.3582564319843</v>
      </c>
      <c r="H69" s="70">
        <v>0</v>
      </c>
      <c r="I69" s="70">
        <v>0</v>
      </c>
    </row>
    <row r="70" spans="1:9">
      <c r="A70" s="111" t="str">
        <f>HLOOKUP(INDICE!$F$2,Nombres!$C$3:$D$636,39,FALSE)</f>
        <v xml:space="preserve">  Administration expenses</v>
      </c>
      <c r="B70" s="70">
        <v>-163.94010592552777</v>
      </c>
      <c r="C70" s="70">
        <v>-161.97436467504278</v>
      </c>
      <c r="D70" s="70">
        <v>-173.80894770746389</v>
      </c>
      <c r="E70" s="71">
        <v>-192.76345904204462</v>
      </c>
      <c r="F70" s="70">
        <v>-185.60807580950146</v>
      </c>
      <c r="G70" s="70">
        <v>-181.98917267848299</v>
      </c>
      <c r="H70" s="70">
        <v>0</v>
      </c>
      <c r="I70" s="70">
        <v>0</v>
      </c>
    </row>
    <row r="71" spans="1:9">
      <c r="A71" s="112" t="str">
        <f>HLOOKUP(INDICE!$F$2,Nombres!$C$3:$D$636,40,FALSE)</f>
        <v xml:space="preserve">  Personnel expenses</v>
      </c>
      <c r="B71" s="70">
        <v>-80.268353217354615</v>
      </c>
      <c r="C71" s="70">
        <v>-81.240019256327116</v>
      </c>
      <c r="D71" s="70">
        <v>-82.995298965922132</v>
      </c>
      <c r="E71" s="71">
        <v>-98.612612723719892</v>
      </c>
      <c r="F71" s="70">
        <v>-86.417119098911883</v>
      </c>
      <c r="G71" s="70">
        <v>-89.865880901080388</v>
      </c>
      <c r="H71" s="70">
        <v>0</v>
      </c>
      <c r="I71" s="70">
        <v>0</v>
      </c>
    </row>
    <row r="72" spans="1:9">
      <c r="A72" s="112" t="str">
        <f>HLOOKUP(INDICE!$F$2,Nombres!$C$3:$D$636,41,FALSE)</f>
        <v xml:space="preserve">  General and administrative expenses</v>
      </c>
      <c r="B72" s="70">
        <v>-83.671752708173159</v>
      </c>
      <c r="C72" s="70">
        <v>-80.734345418715691</v>
      </c>
      <c r="D72" s="70">
        <v>-90.813648741541741</v>
      </c>
      <c r="E72" s="71">
        <v>-94.150846318324696</v>
      </c>
      <c r="F72" s="70">
        <v>-99.190956710589617</v>
      </c>
      <c r="G72" s="70">
        <v>-92.123291777402585</v>
      </c>
      <c r="H72" s="70">
        <v>0</v>
      </c>
      <c r="I72" s="70">
        <v>0</v>
      </c>
    </row>
    <row r="73" spans="1:9">
      <c r="A73" s="111" t="str">
        <f>HLOOKUP(INDICE!$F$2,Nombres!$C$3:$D$636,42,FALSE)</f>
        <v xml:space="preserve">  Depreciation</v>
      </c>
      <c r="B73" s="70">
        <v>-23.356811028054025</v>
      </c>
      <c r="C73" s="70">
        <v>-22.633583572898651</v>
      </c>
      <c r="D73" s="70">
        <v>-21.476273919631197</v>
      </c>
      <c r="E73" s="71">
        <v>-22.144812310368099</v>
      </c>
      <c r="F73" s="70">
        <v>-22.041916246496953</v>
      </c>
      <c r="G73" s="70">
        <v>-22.369083753501311</v>
      </c>
      <c r="H73" s="70">
        <v>0</v>
      </c>
      <c r="I73" s="70">
        <v>0</v>
      </c>
    </row>
    <row r="74" spans="1:9">
      <c r="A74" s="17" t="str">
        <f>HLOOKUP(INDICE!$F$2,Nombres!$C$3:$D$636,43,FALSE)</f>
        <v>Operating income</v>
      </c>
      <c r="B74" s="17">
        <f t="shared" ref="B74:I74" si="10">+B68+B69</f>
        <v>300.05670227544101</v>
      </c>
      <c r="C74" s="17">
        <f t="shared" si="10"/>
        <v>307.41036421179848</v>
      </c>
      <c r="D74" s="17">
        <f t="shared" si="10"/>
        <v>326.13272310433308</v>
      </c>
      <c r="E74" s="66">
        <f t="shared" si="10"/>
        <v>297.19393801781484</v>
      </c>
      <c r="F74" s="67">
        <f t="shared" si="10"/>
        <v>328.98952218611299</v>
      </c>
      <c r="G74" s="67">
        <f t="shared" si="10"/>
        <v>344.22526863385599</v>
      </c>
      <c r="H74" s="67">
        <f t="shared" si="10"/>
        <v>0</v>
      </c>
      <c r="I74" s="67">
        <f t="shared" si="10"/>
        <v>0</v>
      </c>
    </row>
    <row r="75" spans="1:9">
      <c r="A75" s="111" t="str">
        <f>HLOOKUP(INDICE!$F$2,Nombres!$C$3:$D$636,44,FALSE)</f>
        <v>Impaiment on financial assets not measured at fair value through profit or loss</v>
      </c>
      <c r="B75" s="70">
        <v>-67.50993762961555</v>
      </c>
      <c r="C75" s="70">
        <v>-82.069568906321763</v>
      </c>
      <c r="D75" s="70">
        <v>-113.98187162421137</v>
      </c>
      <c r="E75" s="71">
        <v>-72.068879872308599</v>
      </c>
      <c r="F75" s="70">
        <v>-77.614516561336856</v>
      </c>
      <c r="G75" s="70">
        <v>-53.783483438657129</v>
      </c>
      <c r="H75" s="70">
        <v>0</v>
      </c>
      <c r="I75" s="70">
        <v>0</v>
      </c>
    </row>
    <row r="76" spans="1:9">
      <c r="A76" s="111" t="str">
        <f>HLOOKUP(INDICE!$F$2,Nombres!$C$3:$D$636,45,FALSE)</f>
        <v>Provisions or reversal of provisions and other results</v>
      </c>
      <c r="B76" s="70">
        <v>14.478794528969718</v>
      </c>
      <c r="C76" s="70">
        <v>-8.7868739615457727</v>
      </c>
      <c r="D76" s="70">
        <v>-12.950153030379397</v>
      </c>
      <c r="E76" s="71">
        <v>-16.492426346493581</v>
      </c>
      <c r="F76" s="70">
        <v>-8.6978690229640137</v>
      </c>
      <c r="G76" s="70">
        <v>22.804869022963064</v>
      </c>
      <c r="H76" s="70">
        <v>0</v>
      </c>
      <c r="I76" s="70">
        <v>0</v>
      </c>
    </row>
    <row r="77" spans="1:9">
      <c r="A77" s="113" t="str">
        <f>HLOOKUP(INDICE!$F$2,Nombres!$C$3:$D$636,46,FALSE)</f>
        <v>Profit/(loss) before tax</v>
      </c>
      <c r="B77" s="17">
        <f t="shared" ref="B77:I77" si="11">+B74+B75+B76</f>
        <v>247.02555917479521</v>
      </c>
      <c r="C77" s="17">
        <f t="shared" si="11"/>
        <v>216.55392134393094</v>
      </c>
      <c r="D77" s="17">
        <f t="shared" si="11"/>
        <v>199.20069844974233</v>
      </c>
      <c r="E77" s="66">
        <f t="shared" si="11"/>
        <v>208.63263179901267</v>
      </c>
      <c r="F77" s="67">
        <f t="shared" si="11"/>
        <v>242.67713660181209</v>
      </c>
      <c r="G77" s="67">
        <f t="shared" si="11"/>
        <v>313.24665421816195</v>
      </c>
      <c r="H77" s="67">
        <f t="shared" si="11"/>
        <v>0</v>
      </c>
      <c r="I77" s="67">
        <f t="shared" si="11"/>
        <v>0</v>
      </c>
    </row>
    <row r="78" spans="1:9">
      <c r="A78" s="7" t="str">
        <f>HLOOKUP(INDICE!$F$2,Nombres!$C$3:$D$636,47,FALSE)</f>
        <v>Income tax</v>
      </c>
      <c r="B78" s="70">
        <v>-72.103779951113552</v>
      </c>
      <c r="C78" s="70">
        <v>-60.533232507950771</v>
      </c>
      <c r="D78" s="70">
        <v>-46.455331087648823</v>
      </c>
      <c r="E78" s="71">
        <v>-59.527604690068124</v>
      </c>
      <c r="F78" s="70">
        <v>-68.332086865572748</v>
      </c>
      <c r="G78" s="70">
        <v>-89.037008393090147</v>
      </c>
      <c r="H78" s="70">
        <v>0</v>
      </c>
      <c r="I78" s="70">
        <v>0</v>
      </c>
    </row>
    <row r="79" spans="1:9">
      <c r="A79" s="113" t="str">
        <f>HLOOKUP(INDICE!$F$2,Nombres!$C$3:$D$636,48,FALSE)</f>
        <v>Profit/(loss) for the year</v>
      </c>
      <c r="B79" s="17">
        <f t="shared" ref="B79:I79" si="12">+B77+B78</f>
        <v>174.92177922368165</v>
      </c>
      <c r="C79" s="17">
        <f t="shared" si="12"/>
        <v>156.02068883598017</v>
      </c>
      <c r="D79" s="17">
        <f t="shared" si="12"/>
        <v>152.7453673620935</v>
      </c>
      <c r="E79" s="66">
        <f t="shared" si="12"/>
        <v>149.10502710894454</v>
      </c>
      <c r="F79" s="67">
        <f t="shared" si="12"/>
        <v>174.34504973623933</v>
      </c>
      <c r="G79" s="67">
        <f t="shared" si="12"/>
        <v>224.20964582507179</v>
      </c>
      <c r="H79" s="67">
        <f t="shared" si="12"/>
        <v>0</v>
      </c>
      <c r="I79" s="67">
        <f t="shared" si="12"/>
        <v>0</v>
      </c>
    </row>
    <row r="80" spans="1:9">
      <c r="A80" s="111" t="str">
        <f>HLOOKUP(INDICE!$F$2,Nombres!$C$3:$D$636,49,FALSE)</f>
        <v>Non-controlling interests</v>
      </c>
      <c r="B80" s="70">
        <v>-93.430616848849269</v>
      </c>
      <c r="C80" s="70">
        <v>-81.233308435241881</v>
      </c>
      <c r="D80" s="70">
        <v>-80.100604131994004</v>
      </c>
      <c r="E80" s="71">
        <v>-82.391969961186902</v>
      </c>
      <c r="F80" s="70">
        <v>-93.468557466579227</v>
      </c>
      <c r="G80" s="70">
        <v>-111.42286879941177</v>
      </c>
      <c r="H80" s="70">
        <v>0</v>
      </c>
      <c r="I80" s="70">
        <v>0</v>
      </c>
    </row>
    <row r="81" spans="1:9">
      <c r="A81" s="114" t="str">
        <f>HLOOKUP(INDICE!$F$2,Nombres!$C$3:$D$636,50,FALSE)</f>
        <v>Net attributable profit</v>
      </c>
      <c r="B81" s="18">
        <f t="shared" ref="B81:I81" si="13">+B79+B80</f>
        <v>81.491162374832385</v>
      </c>
      <c r="C81" s="18">
        <f t="shared" si="13"/>
        <v>74.787380400738286</v>
      </c>
      <c r="D81" s="18">
        <f t="shared" si="13"/>
        <v>72.6447632300995</v>
      </c>
      <c r="E81" s="18">
        <f t="shared" si="13"/>
        <v>66.713057147757638</v>
      </c>
      <c r="F81" s="88">
        <f t="shared" si="13"/>
        <v>80.876492269660105</v>
      </c>
      <c r="G81" s="88">
        <f t="shared" si="13"/>
        <v>112.78677702566002</v>
      </c>
      <c r="H81" s="88">
        <f t="shared" si="13"/>
        <v>0</v>
      </c>
      <c r="I81" s="88">
        <f t="shared" si="13"/>
        <v>0</v>
      </c>
    </row>
    <row r="82" spans="1:9">
      <c r="A82" s="115"/>
      <c r="B82" s="93">
        <v>0</v>
      </c>
      <c r="C82" s="93">
        <v>-1.2789769243681803E-13</v>
      </c>
      <c r="D82" s="93">
        <v>1.1368683772161603E-13</v>
      </c>
      <c r="E82" s="93">
        <v>-1.7053025658242404E-13</v>
      </c>
      <c r="F82" s="93">
        <v>0</v>
      </c>
      <c r="G82" s="93">
        <v>0</v>
      </c>
      <c r="H82" s="93">
        <v>0</v>
      </c>
      <c r="I82" s="93">
        <v>0</v>
      </c>
    </row>
    <row r="83" spans="1:9">
      <c r="A83" s="113"/>
      <c r="B83" s="17"/>
      <c r="C83" s="17"/>
      <c r="D83" s="17"/>
      <c r="E83" s="17"/>
      <c r="F83" s="67"/>
      <c r="G83" s="67"/>
      <c r="H83" s="67"/>
      <c r="I83" s="67"/>
    </row>
    <row r="84" spans="1:9" ht="17">
      <c r="A84" s="106" t="str">
        <f>HLOOKUP(INDICE!$F$2,Nombres!$C$3:$D$636,51,FALSE)</f>
        <v>Balance sheets</v>
      </c>
      <c r="B84" s="60"/>
      <c r="C84" s="60"/>
      <c r="D84" s="60"/>
      <c r="E84" s="60"/>
      <c r="F84" s="95"/>
      <c r="G84" s="95"/>
      <c r="H84" s="95"/>
      <c r="I84" s="95"/>
    </row>
    <row r="85" spans="1:9">
      <c r="A85" s="107" t="str">
        <f>HLOOKUP(INDICE!$F$2,Nombres!$C$3:$D$636,73,FALSE)</f>
        <v xml:space="preserve">(Constant million euros)    </v>
      </c>
      <c r="B85" s="57"/>
      <c r="C85" s="78"/>
      <c r="D85" s="78"/>
      <c r="E85" s="78"/>
      <c r="F85" s="96"/>
      <c r="G85" s="70"/>
      <c r="H85" s="70"/>
      <c r="I85" s="70"/>
    </row>
    <row r="86" spans="1:9">
      <c r="A86" s="57"/>
      <c r="B86" s="80">
        <f t="shared" ref="B86:I86" si="14">+B$30</f>
        <v>45747</v>
      </c>
      <c r="C86" s="80">
        <f t="shared" si="14"/>
        <v>45838</v>
      </c>
      <c r="D86" s="80">
        <f t="shared" si="14"/>
        <v>45930</v>
      </c>
      <c r="E86" s="92">
        <f t="shared" si="14"/>
        <v>46022</v>
      </c>
      <c r="F86" s="80">
        <f t="shared" si="14"/>
        <v>46112</v>
      </c>
      <c r="G86" s="80">
        <f t="shared" si="14"/>
        <v>46203</v>
      </c>
      <c r="H86" s="80">
        <f t="shared" si="14"/>
        <v>46295</v>
      </c>
      <c r="I86" s="80">
        <f t="shared" si="14"/>
        <v>46387</v>
      </c>
    </row>
    <row r="87" spans="1:9">
      <c r="A87" s="111" t="str">
        <f>HLOOKUP(INDICE!$F$2,Nombres!$C$3:$D$636,52,FALSE)</f>
        <v>Cash, cash balances at central banks and other demand deposits</v>
      </c>
      <c r="B87" s="70">
        <v>2573.9219384388471</v>
      </c>
      <c r="C87" s="70">
        <v>1878.3082517066241</v>
      </c>
      <c r="D87" s="70">
        <v>2055.6639400073977</v>
      </c>
      <c r="E87" s="71">
        <v>2501.6121888423354</v>
      </c>
      <c r="F87" s="70">
        <v>2507.2388250357985</v>
      </c>
      <c r="G87" s="70">
        <v>2695.5329999999944</v>
      </c>
      <c r="H87" s="70">
        <v>0</v>
      </c>
      <c r="I87" s="70">
        <v>0</v>
      </c>
    </row>
    <row r="88" spans="1:9">
      <c r="A88" s="111" t="str">
        <f>HLOOKUP(INDICE!$F$2,Nombres!$C$3:$D$636,53,FALSE)</f>
        <v xml:space="preserve">Financial assets designated at fair value </v>
      </c>
      <c r="B88" s="79">
        <v>4351.5615311125548</v>
      </c>
      <c r="C88" s="79">
        <v>4362.8952601218471</v>
      </c>
      <c r="D88" s="79">
        <v>4237.9906047155928</v>
      </c>
      <c r="E88" s="89">
        <v>4070.9712349605234</v>
      </c>
      <c r="F88" s="70">
        <v>4012.0733711119942</v>
      </c>
      <c r="G88" s="70">
        <v>3952.3499999999576</v>
      </c>
      <c r="H88" s="70">
        <v>0</v>
      </c>
      <c r="I88" s="70">
        <v>0</v>
      </c>
    </row>
    <row r="89" spans="1:9">
      <c r="A89" s="7" t="str">
        <f>HLOOKUP(INDICE!$F$2,Nombres!$C$3:$D$636,54,FALSE)</f>
        <v>Financial assets at amortized cost</v>
      </c>
      <c r="B89" s="70">
        <v>19625.207902086549</v>
      </c>
      <c r="C89" s="70">
        <v>20825.996165615856</v>
      </c>
      <c r="D89" s="70">
        <v>21290.31695727706</v>
      </c>
      <c r="E89" s="71">
        <v>21448.575831673414</v>
      </c>
      <c r="F89" s="70">
        <v>22955.3877302074</v>
      </c>
      <c r="G89" s="70">
        <v>22586.904999999846</v>
      </c>
      <c r="H89" s="70">
        <v>0</v>
      </c>
      <c r="I89" s="70">
        <v>0</v>
      </c>
    </row>
    <row r="90" spans="1:9">
      <c r="A90" s="111" t="str">
        <f>HLOOKUP(INDICE!$F$2,Nombres!$C$3:$D$636,55,FALSE)</f>
        <v xml:space="preserve">    of which loans and advances to customers</v>
      </c>
      <c r="B90" s="70">
        <v>19001.057376163993</v>
      </c>
      <c r="C90" s="70">
        <v>19326.291504675522</v>
      </c>
      <c r="D90" s="70">
        <v>19578.376512051265</v>
      </c>
      <c r="E90" s="71">
        <v>20596.754336060807</v>
      </c>
      <c r="F90" s="70">
        <v>21075.400091976269</v>
      </c>
      <c r="G90" s="70">
        <v>21690.201999999816</v>
      </c>
      <c r="H90" s="70">
        <v>0</v>
      </c>
      <c r="I90" s="70">
        <v>0</v>
      </c>
    </row>
    <row r="91" spans="1:9" hidden="1">
      <c r="A91" s="111"/>
      <c r="B91" s="70"/>
      <c r="C91" s="70"/>
      <c r="D91" s="70"/>
      <c r="E91" s="71"/>
      <c r="F91" s="70"/>
      <c r="G91" s="70"/>
      <c r="H91" s="70"/>
      <c r="I91" s="70"/>
    </row>
    <row r="92" spans="1:9">
      <c r="A92" s="7" t="str">
        <f>HLOOKUP(INDICE!$F$2,Nombres!$C$3:$D$636,56,FALSE)</f>
        <v>Tangible assets</v>
      </c>
      <c r="B92" s="70">
        <v>347.58145926261483</v>
      </c>
      <c r="C92" s="70">
        <v>339.69875575950931</v>
      </c>
      <c r="D92" s="70">
        <v>338.0140699126967</v>
      </c>
      <c r="E92" s="71">
        <v>350.70581569799879</v>
      </c>
      <c r="F92" s="70">
        <v>344.01588472889534</v>
      </c>
      <c r="G92" s="70">
        <v>345.35699999999673</v>
      </c>
      <c r="H92" s="70">
        <v>0</v>
      </c>
      <c r="I92" s="70">
        <v>0</v>
      </c>
    </row>
    <row r="93" spans="1:9">
      <c r="A93" s="111" t="str">
        <f>HLOOKUP(INDICE!$F$2,Nombres!$C$3:$D$636,57,FALSE)</f>
        <v>Other assets</v>
      </c>
      <c r="B93" s="79">
        <f t="shared" ref="B93:I93" si="15">+B94-B92-B89-B88-B87</f>
        <v>704.86122428572526</v>
      </c>
      <c r="C93" s="79">
        <f t="shared" si="15"/>
        <v>560.64030473667844</v>
      </c>
      <c r="D93" s="79">
        <f t="shared" si="15"/>
        <v>558.26164103584279</v>
      </c>
      <c r="E93" s="89">
        <f t="shared" si="15"/>
        <v>538.09858180945184</v>
      </c>
      <c r="F93" s="70">
        <f t="shared" si="15"/>
        <v>575.07304367267261</v>
      </c>
      <c r="G93" s="70">
        <f t="shared" si="15"/>
        <v>534.12700000440464</v>
      </c>
      <c r="H93" s="70">
        <f t="shared" si="15"/>
        <v>0</v>
      </c>
      <c r="I93" s="70">
        <f t="shared" si="15"/>
        <v>0</v>
      </c>
    </row>
    <row r="94" spans="1:9">
      <c r="A94" s="114" t="str">
        <f>HLOOKUP(INDICE!$F$2,Nombres!$C$3:$D$636,58,FALSE)</f>
        <v>Total assets / Liabilities and equity</v>
      </c>
      <c r="B94" s="18">
        <v>27603.134055186292</v>
      </c>
      <c r="C94" s="18">
        <v>27967.538737940515</v>
      </c>
      <c r="D94" s="18">
        <v>28480.24721294859</v>
      </c>
      <c r="E94" s="18">
        <v>28909.963652983723</v>
      </c>
      <c r="F94" s="88">
        <v>30393.78885475676</v>
      </c>
      <c r="G94" s="88">
        <v>30114.272000004199</v>
      </c>
      <c r="H94" s="88">
        <v>0</v>
      </c>
      <c r="I94" s="88">
        <v>0</v>
      </c>
    </row>
    <row r="95" spans="1:9">
      <c r="A95" s="111" t="str">
        <f>HLOOKUP(INDICE!$F$2,Nombres!$C$3:$D$636,59,FALSE)</f>
        <v>Financial liabilities held for trading and designated at fair value through profit or loss</v>
      </c>
      <c r="B95" s="79">
        <v>348.59574761287661</v>
      </c>
      <c r="C95" s="79">
        <v>409.34014891969406</v>
      </c>
      <c r="D95" s="79">
        <v>390.02843867379897</v>
      </c>
      <c r="E95" s="89">
        <v>244.36524540455207</v>
      </c>
      <c r="F95" s="70">
        <v>170.50524007748174</v>
      </c>
      <c r="G95" s="70">
        <v>172.86399999999816</v>
      </c>
      <c r="H95" s="70">
        <v>0</v>
      </c>
      <c r="I95" s="70">
        <v>0</v>
      </c>
    </row>
    <row r="96" spans="1:9">
      <c r="A96" s="111" t="str">
        <f>HLOOKUP(INDICE!$F$2,Nombres!$C$3:$D$636,60,FALSE)</f>
        <v>Deposits from central banks and credit institutions</v>
      </c>
      <c r="B96" s="79">
        <v>1861.0044639089954</v>
      </c>
      <c r="C96" s="79">
        <v>2496.0036982581496</v>
      </c>
      <c r="D96" s="79">
        <v>1832.394606984783</v>
      </c>
      <c r="E96" s="89">
        <v>1595.4457598128063</v>
      </c>
      <c r="F96" s="70">
        <v>1421.1342618977919</v>
      </c>
      <c r="G96" s="70">
        <v>1365.5789999999852</v>
      </c>
      <c r="H96" s="70">
        <v>0</v>
      </c>
      <c r="I96" s="70">
        <v>0</v>
      </c>
    </row>
    <row r="97" spans="1:9">
      <c r="A97" s="111" t="str">
        <f>HLOOKUP(INDICE!$F$2,Nombres!$C$3:$D$636,61,FALSE)</f>
        <v>Deposits from customers</v>
      </c>
      <c r="B97" s="79">
        <v>19726.767974012528</v>
      </c>
      <c r="C97" s="79">
        <v>19540.138854340694</v>
      </c>
      <c r="D97" s="79">
        <v>20268.088827752799</v>
      </c>
      <c r="E97" s="89">
        <v>21148.496533153695</v>
      </c>
      <c r="F97" s="70">
        <v>22443.234719366541</v>
      </c>
      <c r="G97" s="70">
        <v>22342.340999999837</v>
      </c>
      <c r="H97" s="70">
        <v>0</v>
      </c>
      <c r="I97" s="70">
        <v>0</v>
      </c>
    </row>
    <row r="98" spans="1:9">
      <c r="A98" s="7" t="str">
        <f>HLOOKUP(INDICE!$F$2,Nombres!$C$3:$D$636,62,FALSE)</f>
        <v>Debt certificates</v>
      </c>
      <c r="B98" s="70">
        <v>938.47677926705717</v>
      </c>
      <c r="C98" s="70">
        <v>831.14068263151216</v>
      </c>
      <c r="D98" s="70">
        <v>908.02004968084736</v>
      </c>
      <c r="E98" s="71">
        <v>897.83073763626578</v>
      </c>
      <c r="F98" s="70">
        <v>889.45367203622857</v>
      </c>
      <c r="G98" s="70">
        <v>831.83860659909578</v>
      </c>
      <c r="H98" s="70">
        <v>0</v>
      </c>
      <c r="I98" s="70">
        <v>0</v>
      </c>
    </row>
    <row r="99" spans="1:9" hidden="1">
      <c r="A99" s="7"/>
      <c r="B99" s="70"/>
      <c r="C99" s="70"/>
      <c r="D99" s="70"/>
      <c r="E99" s="71"/>
      <c r="F99" s="70"/>
      <c r="G99" s="70"/>
      <c r="H99" s="70"/>
      <c r="I99" s="70"/>
    </row>
    <row r="100" spans="1:9">
      <c r="A100" s="111" t="str">
        <f>HLOOKUP(INDICE!$F$2,Nombres!$C$3:$D$636,63,FALSE)</f>
        <v>Other liabilities</v>
      </c>
      <c r="B100" s="79">
        <f t="shared" ref="B100:I100" si="16">+B94-B95-B96-B97-B98-B101</f>
        <v>2094.7149998715554</v>
      </c>
      <c r="C100" s="79">
        <f t="shared" si="16"/>
        <v>2061.0238151363283</v>
      </c>
      <c r="D100" s="79">
        <f t="shared" si="16"/>
        <v>2529.7831832503953</v>
      </c>
      <c r="E100" s="89">
        <f t="shared" si="16"/>
        <v>2341.1704354895887</v>
      </c>
      <c r="F100" s="70">
        <f t="shared" si="16"/>
        <v>2824.5309368424996</v>
      </c>
      <c r="G100" s="70">
        <f t="shared" si="16"/>
        <v>2757.997050124191</v>
      </c>
      <c r="H100" s="70">
        <f t="shared" si="16"/>
        <v>0</v>
      </c>
      <c r="I100" s="70">
        <f t="shared" si="16"/>
        <v>0</v>
      </c>
    </row>
    <row r="101" spans="1:9">
      <c r="A101" s="7" t="str">
        <f>HLOOKUP(INDICE!$F$2,Nombres!$C$3:$D$636,282,FALSE)</f>
        <v>Allocated regulatory capital</v>
      </c>
      <c r="B101" s="79">
        <v>2633.574090513283</v>
      </c>
      <c r="C101" s="79">
        <v>2629.8915386541375</v>
      </c>
      <c r="D101" s="79">
        <v>2551.9321066059656</v>
      </c>
      <c r="E101" s="79">
        <v>2682.6549414868155</v>
      </c>
      <c r="F101" s="79">
        <v>2644.9300245362201</v>
      </c>
      <c r="G101" s="79">
        <v>2643.6523432810941</v>
      </c>
      <c r="H101" s="79">
        <v>0</v>
      </c>
      <c r="I101" s="79">
        <v>0</v>
      </c>
    </row>
    <row r="102" spans="1:9">
      <c r="A102" s="8"/>
      <c r="B102" s="79"/>
      <c r="C102" s="79"/>
      <c r="D102" s="79"/>
      <c r="E102" s="79"/>
      <c r="F102" s="70"/>
      <c r="G102" s="70"/>
      <c r="H102" s="70"/>
      <c r="I102" s="70"/>
    </row>
    <row r="103" spans="1:9">
      <c r="A103" s="7"/>
      <c r="B103" s="79"/>
      <c r="C103" s="79"/>
      <c r="D103" s="79"/>
      <c r="E103" s="79"/>
      <c r="F103" s="70"/>
      <c r="G103" s="70"/>
      <c r="H103" s="70"/>
      <c r="I103" s="70"/>
    </row>
    <row r="104" spans="1:9" ht="17">
      <c r="A104" s="106" t="str">
        <f>HLOOKUP(INDICE!$F$2,Nombres!$C$3:$D$636,65,FALSE)</f>
        <v>Relevant business indicators</v>
      </c>
      <c r="B104" s="60"/>
      <c r="C104" s="60"/>
      <c r="D104" s="60"/>
      <c r="E104" s="60"/>
      <c r="F104" s="95"/>
      <c r="G104" s="95"/>
      <c r="H104" s="95"/>
      <c r="I104" s="95"/>
    </row>
    <row r="105" spans="1:9">
      <c r="A105" s="107" t="str">
        <f>HLOOKUP(INDICE!$F$2,Nombres!$C$3:$D$636,73,FALSE)</f>
        <v xml:space="preserve">(Constant million euros)    </v>
      </c>
      <c r="B105" s="57"/>
      <c r="C105" s="57"/>
      <c r="D105" s="57"/>
      <c r="E105" s="57"/>
      <c r="F105" s="96"/>
      <c r="G105" s="70"/>
      <c r="H105" s="70"/>
      <c r="I105" s="70"/>
    </row>
    <row r="106" spans="1:9">
      <c r="A106" s="57"/>
      <c r="B106" s="80">
        <f t="shared" ref="B106:I106" si="17">+B$30</f>
        <v>45747</v>
      </c>
      <c r="C106" s="80">
        <f t="shared" si="17"/>
        <v>45838</v>
      </c>
      <c r="D106" s="80">
        <f t="shared" si="17"/>
        <v>45930</v>
      </c>
      <c r="E106" s="92">
        <f t="shared" si="17"/>
        <v>46022</v>
      </c>
      <c r="F106" s="80">
        <f t="shared" si="17"/>
        <v>46112</v>
      </c>
      <c r="G106" s="80">
        <f t="shared" si="17"/>
        <v>46203</v>
      </c>
      <c r="H106" s="80">
        <f t="shared" si="17"/>
        <v>46295</v>
      </c>
      <c r="I106" s="80">
        <f t="shared" si="17"/>
        <v>46387</v>
      </c>
    </row>
    <row r="107" spans="1:9">
      <c r="A107" s="111" t="str">
        <f>HLOOKUP(INDICE!$F$2,Nombres!$C$3:$D$636,66,FALSE)</f>
        <v>Loans and advances to customers (gross) (*)</v>
      </c>
      <c r="B107" s="70">
        <v>19949.697769599723</v>
      </c>
      <c r="C107" s="70">
        <v>20227.510815354708</v>
      </c>
      <c r="D107" s="70">
        <v>20495.55673528865</v>
      </c>
      <c r="E107" s="71">
        <v>20911.119158959445</v>
      </c>
      <c r="F107" s="70">
        <v>21336.196789606201</v>
      </c>
      <c r="G107" s="70">
        <v>21981.44099999981</v>
      </c>
      <c r="H107" s="70">
        <v>0</v>
      </c>
      <c r="I107" s="70">
        <v>0</v>
      </c>
    </row>
    <row r="108" spans="1:9">
      <c r="A108" s="111" t="str">
        <f>HLOOKUP(INDICE!$F$2,Nombres!$C$3:$D$636,67,FALSE)</f>
        <v>Customer deposits under management (*)</v>
      </c>
      <c r="B108" s="70">
        <v>19726.767974012531</v>
      </c>
      <c r="C108" s="70">
        <v>19540.138854340701</v>
      </c>
      <c r="D108" s="70">
        <v>20268.088827752799</v>
      </c>
      <c r="E108" s="71">
        <v>21148.496533153699</v>
      </c>
      <c r="F108" s="70">
        <v>22443.234719366548</v>
      </c>
      <c r="G108" s="70">
        <v>22342.340999999818</v>
      </c>
      <c r="H108" s="70">
        <v>0</v>
      </c>
      <c r="I108" s="70">
        <v>0</v>
      </c>
    </row>
    <row r="109" spans="1:9">
      <c r="A109" s="7" t="str">
        <f>HLOOKUP(INDICE!$F$2,Nombres!$C$3:$D$636,68,FALSE)</f>
        <v>Investment funds and managed portfolios</v>
      </c>
      <c r="B109" s="70">
        <v>2872.3165167108914</v>
      </c>
      <c r="C109" s="70">
        <v>3058.3909438284168</v>
      </c>
      <c r="D109" s="70">
        <v>3175.9570361203005</v>
      </c>
      <c r="E109" s="71">
        <v>3250.0127714080863</v>
      </c>
      <c r="F109" s="70">
        <v>3402.5774606442137</v>
      </c>
      <c r="G109" s="70">
        <v>3507.6216709445439</v>
      </c>
      <c r="H109" s="70">
        <v>0</v>
      </c>
      <c r="I109" s="70">
        <v>0</v>
      </c>
    </row>
    <row r="110" spans="1:9">
      <c r="A110" s="111" t="str">
        <f>HLOOKUP(INDICE!$F$2,Nombres!$C$3:$D$636,69,FALSE)</f>
        <v>Pension funds</v>
      </c>
      <c r="B110" s="70">
        <v>0</v>
      </c>
      <c r="C110" s="70">
        <v>0</v>
      </c>
      <c r="D110" s="70">
        <v>0</v>
      </c>
      <c r="E110" s="71">
        <v>0</v>
      </c>
      <c r="F110" s="70">
        <v>0</v>
      </c>
      <c r="G110" s="70">
        <v>0</v>
      </c>
      <c r="H110" s="70">
        <v>0</v>
      </c>
      <c r="I110" s="70">
        <v>0</v>
      </c>
    </row>
    <row r="111" spans="1:9">
      <c r="A111" s="111" t="str">
        <f>HLOOKUP(INDICE!$F$2,Nombres!$C$3:$D$636,70,FALSE)</f>
        <v>Other off balance-sheet funds</v>
      </c>
      <c r="B111" s="70">
        <v>0</v>
      </c>
      <c r="C111" s="70">
        <v>0</v>
      </c>
      <c r="D111" s="70">
        <v>0</v>
      </c>
      <c r="E111" s="71">
        <v>0</v>
      </c>
      <c r="F111" s="70">
        <v>0</v>
      </c>
      <c r="G111" s="70">
        <v>0</v>
      </c>
      <c r="H111" s="70">
        <v>0</v>
      </c>
      <c r="I111" s="70">
        <v>0</v>
      </c>
    </row>
    <row r="112" spans="1:9">
      <c r="A112" s="115" t="str">
        <f>HLOOKUP(INDICE!$F$2,Nombres!$C$3:$D$636,71,FALSE)</f>
        <v xml:space="preserve">(*) Excluding repos. </v>
      </c>
      <c r="B112" s="79"/>
      <c r="C112" s="79"/>
      <c r="D112" s="79"/>
      <c r="E112" s="79"/>
      <c r="F112" s="79"/>
      <c r="G112" s="79"/>
      <c r="H112" s="79"/>
      <c r="I112" s="79"/>
    </row>
    <row r="113" spans="1:9">
      <c r="A113" s="115">
        <f>HLOOKUP(INDICE!$F$2,Nombres!$C$3:$D$636,72,FALSE)</f>
        <v>0</v>
      </c>
      <c r="B113" s="57"/>
      <c r="C113" s="57"/>
      <c r="D113" s="57"/>
      <c r="E113" s="57"/>
      <c r="F113" s="57"/>
      <c r="G113" s="57"/>
      <c r="H113" s="57"/>
      <c r="I113" s="57"/>
    </row>
    <row r="114" spans="1:9">
      <c r="A114" s="8"/>
      <c r="B114" s="79"/>
      <c r="C114" s="70"/>
      <c r="D114" s="70"/>
      <c r="E114" s="70"/>
      <c r="F114" s="70"/>
      <c r="G114" s="57"/>
      <c r="H114" s="57"/>
      <c r="I114" s="57"/>
    </row>
    <row r="115" spans="1:9" ht="17">
      <c r="A115" s="106" t="str">
        <f>HLOOKUP(INDICE!$F$2,Nombres!$C$3:$D$636,31,FALSE)</f>
        <v xml:space="preserve">Income statement  </v>
      </c>
      <c r="B115" s="60"/>
      <c r="C115" s="60"/>
      <c r="D115" s="60"/>
      <c r="E115" s="60"/>
      <c r="F115" s="60"/>
      <c r="G115" s="60"/>
      <c r="H115" s="60"/>
      <c r="I115" s="60"/>
    </row>
    <row r="116" spans="1:9">
      <c r="A116" s="107" t="str">
        <f>HLOOKUP(INDICE!$F$2,Nombres!$C$3:$D$636,79,FALSE)</f>
        <v>(Million Peruvian soles)</v>
      </c>
      <c r="B116" s="57"/>
      <c r="C116" s="61"/>
      <c r="D116" s="61"/>
      <c r="E116" s="61"/>
      <c r="F116" s="57"/>
      <c r="G116" s="57"/>
      <c r="H116" s="57"/>
      <c r="I116" s="57"/>
    </row>
    <row r="117" spans="1:9">
      <c r="A117" s="62"/>
      <c r="B117" s="57"/>
      <c r="C117" s="61"/>
      <c r="D117" s="61"/>
      <c r="E117" s="61"/>
      <c r="F117" s="57"/>
      <c r="G117" s="57"/>
      <c r="H117" s="57"/>
      <c r="I117" s="57"/>
    </row>
    <row r="118" spans="1:9">
      <c r="A118" s="63"/>
      <c r="B118" s="257">
        <f>+B$6</f>
        <v>2025</v>
      </c>
      <c r="C118" s="257"/>
      <c r="D118" s="257"/>
      <c r="E118" s="258"/>
      <c r="F118" s="257">
        <f>+F$6</f>
        <v>2026</v>
      </c>
      <c r="G118" s="257"/>
      <c r="H118" s="257"/>
      <c r="I118" s="257"/>
    </row>
    <row r="119" spans="1:9">
      <c r="A119" s="63"/>
      <c r="B119" s="108" t="str">
        <f t="shared" ref="B119:I119" si="18">+B$7</f>
        <v>1Q</v>
      </c>
      <c r="C119" s="108" t="str">
        <f t="shared" si="18"/>
        <v>2Q</v>
      </c>
      <c r="D119" s="108" t="str">
        <f t="shared" si="18"/>
        <v>3Q</v>
      </c>
      <c r="E119" s="109" t="str">
        <f t="shared" si="18"/>
        <v>4Q</v>
      </c>
      <c r="F119" s="108" t="str">
        <f t="shared" si="18"/>
        <v>1Q</v>
      </c>
      <c r="G119" s="108" t="str">
        <f t="shared" si="18"/>
        <v>2Q</v>
      </c>
      <c r="H119" s="108" t="str">
        <f t="shared" si="18"/>
        <v>3Q</v>
      </c>
      <c r="I119" s="108" t="str">
        <f t="shared" si="18"/>
        <v>4Q</v>
      </c>
    </row>
    <row r="120" spans="1:9">
      <c r="A120" s="17" t="str">
        <f>HLOOKUP(INDICE!$F$2,Nombres!$C$3:$D$636,33,FALSE)</f>
        <v>Net interest income</v>
      </c>
      <c r="B120" s="17">
        <v>1445.9248455838306</v>
      </c>
      <c r="C120" s="17">
        <v>1455.8068408943066</v>
      </c>
      <c r="D120" s="17">
        <v>1530.6187704909521</v>
      </c>
      <c r="E120" s="66">
        <v>1560.7934644167683</v>
      </c>
      <c r="F120" s="67">
        <v>1614.6361263372144</v>
      </c>
      <c r="G120" s="67">
        <v>1656.4745923850469</v>
      </c>
      <c r="H120" s="67">
        <v>0</v>
      </c>
      <c r="I120" s="67">
        <v>0</v>
      </c>
    </row>
    <row r="121" spans="1:9">
      <c r="A121" s="111" t="str">
        <f>HLOOKUP(INDICE!$F$2,Nombres!$C$3:$D$636,34,FALSE)</f>
        <v>Net fees and commissions</v>
      </c>
      <c r="B121" s="70">
        <v>319.95380757859488</v>
      </c>
      <c r="C121" s="70">
        <v>300.6420588842978</v>
      </c>
      <c r="D121" s="70">
        <v>381.81255656056885</v>
      </c>
      <c r="E121" s="71">
        <v>340.43370802436408</v>
      </c>
      <c r="F121" s="70">
        <v>338.01332589450141</v>
      </c>
      <c r="G121" s="70">
        <v>334.02156924441442</v>
      </c>
      <c r="H121" s="70">
        <v>0</v>
      </c>
      <c r="I121" s="70">
        <v>0</v>
      </c>
    </row>
    <row r="122" spans="1:9">
      <c r="A122" s="111" t="str">
        <f>HLOOKUP(INDICE!$F$2,Nombres!$C$3:$D$636,35,FALSE)</f>
        <v>Net trading income</v>
      </c>
      <c r="B122" s="70">
        <v>202.34742799126749</v>
      </c>
      <c r="C122" s="70">
        <v>222.385445186532</v>
      </c>
      <c r="D122" s="70">
        <v>225.71881733356321</v>
      </c>
      <c r="E122" s="71">
        <v>180.83487146301806</v>
      </c>
      <c r="F122" s="70">
        <v>219.82159149849181</v>
      </c>
      <c r="G122" s="70">
        <v>237.06660614611266</v>
      </c>
      <c r="H122" s="70">
        <v>0</v>
      </c>
      <c r="I122" s="70">
        <v>0</v>
      </c>
    </row>
    <row r="123" spans="1:9">
      <c r="A123" s="111" t="str">
        <f>HLOOKUP(INDICE!$F$2,Nombres!$C$3:$D$636,36,FALSE)</f>
        <v>Other operating income and expenses</v>
      </c>
      <c r="B123" s="70">
        <v>-31.835642361203544</v>
      </c>
      <c r="C123" s="70">
        <v>-23.909792511708709</v>
      </c>
      <c r="D123" s="70">
        <v>-66.412738617933442</v>
      </c>
      <c r="E123" s="71">
        <v>-47.338625869944366</v>
      </c>
      <c r="F123" s="70">
        <v>-40.254141144031045</v>
      </c>
      <c r="G123" s="70">
        <v>-47.889013639815872</v>
      </c>
      <c r="H123" s="70">
        <v>0</v>
      </c>
      <c r="I123" s="70">
        <v>0</v>
      </c>
    </row>
    <row r="124" spans="1:9">
      <c r="A124" s="17" t="str">
        <f>HLOOKUP(INDICE!$F$2,Nombres!$C$3:$D$636,37,FALSE)</f>
        <v>Gross income</v>
      </c>
      <c r="B124" s="17">
        <f t="shared" ref="B124:I124" si="19">+SUM(B120:B123)</f>
        <v>1936.3904387924895</v>
      </c>
      <c r="C124" s="17">
        <f t="shared" si="19"/>
        <v>1954.9245524534276</v>
      </c>
      <c r="D124" s="17">
        <f t="shared" si="19"/>
        <v>2071.7374057671504</v>
      </c>
      <c r="E124" s="66">
        <f t="shared" si="19"/>
        <v>2034.7234180342061</v>
      </c>
      <c r="F124" s="67">
        <f t="shared" si="19"/>
        <v>2132.2169025861763</v>
      </c>
      <c r="G124" s="67">
        <f t="shared" si="19"/>
        <v>2179.6737541357579</v>
      </c>
      <c r="H124" s="67">
        <f t="shared" si="19"/>
        <v>0</v>
      </c>
      <c r="I124" s="67">
        <f t="shared" si="19"/>
        <v>0</v>
      </c>
    </row>
    <row r="125" spans="1:9">
      <c r="A125" s="111" t="str">
        <f>HLOOKUP(INDICE!$F$2,Nombres!$C$3:$D$636,38,FALSE)</f>
        <v>Operating expenses</v>
      </c>
      <c r="B125" s="70">
        <v>-744.18234500438132</v>
      </c>
      <c r="C125" s="70">
        <v>-733.49833018152799</v>
      </c>
      <c r="D125" s="70">
        <v>-775.92208424428509</v>
      </c>
      <c r="E125" s="71">
        <v>-853.88987676456202</v>
      </c>
      <c r="F125" s="70">
        <v>-825.05072983487196</v>
      </c>
      <c r="G125" s="70">
        <v>-811.97175568165403</v>
      </c>
      <c r="H125" s="70">
        <v>0</v>
      </c>
      <c r="I125" s="70">
        <v>0</v>
      </c>
    </row>
    <row r="126" spans="1:9">
      <c r="A126" s="111" t="str">
        <f>HLOOKUP(INDICE!$F$2,Nombres!$C$3:$D$636,39,FALSE)</f>
        <v xml:space="preserve">  Administration expenses</v>
      </c>
      <c r="B126" s="70">
        <v>-651.37928831023851</v>
      </c>
      <c r="C126" s="70">
        <v>-643.56885577748994</v>
      </c>
      <c r="D126" s="70">
        <v>-690.59092051013511</v>
      </c>
      <c r="E126" s="71">
        <v>-765.9024254874231</v>
      </c>
      <c r="F126" s="70">
        <v>-737.47211301880589</v>
      </c>
      <c r="G126" s="70">
        <v>-723.09321206202992</v>
      </c>
      <c r="H126" s="70">
        <v>0</v>
      </c>
      <c r="I126" s="70">
        <v>0</v>
      </c>
    </row>
    <row r="127" spans="1:9">
      <c r="A127" s="112" t="str">
        <f>HLOOKUP(INDICE!$F$2,Nombres!$C$3:$D$636,40,FALSE)</f>
        <v xml:space="preserve">  Personnel expenses</v>
      </c>
      <c r="B127" s="70">
        <v>-318.92832139749004</v>
      </c>
      <c r="C127" s="70">
        <v>-322.78901875014793</v>
      </c>
      <c r="D127" s="70">
        <v>-329.76322949355688</v>
      </c>
      <c r="E127" s="71">
        <v>-391.81512743177785</v>
      </c>
      <c r="F127" s="70">
        <v>-343.35906530425831</v>
      </c>
      <c r="G127" s="70">
        <v>-357.06194780250775</v>
      </c>
      <c r="H127" s="70">
        <v>0</v>
      </c>
      <c r="I127" s="70">
        <v>0</v>
      </c>
    </row>
    <row r="128" spans="1:9">
      <c r="A128" s="112" t="str">
        <f>HLOOKUP(INDICE!$F$2,Nombres!$C$3:$D$636,41,FALSE)</f>
        <v xml:space="preserve">  General and administrative expenses</v>
      </c>
      <c r="B128" s="70">
        <v>-332.45096691274858</v>
      </c>
      <c r="C128" s="70">
        <v>-320.77983702734201</v>
      </c>
      <c r="D128" s="70">
        <v>-360.82769101657817</v>
      </c>
      <c r="E128" s="71">
        <v>-374.08729805564531</v>
      </c>
      <c r="F128" s="70">
        <v>-394.11304771454758</v>
      </c>
      <c r="G128" s="70">
        <v>-366.03126425952235</v>
      </c>
      <c r="H128" s="70">
        <v>0</v>
      </c>
      <c r="I128" s="70">
        <v>0</v>
      </c>
    </row>
    <row r="129" spans="1:9">
      <c r="A129" s="111" t="str">
        <f>HLOOKUP(INDICE!$F$2,Nombres!$C$3:$D$636,42,FALSE)</f>
        <v xml:space="preserve">  Depreciation</v>
      </c>
      <c r="B129" s="70">
        <v>-92.803056694142981</v>
      </c>
      <c r="C129" s="70">
        <v>-89.929474404038018</v>
      </c>
      <c r="D129" s="70">
        <v>-85.331163734149982</v>
      </c>
      <c r="E129" s="71">
        <v>-87.987451277138973</v>
      </c>
      <c r="F129" s="70">
        <v>-87.578616816065988</v>
      </c>
      <c r="G129" s="70">
        <v>-88.878543619624025</v>
      </c>
      <c r="H129" s="70">
        <v>0</v>
      </c>
      <c r="I129" s="70">
        <v>0</v>
      </c>
    </row>
    <row r="130" spans="1:9">
      <c r="A130" s="17" t="str">
        <f>HLOOKUP(INDICE!$F$2,Nombres!$C$3:$D$636,43,FALSE)</f>
        <v>Operating income</v>
      </c>
      <c r="B130" s="17">
        <f t="shared" ref="B130:I130" si="20">+B124+B125</f>
        <v>1192.2080937881083</v>
      </c>
      <c r="C130" s="17">
        <f t="shared" si="20"/>
        <v>1221.4262222718996</v>
      </c>
      <c r="D130" s="17">
        <f t="shared" si="20"/>
        <v>1295.8153215228654</v>
      </c>
      <c r="E130" s="66">
        <f t="shared" si="20"/>
        <v>1180.8335412696442</v>
      </c>
      <c r="F130" s="67">
        <f t="shared" si="20"/>
        <v>1307.1661727513042</v>
      </c>
      <c r="G130" s="67">
        <f t="shared" si="20"/>
        <v>1367.7019984541039</v>
      </c>
      <c r="H130" s="67">
        <f t="shared" si="20"/>
        <v>0</v>
      </c>
      <c r="I130" s="67">
        <f t="shared" si="20"/>
        <v>0</v>
      </c>
    </row>
    <row r="131" spans="1:9">
      <c r="A131" s="111" t="str">
        <f>HLOOKUP(INDICE!$F$2,Nombres!$C$3:$D$636,44,FALSE)</f>
        <v>Impaiment on financial assets not measured at fair value through profit or loss</v>
      </c>
      <c r="B131" s="70">
        <v>-268.23561494478764</v>
      </c>
      <c r="C131" s="70">
        <v>-326.08504846527381</v>
      </c>
      <c r="D131" s="70">
        <v>-452.88143495878171</v>
      </c>
      <c r="E131" s="71">
        <v>-286.34955074303457</v>
      </c>
      <c r="F131" s="70">
        <v>-308.38389590423276</v>
      </c>
      <c r="G131" s="70">
        <v>-213.6966239428468</v>
      </c>
      <c r="H131" s="70">
        <v>0</v>
      </c>
      <c r="I131" s="70">
        <v>0</v>
      </c>
    </row>
    <row r="132" spans="1:9">
      <c r="A132" s="111" t="str">
        <f>HLOOKUP(INDICE!$F$2,Nombres!$C$3:$D$636,45,FALSE)</f>
        <v>Provisions or reversal of provisions and other results</v>
      </c>
      <c r="B132" s="70">
        <v>57.528246810787834</v>
      </c>
      <c r="C132" s="70">
        <v>-34.912675426374733</v>
      </c>
      <c r="D132" s="70">
        <v>-51.454532231845363</v>
      </c>
      <c r="E132" s="71">
        <v>-65.528961784178037</v>
      </c>
      <c r="F132" s="70">
        <v>-34.559034240027003</v>
      </c>
      <c r="G132" s="70">
        <v>90.610038771927051</v>
      </c>
      <c r="H132" s="70">
        <v>0</v>
      </c>
      <c r="I132" s="70">
        <v>0</v>
      </c>
    </row>
    <row r="133" spans="1:9">
      <c r="A133" s="113" t="str">
        <f>HLOOKUP(INDICE!$F$2,Nombres!$C$3:$D$636,46,FALSE)</f>
        <v>Profit/(loss) before tax</v>
      </c>
      <c r="B133" s="17">
        <f t="shared" ref="B133:I133" si="21">+B130+B131+B132</f>
        <v>981.50072565410846</v>
      </c>
      <c r="C133" s="17">
        <f t="shared" si="21"/>
        <v>860.42849838025109</v>
      </c>
      <c r="D133" s="17">
        <f t="shared" si="21"/>
        <v>791.47935433223824</v>
      </c>
      <c r="E133" s="66">
        <f t="shared" si="21"/>
        <v>828.95502874243164</v>
      </c>
      <c r="F133" s="67">
        <f t="shared" si="21"/>
        <v>964.22324260704443</v>
      </c>
      <c r="G133" s="67">
        <f t="shared" si="21"/>
        <v>1244.6154132831841</v>
      </c>
      <c r="H133" s="67">
        <f t="shared" si="21"/>
        <v>0</v>
      </c>
      <c r="I133" s="67">
        <f t="shared" si="21"/>
        <v>0</v>
      </c>
    </row>
    <row r="134" spans="1:9">
      <c r="A134" s="7" t="str">
        <f>HLOOKUP(INDICE!$F$2,Nombres!$C$3:$D$636,47,FALSE)</f>
        <v>Income tax</v>
      </c>
      <c r="B134" s="70">
        <v>-286.48821838854855</v>
      </c>
      <c r="C134" s="70">
        <v>-240.51523992584745</v>
      </c>
      <c r="D134" s="70">
        <v>-184.57985208229184</v>
      </c>
      <c r="E134" s="71">
        <v>-236.51960305212884</v>
      </c>
      <c r="F134" s="70">
        <v>-271.5022407724291</v>
      </c>
      <c r="G134" s="70">
        <v>-353.76860855945608</v>
      </c>
      <c r="H134" s="70">
        <v>0</v>
      </c>
      <c r="I134" s="70">
        <v>0</v>
      </c>
    </row>
    <row r="135" spans="1:9">
      <c r="A135" s="113" t="str">
        <f>HLOOKUP(INDICE!$F$2,Nombres!$C$3:$D$636,48,FALSE)</f>
        <v>Profit/(loss) for the year</v>
      </c>
      <c r="B135" s="17">
        <f t="shared" ref="B135:I135" si="22">+B133+B134</f>
        <v>695.01250726555986</v>
      </c>
      <c r="C135" s="17">
        <f t="shared" si="22"/>
        <v>619.9132584544036</v>
      </c>
      <c r="D135" s="17">
        <f t="shared" si="22"/>
        <v>606.89950224994641</v>
      </c>
      <c r="E135" s="66">
        <f t="shared" si="22"/>
        <v>592.43542569030274</v>
      </c>
      <c r="F135" s="67">
        <f t="shared" si="22"/>
        <v>692.72100183461532</v>
      </c>
      <c r="G135" s="67">
        <f t="shared" si="22"/>
        <v>890.84680472372804</v>
      </c>
      <c r="H135" s="67">
        <f t="shared" si="22"/>
        <v>0</v>
      </c>
      <c r="I135" s="67">
        <f t="shared" si="22"/>
        <v>0</v>
      </c>
    </row>
    <row r="136" spans="1:9">
      <c r="A136" s="111" t="str">
        <f>HLOOKUP(INDICE!$F$2,Nombres!$C$3:$D$636,49,FALSE)</f>
        <v>Non-controlling interests</v>
      </c>
      <c r="B136" s="70">
        <v>-371.22562759009082</v>
      </c>
      <c r="C136" s="70">
        <v>-322.76235480578958</v>
      </c>
      <c r="D136" s="70">
        <v>-318.261807982606</v>
      </c>
      <c r="E136" s="71">
        <v>-327.3660368389427</v>
      </c>
      <c r="F136" s="70">
        <v>-371.37637613594222</v>
      </c>
      <c r="G136" s="70">
        <v>-442.71381045109126</v>
      </c>
      <c r="H136" s="70">
        <v>0</v>
      </c>
      <c r="I136" s="70">
        <v>0</v>
      </c>
    </row>
    <row r="137" spans="1:9">
      <c r="A137" s="114" t="str">
        <f>HLOOKUP(INDICE!$F$2,Nombres!$C$3:$D$636,50,FALSE)</f>
        <v>Net attributable profit</v>
      </c>
      <c r="B137" s="18">
        <f t="shared" ref="B137:I137" si="23">+B135+B136</f>
        <v>323.78687967546904</v>
      </c>
      <c r="C137" s="18">
        <f t="shared" si="23"/>
        <v>297.15090364861402</v>
      </c>
      <c r="D137" s="18">
        <f t="shared" si="23"/>
        <v>288.63769426734041</v>
      </c>
      <c r="E137" s="18">
        <f t="shared" si="23"/>
        <v>265.06938885136003</v>
      </c>
      <c r="F137" s="88">
        <f t="shared" si="23"/>
        <v>321.3446256986731</v>
      </c>
      <c r="G137" s="88">
        <f t="shared" si="23"/>
        <v>448.13299427263678</v>
      </c>
      <c r="H137" s="88">
        <f t="shared" si="23"/>
        <v>0</v>
      </c>
      <c r="I137" s="88">
        <f t="shared" si="23"/>
        <v>0</v>
      </c>
    </row>
    <row r="138" spans="1:9">
      <c r="A138" s="115"/>
      <c r="B138" s="93">
        <v>0</v>
      </c>
      <c r="C138" s="93">
        <v>-9.6633812063373625E-13</v>
      </c>
      <c r="D138" s="93">
        <v>8.5265128291212022E-13</v>
      </c>
      <c r="E138" s="93">
        <v>1.0800249583553523E-12</v>
      </c>
      <c r="F138" s="93">
        <v>0</v>
      </c>
      <c r="G138" s="93">
        <v>6.2527760746888816E-13</v>
      </c>
      <c r="H138" s="93">
        <v>0</v>
      </c>
      <c r="I138" s="93">
        <v>0</v>
      </c>
    </row>
    <row r="139" spans="1:9">
      <c r="A139" s="113"/>
      <c r="B139" s="17"/>
      <c r="C139" s="17"/>
      <c r="D139" s="17"/>
      <c r="E139" s="17"/>
      <c r="F139" s="67"/>
      <c r="G139" s="67"/>
      <c r="H139" s="67"/>
      <c r="I139" s="67"/>
    </row>
    <row r="140" spans="1:9" ht="17">
      <c r="A140" s="106" t="str">
        <f>HLOOKUP(INDICE!$F$2,Nombres!$C$3:$D$636,51,FALSE)</f>
        <v>Balance sheets</v>
      </c>
      <c r="B140" s="60"/>
      <c r="C140" s="60"/>
      <c r="D140" s="60"/>
      <c r="E140" s="60"/>
      <c r="F140" s="95"/>
      <c r="G140" s="95"/>
      <c r="H140" s="95"/>
      <c r="I140" s="95"/>
    </row>
    <row r="141" spans="1:9">
      <c r="A141" s="107" t="str">
        <f>HLOOKUP(INDICE!$F$2,Nombres!$C$3:$D$636,79,FALSE)</f>
        <v>(Million Peruvian soles)</v>
      </c>
      <c r="B141" s="57"/>
      <c r="C141" s="78"/>
      <c r="D141" s="78"/>
      <c r="E141" s="78"/>
      <c r="F141" s="96"/>
      <c r="G141" s="70"/>
      <c r="H141" s="70"/>
      <c r="I141" s="70"/>
    </row>
    <row r="142" spans="1:9">
      <c r="A142" s="57"/>
      <c r="B142" s="80">
        <f t="shared" ref="B142:I142" si="24">+B$30</f>
        <v>45747</v>
      </c>
      <c r="C142" s="80">
        <f t="shared" si="24"/>
        <v>45838</v>
      </c>
      <c r="D142" s="80">
        <f t="shared" si="24"/>
        <v>45930</v>
      </c>
      <c r="E142" s="92">
        <f t="shared" si="24"/>
        <v>46022</v>
      </c>
      <c r="F142" s="80">
        <f t="shared" si="24"/>
        <v>46112</v>
      </c>
      <c r="G142" s="80">
        <f t="shared" si="24"/>
        <v>46203</v>
      </c>
      <c r="H142" s="80">
        <f t="shared" si="24"/>
        <v>46295</v>
      </c>
      <c r="I142" s="80">
        <f t="shared" si="24"/>
        <v>46387</v>
      </c>
    </row>
    <row r="143" spans="1:9">
      <c r="A143" s="111" t="str">
        <f>HLOOKUP(INDICE!$F$2,Nombres!$C$3:$D$636,52,FALSE)</f>
        <v>Cash, cash balances at central banks and other demand deposits</v>
      </c>
      <c r="B143" s="70">
        <v>10006.464132284766</v>
      </c>
      <c r="C143" s="70">
        <v>7302.1732865039976</v>
      </c>
      <c r="D143" s="70">
        <v>7991.6670487618494</v>
      </c>
      <c r="E143" s="71">
        <v>9725.3500380501064</v>
      </c>
      <c r="F143" s="70">
        <v>9747.2244939902521</v>
      </c>
      <c r="G143" s="70">
        <v>10479.243043407963</v>
      </c>
      <c r="H143" s="70">
        <v>0</v>
      </c>
      <c r="I143" s="70">
        <v>0</v>
      </c>
    </row>
    <row r="144" spans="1:9">
      <c r="A144" s="111" t="str">
        <f>HLOOKUP(INDICE!$F$2,Nombres!$C$3:$D$636,53,FALSE)</f>
        <v xml:space="preserve">Financial assets designated at fair value </v>
      </c>
      <c r="B144" s="79">
        <v>16917.274209914336</v>
      </c>
      <c r="C144" s="79">
        <v>16961.335588824004</v>
      </c>
      <c r="D144" s="79">
        <v>16475.752128612134</v>
      </c>
      <c r="E144" s="89">
        <v>15826.442115111951</v>
      </c>
      <c r="F144" s="70">
        <v>15597.468835984488</v>
      </c>
      <c r="G144" s="70">
        <v>15365.286287577668</v>
      </c>
      <c r="H144" s="70">
        <v>0</v>
      </c>
      <c r="I144" s="70">
        <v>0</v>
      </c>
    </row>
    <row r="145" spans="1:9">
      <c r="A145" s="7" t="str">
        <f>HLOOKUP(INDICE!$F$2,Nombres!$C$3:$D$636,54,FALSE)</f>
        <v>Financial assets at amortized cost</v>
      </c>
      <c r="B145" s="70">
        <v>76295.605872150612</v>
      </c>
      <c r="C145" s="70">
        <v>80963.829951468331</v>
      </c>
      <c r="D145" s="70">
        <v>82768.938783719816</v>
      </c>
      <c r="E145" s="71">
        <v>83384.191206366973</v>
      </c>
      <c r="F145" s="70">
        <v>89242.122867911035</v>
      </c>
      <c r="G145" s="70">
        <v>87809.597246023448</v>
      </c>
      <c r="H145" s="70">
        <v>0</v>
      </c>
      <c r="I145" s="70">
        <v>0</v>
      </c>
    </row>
    <row r="146" spans="1:9">
      <c r="A146" s="111" t="str">
        <f>HLOOKUP(INDICE!$F$2,Nombres!$C$3:$D$636,55,FALSE)</f>
        <v xml:space="preserve">    of which loans and advances to customers</v>
      </c>
      <c r="B146" s="70">
        <v>73869.137690602351</v>
      </c>
      <c r="C146" s="70">
        <v>75133.528621332342</v>
      </c>
      <c r="D146" s="70">
        <v>76113.542614813268</v>
      </c>
      <c r="E146" s="71">
        <v>80072.621849908057</v>
      </c>
      <c r="F146" s="70">
        <v>81933.420885918385</v>
      </c>
      <c r="G146" s="70">
        <v>84323.545072018023</v>
      </c>
      <c r="H146" s="70">
        <v>0</v>
      </c>
      <c r="I146" s="70">
        <v>0</v>
      </c>
    </row>
    <row r="147" spans="1:9" hidden="1">
      <c r="A147" s="111"/>
      <c r="B147" s="70"/>
      <c r="C147" s="70"/>
      <c r="D147" s="70"/>
      <c r="E147" s="71"/>
      <c r="F147" s="70"/>
      <c r="G147" s="70"/>
      <c r="H147" s="70"/>
      <c r="I147" s="70"/>
    </row>
    <row r="148" spans="1:9">
      <c r="A148" s="7" t="str">
        <f>HLOOKUP(INDICE!$F$2,Nombres!$C$3:$D$636,56,FALSE)</f>
        <v>Tangible assets</v>
      </c>
      <c r="B148" s="70">
        <v>1351.2691512199458</v>
      </c>
      <c r="C148" s="70">
        <v>1320.6240929520009</v>
      </c>
      <c r="D148" s="70">
        <v>1314.074652659287</v>
      </c>
      <c r="E148" s="71">
        <v>1363.4155024019281</v>
      </c>
      <c r="F148" s="70">
        <v>1337.4075059986719</v>
      </c>
      <c r="G148" s="70">
        <v>1342.6212699834189</v>
      </c>
      <c r="H148" s="70">
        <v>0</v>
      </c>
      <c r="I148" s="70">
        <v>0</v>
      </c>
    </row>
    <row r="149" spans="1:9">
      <c r="A149" s="111" t="str">
        <f>HLOOKUP(INDICE!$F$2,Nombres!$C$3:$D$636,57,FALSE)</f>
        <v>Other assets</v>
      </c>
      <c r="B149" s="79">
        <f t="shared" ref="B149:I149" si="25">+B150-B148-B145-B144-B143</f>
        <v>2740.2417559585974</v>
      </c>
      <c r="C149" s="79">
        <f t="shared" si="25"/>
        <v>2179.5637498283158</v>
      </c>
      <c r="D149" s="79">
        <f t="shared" si="25"/>
        <v>2170.3163783289538</v>
      </c>
      <c r="E149" s="89">
        <f t="shared" si="25"/>
        <v>2091.9298038994693</v>
      </c>
      <c r="F149" s="70">
        <f t="shared" si="25"/>
        <v>2235.6729419963012</v>
      </c>
      <c r="G149" s="70">
        <f t="shared" si="25"/>
        <v>2076.4897514119257</v>
      </c>
      <c r="H149" s="70">
        <f t="shared" si="25"/>
        <v>0</v>
      </c>
      <c r="I149" s="70">
        <f t="shared" si="25"/>
        <v>0</v>
      </c>
    </row>
    <row r="150" spans="1:9">
      <c r="A150" s="114" t="str">
        <f>HLOOKUP(INDICE!$F$2,Nombres!$C$3:$D$636,58,FALSE)</f>
        <v>Total assets / Liabilities and equity</v>
      </c>
      <c r="B150" s="18">
        <v>107310.85512152826</v>
      </c>
      <c r="C150" s="18">
        <v>108727.52666957665</v>
      </c>
      <c r="D150" s="18">
        <v>110720.74899208204</v>
      </c>
      <c r="E150" s="18">
        <v>112391.32866583043</v>
      </c>
      <c r="F150" s="88">
        <v>118159.89664588076</v>
      </c>
      <c r="G150" s="88">
        <v>117073.23759840442</v>
      </c>
      <c r="H150" s="88">
        <v>0</v>
      </c>
      <c r="I150" s="88">
        <v>0</v>
      </c>
    </row>
    <row r="151" spans="1:9">
      <c r="A151" s="111" t="str">
        <f>HLOOKUP(INDICE!$F$2,Nombres!$C$3:$D$636,59,FALSE)</f>
        <v>Financial liabilities held for trading and designated at fair value through profit or loss</v>
      </c>
      <c r="B151" s="79">
        <v>1355.2123320819449</v>
      </c>
      <c r="C151" s="79">
        <v>1591.364271168</v>
      </c>
      <c r="D151" s="79">
        <v>1516.2874291294836</v>
      </c>
      <c r="E151" s="89">
        <v>950.00239208955588</v>
      </c>
      <c r="F151" s="70">
        <v>662.86179799934109</v>
      </c>
      <c r="G151" s="70">
        <v>672.0317909132101</v>
      </c>
      <c r="H151" s="70">
        <v>0</v>
      </c>
      <c r="I151" s="70">
        <v>0</v>
      </c>
    </row>
    <row r="152" spans="1:9">
      <c r="A152" s="111" t="str">
        <f>HLOOKUP(INDICE!$F$2,Nombres!$C$3:$D$636,60,FALSE)</f>
        <v>Deposits from central banks and credit institutions</v>
      </c>
      <c r="B152" s="79">
        <v>7234.9023670530232</v>
      </c>
      <c r="C152" s="79">
        <v>9703.546345488001</v>
      </c>
      <c r="D152" s="79">
        <v>7123.6777431489754</v>
      </c>
      <c r="E152" s="89">
        <v>6202.507585569575</v>
      </c>
      <c r="F152" s="70">
        <v>5524.8484539945039</v>
      </c>
      <c r="G152" s="70">
        <v>5308.8699845165593</v>
      </c>
      <c r="H152" s="70">
        <v>0</v>
      </c>
      <c r="I152" s="70">
        <v>0</v>
      </c>
    </row>
    <row r="153" spans="1:9">
      <c r="A153" s="111" t="str">
        <f>HLOOKUP(INDICE!$F$2,Nombres!$C$3:$D$636,61,FALSE)</f>
        <v>Deposits from customers</v>
      </c>
      <c r="B153" s="79">
        <v>76690.434159253142</v>
      </c>
      <c r="C153" s="79">
        <v>75964.888634854666</v>
      </c>
      <c r="D153" s="79">
        <v>78794.890973845817</v>
      </c>
      <c r="E153" s="89">
        <v>82217.593022822839</v>
      </c>
      <c r="F153" s="70">
        <v>87251.05992191314</v>
      </c>
      <c r="G153" s="70">
        <v>86858.822169009683</v>
      </c>
      <c r="H153" s="70">
        <v>0</v>
      </c>
      <c r="I153" s="70">
        <v>0</v>
      </c>
    </row>
    <row r="154" spans="1:9">
      <c r="A154" s="7" t="str">
        <f>HLOOKUP(INDICE!$F$2,Nombres!$C$3:$D$636,62,FALSE)</f>
        <v>Debt certificates</v>
      </c>
      <c r="B154" s="70">
        <v>3648.4532912101749</v>
      </c>
      <c r="C154" s="70">
        <v>3231.1699454466457</v>
      </c>
      <c r="D154" s="70">
        <v>3530.0486934118221</v>
      </c>
      <c r="E154" s="71">
        <v>3490.4364040554115</v>
      </c>
      <c r="F154" s="70">
        <v>3457.869447385483</v>
      </c>
      <c r="G154" s="70">
        <v>3233.8832176945198</v>
      </c>
      <c r="H154" s="70">
        <v>0</v>
      </c>
      <c r="I154" s="70">
        <v>0</v>
      </c>
    </row>
    <row r="155" spans="1:9" hidden="1">
      <c r="A155" s="7"/>
      <c r="B155" s="70"/>
      <c r="C155" s="70"/>
      <c r="D155" s="70"/>
      <c r="E155" s="71"/>
      <c r="F155" s="70"/>
      <c r="G155" s="70"/>
      <c r="H155" s="70"/>
      <c r="I155" s="70"/>
    </row>
    <row r="156" spans="1:9">
      <c r="A156" s="111" t="str">
        <f>HLOOKUP(INDICE!$F$2,Nombres!$C$3:$D$636,63,FALSE)</f>
        <v>Other liabilities</v>
      </c>
      <c r="B156" s="79">
        <f t="shared" ref="B156:I156" si="26">+B150-B151-B152-B153-B154-B157</f>
        <v>8143.4834458661098</v>
      </c>
      <c r="C156" s="79">
        <f t="shared" si="26"/>
        <v>8012.5043405082106</v>
      </c>
      <c r="D156" s="79">
        <f t="shared" si="26"/>
        <v>9834.868728421734</v>
      </c>
      <c r="E156" s="89">
        <f t="shared" si="26"/>
        <v>9101.6113831369348</v>
      </c>
      <c r="F156" s="70">
        <f t="shared" si="26"/>
        <v>10980.739778491834</v>
      </c>
      <c r="G156" s="70">
        <f t="shared" si="26"/>
        <v>10722.080345984921</v>
      </c>
      <c r="H156" s="70">
        <f t="shared" si="26"/>
        <v>0</v>
      </c>
      <c r="I156" s="70">
        <f t="shared" si="26"/>
        <v>0</v>
      </c>
    </row>
    <row r="157" spans="1:9">
      <c r="A157" s="7" t="str">
        <f>HLOOKUP(INDICE!$F$2,Nombres!$C$3:$D$636,282,FALSE)</f>
        <v>Allocated regulatory capital</v>
      </c>
      <c r="B157" s="79">
        <v>10238.369526063856</v>
      </c>
      <c r="C157" s="79">
        <v>10224.053132111116</v>
      </c>
      <c r="D157" s="79">
        <v>9920.9754241242008</v>
      </c>
      <c r="E157" s="79">
        <v>10429.177878156106</v>
      </c>
      <c r="F157" s="79">
        <v>10282.517246096448</v>
      </c>
      <c r="G157" s="79">
        <v>10277.550090285526</v>
      </c>
      <c r="H157" s="79">
        <v>0</v>
      </c>
      <c r="I157" s="79">
        <v>0</v>
      </c>
    </row>
    <row r="158" spans="1:9">
      <c r="A158" s="8"/>
      <c r="B158" s="79"/>
      <c r="C158" s="79"/>
      <c r="D158" s="79"/>
      <c r="E158" s="79"/>
      <c r="F158" s="70"/>
      <c r="G158" s="70"/>
      <c r="H158" s="70"/>
      <c r="I158" s="70"/>
    </row>
    <row r="159" spans="1:9">
      <c r="A159" s="7"/>
      <c r="B159" s="79"/>
      <c r="C159" s="79"/>
      <c r="D159" s="79"/>
      <c r="E159" s="79"/>
      <c r="F159" s="70"/>
      <c r="G159" s="70"/>
      <c r="H159" s="70"/>
      <c r="I159" s="70"/>
    </row>
    <row r="160" spans="1:9" ht="17">
      <c r="A160" s="106" t="str">
        <f>HLOOKUP(INDICE!$F$2,Nombres!$C$3:$D$636,65,FALSE)</f>
        <v>Relevant business indicators</v>
      </c>
      <c r="B160" s="60"/>
      <c r="C160" s="60"/>
      <c r="D160" s="60"/>
      <c r="E160" s="60"/>
      <c r="F160" s="95"/>
      <c r="G160" s="95"/>
      <c r="H160" s="95"/>
      <c r="I160" s="95"/>
    </row>
    <row r="161" spans="1:9">
      <c r="A161" s="107" t="str">
        <f>HLOOKUP(INDICE!$F$2,Nombres!$C$3:$D$636,79,FALSE)</f>
        <v>(Million Peruvian soles)</v>
      </c>
      <c r="B161" s="57"/>
      <c r="C161" s="57"/>
      <c r="D161" s="57"/>
      <c r="E161" s="57"/>
      <c r="F161" s="96"/>
      <c r="G161" s="70"/>
      <c r="H161" s="70"/>
      <c r="I161" s="70"/>
    </row>
    <row r="162" spans="1:9" ht="15.75" customHeight="1">
      <c r="A162" s="57"/>
      <c r="B162" s="80">
        <f t="shared" ref="B162:I162" si="27">+B$30</f>
        <v>45747</v>
      </c>
      <c r="C162" s="80">
        <f t="shared" si="27"/>
        <v>45838</v>
      </c>
      <c r="D162" s="80">
        <f t="shared" si="27"/>
        <v>45930</v>
      </c>
      <c r="E162" s="92">
        <f t="shared" si="27"/>
        <v>46022</v>
      </c>
      <c r="F162" s="80">
        <f t="shared" si="27"/>
        <v>46112</v>
      </c>
      <c r="G162" s="80">
        <f t="shared" si="27"/>
        <v>46203</v>
      </c>
      <c r="H162" s="80">
        <f t="shared" si="27"/>
        <v>46295</v>
      </c>
      <c r="I162" s="80">
        <f t="shared" si="27"/>
        <v>46387</v>
      </c>
    </row>
    <row r="163" spans="1:9" ht="15.75" customHeight="1">
      <c r="A163" s="111" t="str">
        <f>HLOOKUP(INDICE!$F$2,Nombres!$C$3:$D$636,66,FALSE)</f>
        <v>Loans and advances to customers (gross) (*)</v>
      </c>
      <c r="B163" s="70">
        <v>77557.103389262775</v>
      </c>
      <c r="C163" s="70">
        <v>78637.13855377234</v>
      </c>
      <c r="D163" s="70">
        <v>79679.202717624736</v>
      </c>
      <c r="E163" s="71">
        <v>81294.756909450225</v>
      </c>
      <c r="F163" s="70">
        <v>82947.302733917371</v>
      </c>
      <c r="G163" s="70">
        <v>85455.775419307072</v>
      </c>
      <c r="H163" s="70">
        <v>0</v>
      </c>
      <c r="I163" s="70">
        <v>0</v>
      </c>
    </row>
    <row r="164" spans="1:9" ht="15.75" customHeight="1">
      <c r="A164" s="111" t="str">
        <f>HLOOKUP(INDICE!$F$2,Nombres!$C$3:$D$636,67,FALSE)</f>
        <v>Customer deposits under management (*)</v>
      </c>
      <c r="B164" s="70">
        <v>76690.434159253142</v>
      </c>
      <c r="C164" s="70">
        <v>75964.88863485468</v>
      </c>
      <c r="D164" s="70">
        <v>78794.890973845788</v>
      </c>
      <c r="E164" s="71">
        <v>82217.593022822839</v>
      </c>
      <c r="F164" s="70">
        <v>87251.059921913125</v>
      </c>
      <c r="G164" s="70">
        <v>86858.822169009698</v>
      </c>
      <c r="H164" s="70">
        <v>0</v>
      </c>
      <c r="I164" s="70">
        <v>0</v>
      </c>
    </row>
    <row r="165" spans="1:9" ht="15.75" customHeight="1">
      <c r="A165" s="7" t="str">
        <f>HLOOKUP(INDICE!$F$2,Nombres!$C$3:$D$636,68,FALSE)</f>
        <v>Investment funds and managed portfolios</v>
      </c>
      <c r="B165" s="70">
        <v>11166.512476830541</v>
      </c>
      <c r="C165" s="70">
        <v>11889.901560150034</v>
      </c>
      <c r="D165" s="70">
        <v>12346.955380225832</v>
      </c>
      <c r="E165" s="71">
        <v>12634.856900570416</v>
      </c>
      <c r="F165" s="70">
        <v>13227.972421080607</v>
      </c>
      <c r="G165" s="70">
        <v>13636.345759503851</v>
      </c>
      <c r="H165" s="70">
        <v>0</v>
      </c>
      <c r="I165" s="70">
        <v>0</v>
      </c>
    </row>
    <row r="166" spans="1:9" ht="15.75" customHeight="1">
      <c r="A166" s="111" t="str">
        <f>HLOOKUP(INDICE!$F$2,Nombres!$C$3:$D$636,69,FALSE)</f>
        <v>Pension funds</v>
      </c>
      <c r="B166" s="70">
        <v>0</v>
      </c>
      <c r="C166" s="70">
        <v>0</v>
      </c>
      <c r="D166" s="70">
        <v>0</v>
      </c>
      <c r="E166" s="71">
        <v>0</v>
      </c>
      <c r="F166" s="70">
        <v>0</v>
      </c>
      <c r="G166" s="70">
        <v>0</v>
      </c>
      <c r="H166" s="70">
        <v>0</v>
      </c>
      <c r="I166" s="70">
        <v>0</v>
      </c>
    </row>
    <row r="167" spans="1:9">
      <c r="A167" s="111" t="str">
        <f>HLOOKUP(INDICE!$F$2,Nombres!$C$3:$D$636,70,FALSE)</f>
        <v>Other off balance-sheet funds</v>
      </c>
      <c r="B167" s="70">
        <v>0</v>
      </c>
      <c r="C167" s="70">
        <v>0</v>
      </c>
      <c r="D167" s="70">
        <v>0</v>
      </c>
      <c r="E167" s="71">
        <v>0</v>
      </c>
      <c r="F167" s="70">
        <v>0</v>
      </c>
      <c r="G167" s="70">
        <v>0</v>
      </c>
      <c r="H167" s="70">
        <v>0</v>
      </c>
      <c r="I167" s="70">
        <v>0</v>
      </c>
    </row>
    <row r="168" spans="1:9">
      <c r="A168" s="115" t="str">
        <f>HLOOKUP(INDICE!$F$2,Nombres!$C$3:$D$636,71,FALSE)</f>
        <v xml:space="preserve">(*) Excluding repos. </v>
      </c>
      <c r="B168" s="79"/>
      <c r="C168" s="79"/>
      <c r="D168" s="79"/>
      <c r="E168" s="79"/>
      <c r="F168" s="70"/>
      <c r="G168" s="70"/>
      <c r="H168" s="70"/>
      <c r="I168" s="70"/>
    </row>
    <row r="169" spans="1:9">
      <c r="A169" s="115">
        <f>HLOOKUP(INDICE!$F$2,Nombres!$C$3:$D$636,72,FALSE)</f>
        <v>0</v>
      </c>
      <c r="B169" s="57"/>
      <c r="C169" s="57"/>
      <c r="D169" s="57"/>
      <c r="E169" s="57"/>
      <c r="F169" s="57"/>
      <c r="G169" s="57"/>
      <c r="H169" s="57"/>
      <c r="I169" s="57"/>
    </row>
    <row r="170" spans="1:9">
      <c r="A170" s="57"/>
      <c r="B170" s="57"/>
      <c r="C170" s="57"/>
      <c r="D170" s="57"/>
      <c r="E170" s="57"/>
      <c r="F170" s="57"/>
      <c r="G170" s="57"/>
      <c r="H170" s="57"/>
      <c r="I170" s="57"/>
    </row>
    <row r="171" spans="1:9">
      <c r="A171" s="57"/>
      <c r="B171" s="57"/>
      <c r="C171" s="57"/>
      <c r="D171" s="57"/>
      <c r="E171" s="57"/>
      <c r="F171" s="57"/>
      <c r="G171" s="57"/>
      <c r="H171" s="57"/>
      <c r="I171" s="57"/>
    </row>
    <row r="172" spans="1:9">
      <c r="A172" s="98"/>
      <c r="C172" s="99"/>
      <c r="D172" s="99"/>
      <c r="E172" s="99"/>
    </row>
    <row r="173" spans="1:9">
      <c r="A173" s="98"/>
      <c r="C173" s="99"/>
      <c r="D173" s="99"/>
      <c r="E173" s="99"/>
    </row>
  </sheetData>
  <mergeCells count="6">
    <mergeCell ref="B6:E6"/>
    <mergeCell ref="F6:I6"/>
    <mergeCell ref="B62:E62"/>
    <mergeCell ref="F62:I62"/>
    <mergeCell ref="B118:E118"/>
    <mergeCell ref="F118:I118"/>
  </mergeCells>
  <conditionalFormatting sqref="B26:I26">
    <cfRule type="cellIs" dxfId="23" priority="3" operator="notBetween">
      <formula>0.5</formula>
      <formula>-0.5</formula>
    </cfRule>
  </conditionalFormatting>
  <conditionalFormatting sqref="B82:I82">
    <cfRule type="cellIs" dxfId="22" priority="2" operator="notBetween">
      <formula>0.5</formula>
      <formula>-0.5</formula>
    </cfRule>
  </conditionalFormatting>
  <conditionalFormatting sqref="B138:I138">
    <cfRule type="cellIs" dxfId="21" priority="1" operator="notBetween">
      <formula>0.5</formula>
      <formula>-0.5</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61E7B-292E-40AC-8C40-13C6D66C19F3}">
  <sheetPr>
    <tabColor theme="8"/>
  </sheetPr>
  <dimension ref="A1:N1000"/>
  <sheetViews>
    <sheetView showGridLines="0" workbookViewId="0">
      <selection activeCell="I1" sqref="H1:I1048576"/>
    </sheetView>
  </sheetViews>
  <sheetFormatPr baseColWidth="10" defaultColWidth="11.453125" defaultRowHeight="14.5"/>
  <cols>
    <col min="1" max="1" width="53.26953125" customWidth="1"/>
    <col min="8" max="9" width="0" hidden="1" customWidth="1"/>
  </cols>
  <sheetData>
    <row r="1" spans="1:14" ht="17">
      <c r="A1" s="105" t="str">
        <f>HLOOKUP(INDICE!$F$2,Nombres!$C$3:$D$636,263,FALSE)</f>
        <v>Rest of Business</v>
      </c>
      <c r="B1" s="57"/>
      <c r="C1" s="57"/>
      <c r="D1" s="57"/>
      <c r="E1" s="57"/>
      <c r="F1" s="57"/>
      <c r="G1" s="57"/>
      <c r="H1" s="57"/>
      <c r="I1" s="57"/>
    </row>
    <row r="2" spans="1:14" ht="19.5">
      <c r="A2" s="58"/>
      <c r="B2" s="57"/>
      <c r="C2" s="57"/>
      <c r="D2" s="57"/>
      <c r="E2" s="57"/>
      <c r="F2" s="57"/>
      <c r="G2" s="57"/>
      <c r="H2" s="57"/>
      <c r="I2" s="57"/>
    </row>
    <row r="3" spans="1:14" ht="17">
      <c r="A3" s="59" t="str">
        <f>HLOOKUP(INDICE!$F$2,Nombres!$C$3:$D$636,31,FALSE)</f>
        <v xml:space="preserve">Income statement  </v>
      </c>
      <c r="B3" s="60"/>
      <c r="C3" s="60"/>
      <c r="D3" s="60"/>
      <c r="E3" s="60"/>
      <c r="F3" s="60"/>
      <c r="G3" s="60"/>
      <c r="H3" s="60"/>
      <c r="I3" s="60"/>
    </row>
    <row r="4" spans="1:14">
      <c r="A4" s="107" t="str">
        <f>HLOOKUP(INDICE!$F$2,Nombres!$C$3:$D$636,32,FALSE)</f>
        <v>(Million euros)</v>
      </c>
      <c r="B4" s="57"/>
      <c r="C4" s="61"/>
      <c r="D4" s="61"/>
      <c r="E4" s="61"/>
      <c r="F4" s="57"/>
      <c r="G4" s="57"/>
      <c r="H4" s="57"/>
      <c r="I4" s="57"/>
    </row>
    <row r="5" spans="1:14">
      <c r="A5" s="62"/>
      <c r="B5" s="57"/>
      <c r="C5" s="61"/>
      <c r="D5" s="61"/>
      <c r="E5" s="61"/>
      <c r="F5" s="57"/>
      <c r="G5" s="57"/>
      <c r="H5" s="57"/>
      <c r="I5" s="57"/>
    </row>
    <row r="6" spans="1:14">
      <c r="A6" s="63"/>
      <c r="B6" s="257">
        <f>+España!B6</f>
        <v>2025</v>
      </c>
      <c r="C6" s="257"/>
      <c r="D6" s="257"/>
      <c r="E6" s="258"/>
      <c r="F6" s="257">
        <f>+España!F6</f>
        <v>2026</v>
      </c>
      <c r="G6" s="257"/>
      <c r="H6" s="257"/>
      <c r="I6" s="257"/>
    </row>
    <row r="7" spans="1:14">
      <c r="A7" s="63"/>
      <c r="B7" s="108" t="str">
        <f>+España!B7</f>
        <v>1Q</v>
      </c>
      <c r="C7" s="108" t="str">
        <f>+España!C7</f>
        <v>2Q</v>
      </c>
      <c r="D7" s="108" t="str">
        <f>+España!D7</f>
        <v>3Q</v>
      </c>
      <c r="E7" s="109" t="str">
        <f>+España!E7</f>
        <v>4Q</v>
      </c>
      <c r="F7" s="108" t="str">
        <f>+España!F7</f>
        <v>1Q</v>
      </c>
      <c r="G7" s="108" t="str">
        <f>+España!G7</f>
        <v>2Q</v>
      </c>
      <c r="H7" s="108" t="str">
        <f>+España!H7</f>
        <v>3Q</v>
      </c>
      <c r="I7" s="108" t="str">
        <f>+España!I7</f>
        <v>4Q</v>
      </c>
    </row>
    <row r="8" spans="1:14">
      <c r="A8" s="17" t="str">
        <f>HLOOKUP(INDICE!$F$2,Nombres!$C$3:$D$636,33,FALSE)</f>
        <v>Net interest income</v>
      </c>
      <c r="B8" s="17">
        <v>188.49360618783663</v>
      </c>
      <c r="C8" s="17">
        <v>180.30052444082904</v>
      </c>
      <c r="D8" s="17">
        <v>215.33664340692937</v>
      </c>
      <c r="E8" s="66">
        <v>228.65548612513481</v>
      </c>
      <c r="F8" s="67">
        <v>232.26635481665028</v>
      </c>
      <c r="G8" s="110">
        <v>274.7427608489952</v>
      </c>
      <c r="H8" s="110">
        <v>0</v>
      </c>
      <c r="I8" s="110">
        <v>0</v>
      </c>
      <c r="J8" s="11"/>
      <c r="K8" s="11"/>
      <c r="L8" s="11"/>
      <c r="M8" s="11"/>
      <c r="N8" s="11"/>
    </row>
    <row r="9" spans="1:14">
      <c r="A9" s="111" t="str">
        <f>HLOOKUP(INDICE!$F$2,Nombres!$C$3:$D$636,34,FALSE)</f>
        <v>Net fees and commissions</v>
      </c>
      <c r="B9" s="70">
        <v>136.77521216560007</v>
      </c>
      <c r="C9" s="70">
        <v>140.41788725424999</v>
      </c>
      <c r="D9" s="70">
        <v>150.54414760180001</v>
      </c>
      <c r="E9" s="71">
        <v>162.96441569400005</v>
      </c>
      <c r="F9" s="70">
        <v>200.54967535201999</v>
      </c>
      <c r="G9" s="70">
        <v>190.69908059762</v>
      </c>
      <c r="H9" s="70">
        <v>0</v>
      </c>
      <c r="I9" s="70">
        <v>0</v>
      </c>
    </row>
    <row r="10" spans="1:14">
      <c r="A10" s="111" t="str">
        <f>HLOOKUP(INDICE!$F$2,Nombres!$C$3:$D$636,35,FALSE)</f>
        <v>Net trading income</v>
      </c>
      <c r="B10" s="70">
        <v>108.76627174702004</v>
      </c>
      <c r="C10" s="70">
        <v>70.759263060800009</v>
      </c>
      <c r="D10" s="70">
        <v>93.88914513152902</v>
      </c>
      <c r="E10" s="71">
        <v>115.28579106382004</v>
      </c>
      <c r="F10" s="70">
        <v>161.40197909099993</v>
      </c>
      <c r="G10" s="70">
        <v>138.18071933780001</v>
      </c>
      <c r="H10" s="70">
        <v>0</v>
      </c>
      <c r="I10" s="70">
        <v>0</v>
      </c>
    </row>
    <row r="11" spans="1:14">
      <c r="A11" s="111" t="str">
        <f>HLOOKUP(INDICE!$F$2,Nombres!$C$3:$D$636,36,FALSE)</f>
        <v>Other operating income and expenses</v>
      </c>
      <c r="B11" s="70">
        <v>1.0340283599999993</v>
      </c>
      <c r="C11" s="70">
        <v>0.36243551000000118</v>
      </c>
      <c r="D11" s="70">
        <v>2.4249024500000003</v>
      </c>
      <c r="E11" s="71">
        <v>2.6895594699999994</v>
      </c>
      <c r="F11" s="70">
        <v>0.40480022700000018</v>
      </c>
      <c r="G11" s="70">
        <v>-1.1486840479999973</v>
      </c>
      <c r="H11" s="70">
        <v>0</v>
      </c>
      <c r="I11" s="70">
        <v>0</v>
      </c>
    </row>
    <row r="12" spans="1:14">
      <c r="A12" s="17" t="str">
        <f>HLOOKUP(INDICE!$F$2,Nombres!$C$3:$D$636,37,FALSE)</f>
        <v>Gross income</v>
      </c>
      <c r="B12" s="17">
        <f t="shared" ref="B12:I12" si="0">+SUM(B8:B11)</f>
        <v>435.06911846045671</v>
      </c>
      <c r="C12" s="17">
        <f t="shared" si="0"/>
        <v>391.84011026587899</v>
      </c>
      <c r="D12" s="17">
        <f t="shared" si="0"/>
        <v>462.19483859025837</v>
      </c>
      <c r="E12" s="66">
        <f t="shared" si="0"/>
        <v>509.5952523529549</v>
      </c>
      <c r="F12" s="67">
        <f t="shared" si="0"/>
        <v>594.62280948667023</v>
      </c>
      <c r="G12" s="67">
        <f t="shared" si="0"/>
        <v>602.47387673641526</v>
      </c>
      <c r="H12" s="67">
        <f t="shared" si="0"/>
        <v>0</v>
      </c>
      <c r="I12" s="67">
        <f t="shared" si="0"/>
        <v>0</v>
      </c>
    </row>
    <row r="13" spans="1:14">
      <c r="A13" s="111" t="str">
        <f>HLOOKUP(INDICE!$F$2,Nombres!$C$3:$D$636,38,FALSE)</f>
        <v>Operating expenses</v>
      </c>
      <c r="B13" s="70">
        <v>-189.45328609790201</v>
      </c>
      <c r="C13" s="70">
        <v>-189.10588513874708</v>
      </c>
      <c r="D13" s="70">
        <v>-214.26514019466302</v>
      </c>
      <c r="E13" s="71">
        <v>-288.95241716041693</v>
      </c>
      <c r="F13" s="70">
        <v>-239.16205829084399</v>
      </c>
      <c r="G13" s="70">
        <v>-258.98587215447509</v>
      </c>
      <c r="H13" s="70">
        <v>0</v>
      </c>
      <c r="I13" s="70">
        <v>0</v>
      </c>
    </row>
    <row r="14" spans="1:14">
      <c r="A14" s="111" t="str">
        <f>HLOOKUP(INDICE!$F$2,Nombres!$C$3:$D$636,39,FALSE)</f>
        <v xml:space="preserve">  Administration expenses</v>
      </c>
      <c r="B14" s="70">
        <v>-180.86442733790201</v>
      </c>
      <c r="C14" s="70">
        <v>-179.86539820874708</v>
      </c>
      <c r="D14" s="70">
        <v>-204.72347836466301</v>
      </c>
      <c r="E14" s="71">
        <v>-277.70129002041693</v>
      </c>
      <c r="F14" s="70">
        <v>-228.60720321084395</v>
      </c>
      <c r="G14" s="70">
        <v>-248.41719703447504</v>
      </c>
      <c r="H14" s="70">
        <v>0</v>
      </c>
      <c r="I14" s="70">
        <v>0</v>
      </c>
    </row>
    <row r="15" spans="1:14">
      <c r="A15" s="112" t="str">
        <f>HLOOKUP(INDICE!$F$2,Nombres!$C$3:$D$636,40,FALSE)</f>
        <v xml:space="preserve">  Personnel expenses</v>
      </c>
      <c r="B15" s="70">
        <v>-100.84272713999999</v>
      </c>
      <c r="C15" s="70">
        <v>-99.589844540000087</v>
      </c>
      <c r="D15" s="70">
        <v>-112.02585265000003</v>
      </c>
      <c r="E15" s="71">
        <v>-165.70335769999991</v>
      </c>
      <c r="F15" s="70">
        <v>-120.17501853999998</v>
      </c>
      <c r="G15" s="70">
        <v>-137.21027831000009</v>
      </c>
      <c r="H15" s="70">
        <v>0</v>
      </c>
      <c r="I15" s="70">
        <v>0</v>
      </c>
    </row>
    <row r="16" spans="1:14">
      <c r="A16" s="112" t="str">
        <f>HLOOKUP(INDICE!$F$2,Nombres!$C$3:$D$636,41,FALSE)</f>
        <v xml:space="preserve">  General and administrative expenses</v>
      </c>
      <c r="B16" s="70">
        <v>-80.021700197901978</v>
      </c>
      <c r="C16" s="70">
        <v>-80.275553668747023</v>
      </c>
      <c r="D16" s="70">
        <v>-92.697625714662991</v>
      </c>
      <c r="E16" s="71">
        <v>-111.99793232041701</v>
      </c>
      <c r="F16" s="70">
        <v>-108.43218467084399</v>
      </c>
      <c r="G16" s="70">
        <v>-111.20691872447502</v>
      </c>
      <c r="H16" s="70">
        <v>0</v>
      </c>
      <c r="I16" s="70">
        <v>0</v>
      </c>
    </row>
    <row r="17" spans="1:9">
      <c r="A17" s="111" t="str">
        <f>HLOOKUP(INDICE!$F$2,Nombres!$C$3:$D$636,42,FALSE)</f>
        <v xml:space="preserve">  Depreciation</v>
      </c>
      <c r="B17" s="70">
        <v>-8.5888587600000044</v>
      </c>
      <c r="C17" s="70">
        <v>-9.240486930000003</v>
      </c>
      <c r="D17" s="70">
        <v>-9.5416618300000042</v>
      </c>
      <c r="E17" s="71">
        <v>-11.251127140000005</v>
      </c>
      <c r="F17" s="70">
        <v>-10.554855079999999</v>
      </c>
      <c r="G17" s="70">
        <v>-10.568675120000002</v>
      </c>
      <c r="H17" s="70">
        <v>0</v>
      </c>
      <c r="I17" s="70">
        <v>0</v>
      </c>
    </row>
    <row r="18" spans="1:9">
      <c r="A18" s="17" t="str">
        <f>HLOOKUP(INDICE!$F$2,Nombres!$C$3:$D$636,43,FALSE)</f>
        <v>Operating income</v>
      </c>
      <c r="B18" s="17">
        <f t="shared" ref="B18:I18" si="1">+B12+B13</f>
        <v>245.6158323625547</v>
      </c>
      <c r="C18" s="17">
        <f t="shared" si="1"/>
        <v>202.73422512713191</v>
      </c>
      <c r="D18" s="17">
        <f t="shared" si="1"/>
        <v>247.92969839559535</v>
      </c>
      <c r="E18" s="66">
        <f t="shared" si="1"/>
        <v>220.64283519253797</v>
      </c>
      <c r="F18" s="67">
        <f t="shared" si="1"/>
        <v>355.46075119582622</v>
      </c>
      <c r="G18" s="67">
        <f t="shared" si="1"/>
        <v>343.48800458194017</v>
      </c>
      <c r="H18" s="67">
        <f t="shared" si="1"/>
        <v>0</v>
      </c>
      <c r="I18" s="67">
        <f t="shared" si="1"/>
        <v>0</v>
      </c>
    </row>
    <row r="19" spans="1:9">
      <c r="A19" s="111" t="str">
        <f>HLOOKUP(INDICE!$F$2,Nombres!$C$3:$D$636,44,FALSE)</f>
        <v>Impaiment on financial assets not measured at fair value through profit or loss</v>
      </c>
      <c r="B19" s="70">
        <v>-18.959645710000004</v>
      </c>
      <c r="C19" s="70">
        <v>-17.604884340000009</v>
      </c>
      <c r="D19" s="70">
        <v>-8.8372054799999997</v>
      </c>
      <c r="E19" s="71">
        <v>-37.471321200000006</v>
      </c>
      <c r="F19" s="70">
        <v>-50.968077539999967</v>
      </c>
      <c r="G19" s="70">
        <v>1.3947979999983333E-2</v>
      </c>
      <c r="H19" s="70">
        <v>0</v>
      </c>
      <c r="I19" s="70">
        <v>0</v>
      </c>
    </row>
    <row r="20" spans="1:9">
      <c r="A20" s="111" t="str">
        <f>HLOOKUP(INDICE!$F$2,Nombres!$C$3:$D$636,45,FALSE)</f>
        <v>Provisions or reversal of provisions and other results</v>
      </c>
      <c r="B20" s="70">
        <v>2.997041615867003</v>
      </c>
      <c r="C20" s="70">
        <v>-4.9624697087000014</v>
      </c>
      <c r="D20" s="70">
        <v>-9.2745314920000013</v>
      </c>
      <c r="E20" s="71">
        <v>-10.379677915999995</v>
      </c>
      <c r="F20" s="70">
        <v>-4.3271446172769998</v>
      </c>
      <c r="G20" s="70">
        <v>8.0193340167320013</v>
      </c>
      <c r="H20" s="70">
        <v>0</v>
      </c>
      <c r="I20" s="70">
        <v>0</v>
      </c>
    </row>
    <row r="21" spans="1:9">
      <c r="A21" s="113" t="str">
        <f>HLOOKUP(INDICE!$F$2,Nombres!$C$3:$D$636,46,FALSE)</f>
        <v>Profit/(loss) before tax</v>
      </c>
      <c r="B21" s="17">
        <f t="shared" ref="B21:I21" si="2">+B18+B19+B20</f>
        <v>229.65322826842171</v>
      </c>
      <c r="C21" s="17">
        <f t="shared" si="2"/>
        <v>180.16687107843188</v>
      </c>
      <c r="D21" s="17">
        <f t="shared" si="2"/>
        <v>229.81796142359536</v>
      </c>
      <c r="E21" s="66">
        <f t="shared" si="2"/>
        <v>172.79183607653798</v>
      </c>
      <c r="F21" s="67">
        <f t="shared" si="2"/>
        <v>300.16552903854927</v>
      </c>
      <c r="G21" s="67">
        <f t="shared" si="2"/>
        <v>351.52128657867217</v>
      </c>
      <c r="H21" s="67">
        <f t="shared" si="2"/>
        <v>0</v>
      </c>
      <c r="I21" s="67">
        <f t="shared" si="2"/>
        <v>0</v>
      </c>
    </row>
    <row r="22" spans="1:9">
      <c r="A22" s="7" t="str">
        <f>HLOOKUP(INDICE!$F$2,Nombres!$C$3:$D$636,47,FALSE)</f>
        <v>Income tax</v>
      </c>
      <c r="B22" s="70">
        <v>-49.537904241933283</v>
      </c>
      <c r="C22" s="70">
        <v>-46.480470789324194</v>
      </c>
      <c r="D22" s="70">
        <v>-46.850207998176828</v>
      </c>
      <c r="E22" s="71">
        <v>-17.979058518022352</v>
      </c>
      <c r="F22" s="70">
        <v>-64.44740655801013</v>
      </c>
      <c r="G22" s="70">
        <v>-78.939255830431151</v>
      </c>
      <c r="H22" s="70">
        <v>0</v>
      </c>
      <c r="I22" s="70">
        <v>0</v>
      </c>
    </row>
    <row r="23" spans="1:9">
      <c r="A23" s="113" t="str">
        <f>HLOOKUP(INDICE!$F$2,Nombres!$C$3:$D$636,48,FALSE)</f>
        <v>Profit/(loss) for the year</v>
      </c>
      <c r="B23" s="17">
        <f t="shared" ref="B23:I23" si="3">+B21+B22</f>
        <v>180.11532402648842</v>
      </c>
      <c r="C23" s="17">
        <f t="shared" si="3"/>
        <v>133.6864002891077</v>
      </c>
      <c r="D23" s="17">
        <f t="shared" si="3"/>
        <v>182.96775342541855</v>
      </c>
      <c r="E23" s="66">
        <f t="shared" si="3"/>
        <v>154.81277755851562</v>
      </c>
      <c r="F23" s="67">
        <f t="shared" si="3"/>
        <v>235.71812248053914</v>
      </c>
      <c r="G23" s="67">
        <f t="shared" si="3"/>
        <v>272.58203074824104</v>
      </c>
      <c r="H23" s="67">
        <f t="shared" si="3"/>
        <v>0</v>
      </c>
      <c r="I23" s="67">
        <f t="shared" si="3"/>
        <v>0</v>
      </c>
    </row>
    <row r="24" spans="1:9">
      <c r="A24" s="111" t="str">
        <f>HLOOKUP(INDICE!$F$2,Nombres!$C$3:$D$636,49,FALSE)</f>
        <v>Non-controlling interests</v>
      </c>
      <c r="B24" s="70">
        <v>0</v>
      </c>
      <c r="C24" s="70">
        <v>0</v>
      </c>
      <c r="D24" s="70">
        <v>0</v>
      </c>
      <c r="E24" s="71">
        <v>0</v>
      </c>
      <c r="F24" s="70">
        <v>0</v>
      </c>
      <c r="G24" s="70">
        <v>0</v>
      </c>
      <c r="H24" s="70">
        <v>0</v>
      </c>
      <c r="I24" s="70">
        <v>0</v>
      </c>
    </row>
    <row r="25" spans="1:9">
      <c r="A25" s="114" t="str">
        <f>HLOOKUP(INDICE!$F$2,Nombres!$C$3:$D$636,50,FALSE)</f>
        <v>Net attributable profit</v>
      </c>
      <c r="B25" s="18">
        <f t="shared" ref="B25:I25" si="4">+B23+B24</f>
        <v>180.11532402648842</v>
      </c>
      <c r="C25" s="18">
        <f t="shared" si="4"/>
        <v>133.6864002891077</v>
      </c>
      <c r="D25" s="18">
        <f t="shared" si="4"/>
        <v>182.96775342541855</v>
      </c>
      <c r="E25" s="18">
        <f t="shared" si="4"/>
        <v>154.81277755851562</v>
      </c>
      <c r="F25" s="88">
        <f t="shared" si="4"/>
        <v>235.71812248053914</v>
      </c>
      <c r="G25" s="88">
        <f t="shared" si="4"/>
        <v>272.58203074824104</v>
      </c>
      <c r="H25" s="88">
        <f t="shared" si="4"/>
        <v>0</v>
      </c>
      <c r="I25" s="88">
        <f t="shared" si="4"/>
        <v>0</v>
      </c>
    </row>
    <row r="26" spans="1:9">
      <c r="A26" s="115"/>
      <c r="B26" s="93">
        <v>0</v>
      </c>
      <c r="C26" s="93">
        <v>0</v>
      </c>
      <c r="D26" s="93">
        <v>0</v>
      </c>
      <c r="E26" s="93">
        <v>0</v>
      </c>
      <c r="F26" s="93">
        <v>0</v>
      </c>
      <c r="G26" s="93">
        <v>0</v>
      </c>
      <c r="H26" s="93">
        <v>0</v>
      </c>
      <c r="I26" s="93">
        <v>0</v>
      </c>
    </row>
    <row r="27" spans="1:9">
      <c r="A27" s="17"/>
      <c r="B27" s="17"/>
      <c r="C27" s="17"/>
      <c r="D27" s="17"/>
      <c r="E27" s="17"/>
      <c r="F27" s="17"/>
      <c r="G27" s="17"/>
      <c r="H27" s="17"/>
      <c r="I27" s="17"/>
    </row>
    <row r="28" spans="1:9" ht="17">
      <c r="A28" s="106" t="str">
        <f>HLOOKUP(INDICE!$F$2,Nombres!$C$3:$D$636,51,FALSE)</f>
        <v>Balance sheets</v>
      </c>
      <c r="B28" s="60"/>
      <c r="C28" s="60"/>
      <c r="D28" s="60"/>
      <c r="E28" s="60"/>
      <c r="F28" s="60"/>
      <c r="G28" s="60"/>
      <c r="H28" s="60"/>
      <c r="I28" s="60"/>
    </row>
    <row r="29" spans="1:9">
      <c r="A29" s="107" t="str">
        <f>HLOOKUP(INDICE!$F$2,Nombres!$C$3:$D$636,32,FALSE)</f>
        <v>(Million euros)</v>
      </c>
      <c r="B29" s="57"/>
      <c r="C29" s="78"/>
      <c r="D29" s="78"/>
      <c r="E29" s="78"/>
      <c r="F29" s="57"/>
      <c r="G29" s="79"/>
      <c r="H29" s="79"/>
      <c r="I29" s="79"/>
    </row>
    <row r="30" spans="1:9">
      <c r="A30" s="57"/>
      <c r="B30" s="80">
        <f>+España!B32</f>
        <v>45747</v>
      </c>
      <c r="C30" s="80">
        <f>+España!C32</f>
        <v>45838</v>
      </c>
      <c r="D30" s="80">
        <f>+España!D32</f>
        <v>45930</v>
      </c>
      <c r="E30" s="92">
        <f>+España!E32</f>
        <v>46022</v>
      </c>
      <c r="F30" s="94">
        <f>+España!F32</f>
        <v>46112</v>
      </c>
      <c r="G30" s="94">
        <f>+España!G32</f>
        <v>46203</v>
      </c>
      <c r="H30" s="94">
        <f>+España!H32</f>
        <v>46295</v>
      </c>
      <c r="I30" s="94">
        <f>+España!I32</f>
        <v>46387</v>
      </c>
    </row>
    <row r="31" spans="1:9">
      <c r="A31" s="111" t="str">
        <f>HLOOKUP(INDICE!$F$2,Nombres!$C$3:$D$636,52,FALSE)</f>
        <v>Cash, cash balances at central banks and other demand deposits</v>
      </c>
      <c r="B31" s="70">
        <v>6497.1873850499969</v>
      </c>
      <c r="C31" s="70">
        <v>5868.5774458699989</v>
      </c>
      <c r="D31" s="70">
        <v>9147.5909119499993</v>
      </c>
      <c r="E31" s="71">
        <v>11559.176349979996</v>
      </c>
      <c r="F31" s="70">
        <v>7544.8408922699946</v>
      </c>
      <c r="G31" s="70">
        <v>16789.009285720011</v>
      </c>
      <c r="H31" s="70">
        <v>0</v>
      </c>
      <c r="I31" s="70">
        <v>0</v>
      </c>
    </row>
    <row r="32" spans="1:9">
      <c r="A32" s="111" t="str">
        <f>HLOOKUP(INDICE!$F$2,Nombres!$C$3:$D$636,53,FALSE)</f>
        <v xml:space="preserve">Financial assets designated at fair value </v>
      </c>
      <c r="B32" s="79">
        <v>1724.6423781400003</v>
      </c>
      <c r="C32" s="79">
        <v>1629.1505647700001</v>
      </c>
      <c r="D32" s="79">
        <v>1945.9303250200001</v>
      </c>
      <c r="E32" s="89">
        <v>1928.44316695</v>
      </c>
      <c r="F32" s="70">
        <v>2612.3796094299996</v>
      </c>
      <c r="G32" s="70">
        <v>2825.0934885800007</v>
      </c>
      <c r="H32" s="70">
        <v>0</v>
      </c>
      <c r="I32" s="70">
        <v>0</v>
      </c>
    </row>
    <row r="33" spans="1:9">
      <c r="A33" s="7" t="str">
        <f>HLOOKUP(INDICE!$F$2,Nombres!$C$3:$D$636,54,FALSE)</f>
        <v>Financial assets at amortized cost</v>
      </c>
      <c r="B33" s="70">
        <v>55944.886563249995</v>
      </c>
      <c r="C33" s="70">
        <v>61814.121167880003</v>
      </c>
      <c r="D33" s="70">
        <v>64578.122101329995</v>
      </c>
      <c r="E33" s="71">
        <v>74291.58106904001</v>
      </c>
      <c r="F33" s="70">
        <v>84389.847155419979</v>
      </c>
      <c r="G33" s="70">
        <v>97298.176919729987</v>
      </c>
      <c r="H33" s="70">
        <v>0</v>
      </c>
      <c r="I33" s="70">
        <v>0</v>
      </c>
    </row>
    <row r="34" spans="1:9">
      <c r="A34" s="111" t="str">
        <f>HLOOKUP(INDICE!$F$2,Nombres!$C$3:$D$636,55,FALSE)</f>
        <v xml:space="preserve">    of which loans and advances to customers</v>
      </c>
      <c r="B34" s="70">
        <v>50152.444993929996</v>
      </c>
      <c r="C34" s="70">
        <v>55957.548646970012</v>
      </c>
      <c r="D34" s="70">
        <v>58240.381009519995</v>
      </c>
      <c r="E34" s="71">
        <v>66418.255302090009</v>
      </c>
      <c r="F34" s="70">
        <v>75432.092326749989</v>
      </c>
      <c r="G34" s="70">
        <v>86353.155305299981</v>
      </c>
      <c r="H34" s="70">
        <v>0</v>
      </c>
      <c r="I34" s="70">
        <v>0</v>
      </c>
    </row>
    <row r="35" spans="1:9">
      <c r="A35" s="111" t="str">
        <f>HLOOKUP(INDICE!$F$2,Nombres!$C$3:$D$636,121,FALSE)</f>
        <v>Inter-area positions</v>
      </c>
      <c r="B35" s="70">
        <v>0</v>
      </c>
      <c r="C35" s="70">
        <v>0</v>
      </c>
      <c r="D35" s="70">
        <v>0</v>
      </c>
      <c r="E35" s="71">
        <v>0</v>
      </c>
      <c r="F35" s="70">
        <v>0</v>
      </c>
      <c r="G35" s="70">
        <v>0</v>
      </c>
      <c r="H35" s="70">
        <v>0</v>
      </c>
      <c r="I35" s="70">
        <v>0</v>
      </c>
    </row>
    <row r="36" spans="1:9">
      <c r="A36" s="7" t="str">
        <f>HLOOKUP(INDICE!$F$2,Nombres!$C$3:$D$636,56,FALSE)</f>
        <v>Tangible assets</v>
      </c>
      <c r="B36" s="70">
        <v>190.92378311000002</v>
      </c>
      <c r="C36" s="70">
        <v>201.96578818999996</v>
      </c>
      <c r="D36" s="70">
        <v>225.90309883</v>
      </c>
      <c r="E36" s="71">
        <v>261.08999700999999</v>
      </c>
      <c r="F36" s="70">
        <v>250.90649386000001</v>
      </c>
      <c r="G36" s="70">
        <v>256.24137183000005</v>
      </c>
      <c r="H36" s="70">
        <v>0</v>
      </c>
      <c r="I36" s="70">
        <v>0</v>
      </c>
    </row>
    <row r="37" spans="1:9">
      <c r="A37" s="111" t="str">
        <f>HLOOKUP(INDICE!$F$2,Nombres!$C$3:$D$636,57,FALSE)</f>
        <v>Other assets</v>
      </c>
      <c r="B37" s="79">
        <f>+B38-B36-B33-B32-B31-B35</f>
        <v>367.17332956996052</v>
      </c>
      <c r="C37" s="79">
        <f t="shared" ref="C37:I37" si="5">+C38-C36-C33-C32-C31</f>
        <v>457.67984727000385</v>
      </c>
      <c r="D37" s="79">
        <f t="shared" si="5"/>
        <v>485.89416544001506</v>
      </c>
      <c r="E37" s="89">
        <f t="shared" si="5"/>
        <v>313.7676556499282</v>
      </c>
      <c r="F37" s="70">
        <f t="shared" si="5"/>
        <v>451.40888494002866</v>
      </c>
      <c r="G37" s="70">
        <f t="shared" si="5"/>
        <v>847.70278851970579</v>
      </c>
      <c r="H37" s="70">
        <f t="shared" si="5"/>
        <v>0</v>
      </c>
      <c r="I37" s="70">
        <f t="shared" si="5"/>
        <v>0</v>
      </c>
    </row>
    <row r="38" spans="1:9">
      <c r="A38" s="114" t="str">
        <f>HLOOKUP(INDICE!$F$2,Nombres!$C$3:$D$636,58,FALSE)</f>
        <v>Total assets / Liabilities and equity</v>
      </c>
      <c r="B38" s="18">
        <v>64724.813439119956</v>
      </c>
      <c r="C38" s="18">
        <v>69971.494813980011</v>
      </c>
      <c r="D38" s="18">
        <v>76383.440602570001</v>
      </c>
      <c r="E38" s="87">
        <v>88354.058238629936</v>
      </c>
      <c r="F38" s="18">
        <v>95249.383035920007</v>
      </c>
      <c r="G38" s="18">
        <v>118016.2238543797</v>
      </c>
      <c r="H38" s="18">
        <v>0</v>
      </c>
      <c r="I38" s="18">
        <v>0</v>
      </c>
    </row>
    <row r="39" spans="1:9">
      <c r="A39" s="111" t="str">
        <f>HLOOKUP(INDICE!$F$2,Nombres!$C$3:$D$636,59,FALSE)</f>
        <v>Financial liabilities held for trading and designated at fair value through profit or loss</v>
      </c>
      <c r="B39" s="79">
        <v>550.45557771000006</v>
      </c>
      <c r="C39" s="79">
        <v>901.95654254999999</v>
      </c>
      <c r="D39" s="79">
        <v>787.61347475000002</v>
      </c>
      <c r="E39" s="89">
        <v>764.01729123999996</v>
      </c>
      <c r="F39" s="70">
        <v>771.62791429999993</v>
      </c>
      <c r="G39" s="70">
        <v>867.88585483999998</v>
      </c>
      <c r="H39" s="70">
        <v>0</v>
      </c>
      <c r="I39" s="70">
        <v>0</v>
      </c>
    </row>
    <row r="40" spans="1:9">
      <c r="A40" s="111" t="str">
        <f>HLOOKUP(INDICE!$F$2,Nombres!$C$3:$D$636,60,FALSE)</f>
        <v>Deposits from central banks and credit institutions</v>
      </c>
      <c r="B40" s="79">
        <v>2754.4951732499999</v>
      </c>
      <c r="C40" s="79">
        <v>2736.0808216000005</v>
      </c>
      <c r="D40" s="79">
        <v>5130.7431352499989</v>
      </c>
      <c r="E40" s="89">
        <v>5180.9973456499993</v>
      </c>
      <c r="F40" s="70">
        <v>5074.3600904000004</v>
      </c>
      <c r="G40" s="70">
        <v>7287.9927055599992</v>
      </c>
      <c r="H40" s="70">
        <v>0</v>
      </c>
      <c r="I40" s="70">
        <v>0</v>
      </c>
    </row>
    <row r="41" spans="1:9" ht="15.75" customHeight="1">
      <c r="A41" s="111" t="str">
        <f>HLOOKUP(INDICE!$F$2,Nombres!$C$3:$D$636,61,FALSE)</f>
        <v>Deposits from customers</v>
      </c>
      <c r="B41" s="79">
        <v>28032.473641510001</v>
      </c>
      <c r="C41" s="79">
        <v>26032.759979120001</v>
      </c>
      <c r="D41" s="79">
        <v>35177.922300340004</v>
      </c>
      <c r="E41" s="89">
        <v>40932.212348660003</v>
      </c>
      <c r="F41" s="70">
        <v>38047.543250940005</v>
      </c>
      <c r="G41" s="70">
        <v>41027.096920839991</v>
      </c>
      <c r="H41" s="70">
        <v>0</v>
      </c>
      <c r="I41" s="70">
        <v>0</v>
      </c>
    </row>
    <row r="42" spans="1:9">
      <c r="A42" s="7" t="str">
        <f>HLOOKUP(INDICE!$F$2,Nombres!$C$3:$D$636,62,FALSE)</f>
        <v>Debt certificates</v>
      </c>
      <c r="B42" s="70">
        <v>1568.7307937250455</v>
      </c>
      <c r="C42" s="70">
        <v>1566.4830349998413</v>
      </c>
      <c r="D42" s="70">
        <v>1657.4821407429099</v>
      </c>
      <c r="E42" s="71">
        <v>1799.7684104386344</v>
      </c>
      <c r="F42" s="70">
        <v>1908.3254788122106</v>
      </c>
      <c r="G42" s="70">
        <v>2176.8772087334441</v>
      </c>
      <c r="H42" s="70">
        <v>0</v>
      </c>
      <c r="I42" s="70">
        <v>0</v>
      </c>
    </row>
    <row r="43" spans="1:9">
      <c r="A43" s="111" t="str">
        <f>HLOOKUP(INDICE!$F$2,Nombres!$C$3:$D$636,122,FALSE)</f>
        <v>Inter-area positions</v>
      </c>
      <c r="B43" s="70">
        <v>26136.307653345819</v>
      </c>
      <c r="C43" s="70">
        <v>32876.96146237378</v>
      </c>
      <c r="D43" s="70">
        <v>27015.064787871852</v>
      </c>
      <c r="E43" s="71">
        <v>32593.189173213592</v>
      </c>
      <c r="F43" s="70">
        <v>42316.323241697195</v>
      </c>
      <c r="G43" s="70">
        <v>58421.798411032789</v>
      </c>
      <c r="H43" s="70">
        <v>0</v>
      </c>
      <c r="I43" s="70">
        <v>0</v>
      </c>
    </row>
    <row r="44" spans="1:9">
      <c r="A44" s="7" t="str">
        <f>HLOOKUP(INDICE!$F$2,Nombres!$C$3:$D$636,63,FALSE)</f>
        <v>Other liabilities</v>
      </c>
      <c r="B44" s="79">
        <f t="shared" ref="B44:I44" si="6">+B38-B39-B40-B41-B42-B45-B43</f>
        <v>1140.9419820614676</v>
      </c>
      <c r="C44" s="79">
        <f t="shared" si="6"/>
        <v>1308.1352843737623</v>
      </c>
      <c r="D44" s="79">
        <f t="shared" si="6"/>
        <v>1811.2794891199155</v>
      </c>
      <c r="E44" s="89">
        <f t="shared" si="6"/>
        <v>1881.9286962385668</v>
      </c>
      <c r="F44" s="79">
        <f t="shared" si="6"/>
        <v>1615.6811101634376</v>
      </c>
      <c r="G44" s="79">
        <f t="shared" si="6"/>
        <v>1940.5264082316135</v>
      </c>
      <c r="H44" s="79">
        <f t="shared" si="6"/>
        <v>0</v>
      </c>
      <c r="I44" s="79">
        <f t="shared" si="6"/>
        <v>0</v>
      </c>
    </row>
    <row r="45" spans="1:9">
      <c r="A45" s="7" t="str">
        <f>HLOOKUP(INDICE!$F$2,Nombres!$C$3:$D$636,282,FALSE)</f>
        <v>Allocated regulatory capital</v>
      </c>
      <c r="B45" s="79">
        <v>4541.4086175176271</v>
      </c>
      <c r="C45" s="79">
        <v>4549.1176889626149</v>
      </c>
      <c r="D45" s="79">
        <v>4803.3352744953145</v>
      </c>
      <c r="E45" s="79">
        <v>5201.9449731891355</v>
      </c>
      <c r="F45" s="79">
        <v>5515.5219496071522</v>
      </c>
      <c r="G45" s="79">
        <v>6294.0463451418555</v>
      </c>
      <c r="H45" s="79">
        <v>0</v>
      </c>
      <c r="I45" s="79">
        <v>0</v>
      </c>
    </row>
    <row r="46" spans="1:9">
      <c r="A46" s="8"/>
      <c r="B46" s="79"/>
      <c r="C46" s="79"/>
      <c r="D46" s="79"/>
      <c r="E46" s="79"/>
      <c r="F46" s="70"/>
      <c r="G46" s="70"/>
      <c r="H46" s="70"/>
      <c r="I46" s="70"/>
    </row>
    <row r="47" spans="1:9">
      <c r="A47" s="7"/>
      <c r="B47" s="79"/>
      <c r="C47" s="79"/>
      <c r="D47" s="79"/>
      <c r="E47" s="79"/>
      <c r="F47" s="70"/>
      <c r="G47" s="70"/>
      <c r="H47" s="70"/>
      <c r="I47" s="70"/>
    </row>
    <row r="48" spans="1:9" ht="17">
      <c r="A48" s="106" t="str">
        <f>HLOOKUP(INDICE!$F$2,Nombres!$C$3:$D$636,65,FALSE)</f>
        <v>Relevant business indicators</v>
      </c>
      <c r="B48" s="60"/>
      <c r="C48" s="60"/>
      <c r="D48" s="60"/>
      <c r="E48" s="60"/>
      <c r="F48" s="95"/>
      <c r="G48" s="95"/>
      <c r="H48" s="95"/>
      <c r="I48" s="95"/>
    </row>
    <row r="49" spans="1:12">
      <c r="A49" s="107" t="str">
        <f>HLOOKUP(INDICE!$F$2,Nombres!$C$3:$D$636,32,FALSE)</f>
        <v>(Million euros)</v>
      </c>
      <c r="B49" s="57"/>
      <c r="C49" s="57"/>
      <c r="D49" s="57"/>
      <c r="E49" s="57"/>
      <c r="F49" s="96"/>
      <c r="G49" s="70"/>
      <c r="H49" s="70"/>
      <c r="I49" s="70"/>
    </row>
    <row r="50" spans="1:12">
      <c r="A50" s="57"/>
      <c r="B50" s="80">
        <f t="shared" ref="B50:I50" si="7">+B$30</f>
        <v>45747</v>
      </c>
      <c r="C50" s="80">
        <f t="shared" si="7"/>
        <v>45838</v>
      </c>
      <c r="D50" s="80">
        <f t="shared" si="7"/>
        <v>45930</v>
      </c>
      <c r="E50" s="92">
        <f t="shared" si="7"/>
        <v>46022</v>
      </c>
      <c r="F50" s="80">
        <f t="shared" si="7"/>
        <v>46112</v>
      </c>
      <c r="G50" s="80">
        <f t="shared" si="7"/>
        <v>46203</v>
      </c>
      <c r="H50" s="80">
        <f t="shared" si="7"/>
        <v>46295</v>
      </c>
      <c r="I50" s="80">
        <f t="shared" si="7"/>
        <v>46387</v>
      </c>
    </row>
    <row r="51" spans="1:12">
      <c r="A51" s="111" t="str">
        <f>HLOOKUP(INDICE!$F$2,Nombres!$C$3:$D$636,66,FALSE)</f>
        <v>Loans and advances to customers (gross) (*)</v>
      </c>
      <c r="B51" s="70">
        <v>50359.85702187998</v>
      </c>
      <c r="C51" s="70">
        <v>56179.44140795002</v>
      </c>
      <c r="D51" s="70">
        <v>58430.990679459996</v>
      </c>
      <c r="E51" s="71">
        <v>66606.36989514</v>
      </c>
      <c r="F51" s="70">
        <v>75656.575218089987</v>
      </c>
      <c r="G51" s="70">
        <v>86623.863607129999</v>
      </c>
      <c r="H51" s="70">
        <v>0</v>
      </c>
      <c r="I51" s="70">
        <v>0</v>
      </c>
      <c r="L51" s="68"/>
    </row>
    <row r="52" spans="1:12">
      <c r="A52" s="111" t="str">
        <f>HLOOKUP(INDICE!$F$2,Nombres!$C$3:$D$636,67,FALSE)</f>
        <v>Customer deposits under management (*)</v>
      </c>
      <c r="B52" s="70">
        <v>28032.473641510001</v>
      </c>
      <c r="C52" s="70">
        <v>26032.759979119994</v>
      </c>
      <c r="D52" s="70">
        <v>35177.922300339997</v>
      </c>
      <c r="E52" s="71">
        <v>40932.212348660003</v>
      </c>
      <c r="F52" s="70">
        <v>38047.543250939998</v>
      </c>
      <c r="G52" s="70">
        <v>41027.096920840006</v>
      </c>
      <c r="H52" s="70">
        <v>0</v>
      </c>
      <c r="I52" s="70">
        <v>0</v>
      </c>
    </row>
    <row r="53" spans="1:12">
      <c r="A53" s="7" t="str">
        <f>HLOOKUP(INDICE!$F$2,Nombres!$C$3:$D$636,68,FALSE)</f>
        <v>Investment funds and managed portfolios</v>
      </c>
      <c r="B53" s="70">
        <v>0</v>
      </c>
      <c r="C53" s="70">
        <v>0</v>
      </c>
      <c r="D53" s="70">
        <v>0</v>
      </c>
      <c r="E53" s="71">
        <v>0</v>
      </c>
      <c r="F53" s="70">
        <v>0</v>
      </c>
      <c r="G53" s="70">
        <v>0</v>
      </c>
      <c r="H53" s="70">
        <v>0</v>
      </c>
      <c r="I53" s="70">
        <v>0</v>
      </c>
    </row>
    <row r="54" spans="1:12">
      <c r="A54" s="111" t="str">
        <f>HLOOKUP(INDICE!$F$2,Nombres!$C$3:$D$636,69,FALSE)</f>
        <v>Pension funds</v>
      </c>
      <c r="B54" s="70">
        <v>655</v>
      </c>
      <c r="C54" s="70">
        <v>681.75939010000002</v>
      </c>
      <c r="D54" s="70">
        <v>686.829971</v>
      </c>
      <c r="E54" s="71">
        <v>735.87697260000004</v>
      </c>
      <c r="F54" s="70">
        <v>754.70387359999995</v>
      </c>
      <c r="G54" s="70">
        <v>783.15508629999999</v>
      </c>
      <c r="H54" s="70">
        <v>0</v>
      </c>
      <c r="I54" s="70">
        <v>0</v>
      </c>
    </row>
    <row r="55" spans="1:12">
      <c r="A55" s="111" t="str">
        <f>HLOOKUP(INDICE!$F$2,Nombres!$C$3:$D$636,70,FALSE)</f>
        <v>Other off balance-sheet funds</v>
      </c>
      <c r="B55" s="70">
        <v>0</v>
      </c>
      <c r="C55" s="70">
        <v>0</v>
      </c>
      <c r="D55" s="70">
        <v>0</v>
      </c>
      <c r="E55" s="71">
        <v>0</v>
      </c>
      <c r="F55" s="70">
        <v>0</v>
      </c>
      <c r="G55" s="70">
        <v>0</v>
      </c>
      <c r="H55" s="70">
        <v>0</v>
      </c>
      <c r="I55" s="70">
        <v>0</v>
      </c>
    </row>
    <row r="56" spans="1:12">
      <c r="A56" s="115" t="str">
        <f>HLOOKUP(INDICE!$F$2,Nombres!$C$3:$D$636,71,FALSE)</f>
        <v xml:space="preserve">(*) Excluding repos. </v>
      </c>
      <c r="B56" s="79"/>
      <c r="C56" s="79"/>
      <c r="D56" s="79"/>
      <c r="E56" s="79"/>
      <c r="F56" s="70"/>
      <c r="G56" s="70"/>
      <c r="H56" s="70"/>
      <c r="I56" s="70"/>
    </row>
    <row r="57" spans="1:12">
      <c r="A57" s="115">
        <f>HLOOKUP(INDICE!$F$2,Nombres!$C$3:$D$636,72,FALSE)</f>
        <v>0</v>
      </c>
      <c r="B57" s="57"/>
      <c r="C57" s="57"/>
      <c r="D57" s="57"/>
      <c r="E57" s="57"/>
      <c r="F57" s="96"/>
      <c r="G57" s="96"/>
      <c r="H57" s="96"/>
      <c r="I57" s="96"/>
    </row>
    <row r="58" spans="1:12">
      <c r="A58" s="8"/>
      <c r="B58" s="57"/>
      <c r="C58" s="57"/>
      <c r="D58" s="57"/>
      <c r="E58" s="57"/>
      <c r="F58" s="96"/>
      <c r="G58" s="96"/>
      <c r="H58" s="96"/>
      <c r="I58" s="96"/>
    </row>
    <row r="59" spans="1:12" ht="17">
      <c r="A59" s="106" t="str">
        <f>HLOOKUP(INDICE!$F$2,Nombres!$C$3:$D$636,31,FALSE)</f>
        <v xml:space="preserve">Income statement  </v>
      </c>
      <c r="B59" s="60"/>
      <c r="C59" s="60"/>
      <c r="D59" s="60"/>
      <c r="E59" s="60"/>
      <c r="F59" s="95"/>
      <c r="G59" s="95"/>
      <c r="H59" s="95"/>
      <c r="I59" s="95"/>
    </row>
    <row r="60" spans="1:12">
      <c r="A60" s="107" t="str">
        <f>HLOOKUP(INDICE!$F$2,Nombres!$C$3:$D$636,73,FALSE)</f>
        <v xml:space="preserve">(Constant million euros)    </v>
      </c>
      <c r="B60" s="57"/>
      <c r="C60" s="61"/>
      <c r="D60" s="61"/>
      <c r="E60" s="61"/>
      <c r="F60" s="96"/>
      <c r="G60" s="96"/>
      <c r="H60" s="96"/>
      <c r="I60" s="96"/>
    </row>
    <row r="61" spans="1:12">
      <c r="A61" s="62"/>
      <c r="B61" s="57"/>
      <c r="C61" s="61"/>
      <c r="D61" s="61"/>
      <c r="E61" s="61"/>
      <c r="F61" s="57"/>
      <c r="G61" s="57"/>
      <c r="H61" s="57"/>
      <c r="I61" s="57"/>
    </row>
    <row r="62" spans="1:12">
      <c r="A62" s="63"/>
      <c r="B62" s="257">
        <f>+B$6</f>
        <v>2025</v>
      </c>
      <c r="C62" s="257"/>
      <c r="D62" s="257"/>
      <c r="E62" s="258"/>
      <c r="F62" s="257">
        <f>+F$6</f>
        <v>2026</v>
      </c>
      <c r="G62" s="257"/>
      <c r="H62" s="257"/>
      <c r="I62" s="257"/>
    </row>
    <row r="63" spans="1:12">
      <c r="A63" s="63"/>
      <c r="B63" s="108" t="str">
        <f t="shared" ref="B63:I63" si="8">+B$7</f>
        <v>1Q</v>
      </c>
      <c r="C63" s="108" t="str">
        <f t="shared" si="8"/>
        <v>2Q</v>
      </c>
      <c r="D63" s="108" t="str">
        <f t="shared" si="8"/>
        <v>3Q</v>
      </c>
      <c r="E63" s="109" t="str">
        <f t="shared" si="8"/>
        <v>4Q</v>
      </c>
      <c r="F63" s="108" t="str">
        <f t="shared" si="8"/>
        <v>1Q</v>
      </c>
      <c r="G63" s="108" t="str">
        <f t="shared" si="8"/>
        <v>2Q</v>
      </c>
      <c r="H63" s="108" t="str">
        <f t="shared" si="8"/>
        <v>3Q</v>
      </c>
      <c r="I63" s="108" t="str">
        <f t="shared" si="8"/>
        <v>4Q</v>
      </c>
    </row>
    <row r="64" spans="1:12">
      <c r="A64" s="17" t="str">
        <f>HLOOKUP(INDICE!$F$2,Nombres!$C$3:$D$636,33,FALSE)</f>
        <v>Net interest income</v>
      </c>
      <c r="B64" s="17">
        <v>183.72734249617434</v>
      </c>
      <c r="C64" s="17">
        <v>188.98175712791002</v>
      </c>
      <c r="D64" s="17">
        <v>219.98566347287868</v>
      </c>
      <c r="E64" s="66">
        <v>232.18834698110891</v>
      </c>
      <c r="F64" s="67">
        <v>233.47395927711355</v>
      </c>
      <c r="G64" s="67">
        <v>273.53487992889001</v>
      </c>
      <c r="H64" s="67">
        <v>0</v>
      </c>
      <c r="I64" s="67">
        <v>0</v>
      </c>
    </row>
    <row r="65" spans="1:9">
      <c r="A65" s="111" t="str">
        <f>HLOOKUP(INDICE!$F$2,Nombres!$C$3:$D$636,34,FALSE)</f>
        <v>Net fees and commissions</v>
      </c>
      <c r="B65" s="70">
        <v>132.79708645736252</v>
      </c>
      <c r="C65" s="70">
        <v>143.79108019565993</v>
      </c>
      <c r="D65" s="70">
        <v>153.34730981198553</v>
      </c>
      <c r="E65" s="71">
        <v>164.7227337759274</v>
      </c>
      <c r="F65" s="70">
        <v>201.28686010047232</v>
      </c>
      <c r="G65" s="70">
        <v>189.96189584915001</v>
      </c>
      <c r="H65" s="70">
        <v>0</v>
      </c>
      <c r="I65" s="70">
        <v>0</v>
      </c>
    </row>
    <row r="66" spans="1:9">
      <c r="A66" s="111" t="str">
        <f>HLOOKUP(INDICE!$F$2,Nombres!$C$3:$D$636,35,FALSE)</f>
        <v>Net trading income</v>
      </c>
      <c r="B66" s="70">
        <v>103.80563305159275</v>
      </c>
      <c r="C66" s="70">
        <v>76.115465928431377</v>
      </c>
      <c r="D66" s="70">
        <v>95.284548029222321</v>
      </c>
      <c r="E66" s="71">
        <v>116.8962560073912</v>
      </c>
      <c r="F66" s="70">
        <v>162.26818411749895</v>
      </c>
      <c r="G66" s="70">
        <v>137.31451431129292</v>
      </c>
      <c r="H66" s="70">
        <v>0</v>
      </c>
      <c r="I66" s="70">
        <v>0</v>
      </c>
    </row>
    <row r="67" spans="1:9">
      <c r="A67" s="111" t="str">
        <f>HLOOKUP(INDICE!$F$2,Nombres!$C$3:$D$636,36,FALSE)</f>
        <v>Other operating income and expenses</v>
      </c>
      <c r="B67" s="70">
        <v>1.0354553036595189</v>
      </c>
      <c r="C67" s="70">
        <v>0.3655631251510737</v>
      </c>
      <c r="D67" s="70">
        <v>2.4191411689099578</v>
      </c>
      <c r="E67" s="71">
        <v>2.7203384872903529</v>
      </c>
      <c r="F67" s="70">
        <v>0.40539227555747026</v>
      </c>
      <c r="G67" s="70">
        <v>-1.149276096557762</v>
      </c>
      <c r="H67" s="70">
        <v>0</v>
      </c>
      <c r="I67" s="70">
        <v>0</v>
      </c>
    </row>
    <row r="68" spans="1:9">
      <c r="A68" s="17" t="str">
        <f>HLOOKUP(INDICE!$F$2,Nombres!$C$3:$D$636,37,FALSE)</f>
        <v>Gross income</v>
      </c>
      <c r="B68" s="17">
        <f t="shared" ref="B68:I68" si="9">+SUM(B64:B67)</f>
        <v>421.36551730878915</v>
      </c>
      <c r="C68" s="17">
        <f t="shared" si="9"/>
        <v>409.25386637715241</v>
      </c>
      <c r="D68" s="17">
        <f t="shared" si="9"/>
        <v>471.03666248299652</v>
      </c>
      <c r="E68" s="66">
        <f t="shared" si="9"/>
        <v>516.52767525171794</v>
      </c>
      <c r="F68" s="67">
        <f t="shared" si="9"/>
        <v>597.43439577064237</v>
      </c>
      <c r="G68" s="67">
        <f t="shared" si="9"/>
        <v>599.6620139927752</v>
      </c>
      <c r="H68" s="67">
        <f t="shared" si="9"/>
        <v>0</v>
      </c>
      <c r="I68" s="67">
        <f t="shared" si="9"/>
        <v>0</v>
      </c>
    </row>
    <row r="69" spans="1:9">
      <c r="A69" s="111" t="str">
        <f>HLOOKUP(INDICE!$F$2,Nombres!$C$3:$D$636,38,FALSE)</f>
        <v>Operating expenses</v>
      </c>
      <c r="B69" s="70">
        <v>-184.21461898553548</v>
      </c>
      <c r="C69" s="70">
        <v>-193.56470402187585</v>
      </c>
      <c r="D69" s="70">
        <v>-217.60684546803446</v>
      </c>
      <c r="E69" s="71">
        <v>-291.13863053461159</v>
      </c>
      <c r="F69" s="70">
        <v>-239.97332904515577</v>
      </c>
      <c r="G69" s="70">
        <v>-258.17460140014975</v>
      </c>
      <c r="H69" s="70">
        <v>0</v>
      </c>
      <c r="I69" s="70">
        <v>0</v>
      </c>
    </row>
    <row r="70" spans="1:9">
      <c r="A70" s="111" t="str">
        <f>HLOOKUP(INDICE!$F$2,Nombres!$C$3:$D$636,39,FALSE)</f>
        <v xml:space="preserve">  Administration expenses</v>
      </c>
      <c r="B70" s="70">
        <v>-175.79385158847444</v>
      </c>
      <c r="C70" s="70">
        <v>-184.08866743306575</v>
      </c>
      <c r="D70" s="70">
        <v>-207.94528512391167</v>
      </c>
      <c r="E70" s="71">
        <v>-279.7924360147187</v>
      </c>
      <c r="F70" s="70">
        <v>-229.38803134112527</v>
      </c>
      <c r="G70" s="70">
        <v>-247.63636890418036</v>
      </c>
      <c r="H70" s="70">
        <v>0</v>
      </c>
      <c r="I70" s="70">
        <v>0</v>
      </c>
    </row>
    <row r="71" spans="1:9">
      <c r="A71" s="112" t="str">
        <f>HLOOKUP(INDICE!$F$2,Nombres!$C$3:$D$636,40,FALSE)</f>
        <v xml:space="preserve">  Personnel expenses</v>
      </c>
      <c r="B71" s="70">
        <v>-97.591958343474445</v>
      </c>
      <c r="C71" s="70">
        <v>-102.78220306368893</v>
      </c>
      <c r="D71" s="70">
        <v>-114.30199313893873</v>
      </c>
      <c r="E71" s="71">
        <v>-167.29704149435844</v>
      </c>
      <c r="F71" s="70">
        <v>-120.70073408298346</v>
      </c>
      <c r="G71" s="70">
        <v>-136.68456276700937</v>
      </c>
      <c r="H71" s="70">
        <v>0</v>
      </c>
      <c r="I71" s="70">
        <v>0</v>
      </c>
    </row>
    <row r="72" spans="1:9">
      <c r="A72" s="112" t="str">
        <f>HLOOKUP(INDICE!$F$2,Nombres!$C$3:$D$636,41,FALSE)</f>
        <v xml:space="preserve">  General and administrative expenses</v>
      </c>
      <c r="B72" s="70">
        <v>-78.201893245000008</v>
      </c>
      <c r="C72" s="70">
        <v>-81.30646436937684</v>
      </c>
      <c r="D72" s="70">
        <v>-93.643291984972933</v>
      </c>
      <c r="E72" s="71">
        <v>-112.49539452036032</v>
      </c>
      <c r="F72" s="70">
        <v>-108.68729725814185</v>
      </c>
      <c r="G72" s="70">
        <v>-110.95180613717088</v>
      </c>
      <c r="H72" s="70">
        <v>0</v>
      </c>
      <c r="I72" s="70">
        <v>0</v>
      </c>
    </row>
    <row r="73" spans="1:9">
      <c r="A73" s="111" t="str">
        <f>HLOOKUP(INDICE!$F$2,Nombres!$C$3:$D$636,42,FALSE)</f>
        <v xml:space="preserve">  Depreciation</v>
      </c>
      <c r="B73" s="70">
        <v>-8.4207673970610362</v>
      </c>
      <c r="C73" s="70">
        <v>-9.4760365888101106</v>
      </c>
      <c r="D73" s="70">
        <v>-9.6615603441227638</v>
      </c>
      <c r="E73" s="71">
        <v>-11.346194519892887</v>
      </c>
      <c r="F73" s="70">
        <v>-10.585297704030465</v>
      </c>
      <c r="G73" s="70">
        <v>-10.5382324959694</v>
      </c>
      <c r="H73" s="70">
        <v>0</v>
      </c>
      <c r="I73" s="70">
        <v>0</v>
      </c>
    </row>
    <row r="74" spans="1:9">
      <c r="A74" s="17" t="str">
        <f>HLOOKUP(INDICE!$F$2,Nombres!$C$3:$D$636,43,FALSE)</f>
        <v>Operating income</v>
      </c>
      <c r="B74" s="17">
        <f t="shared" ref="B74:I74" si="10">+B68+B69</f>
        <v>237.15089832325367</v>
      </c>
      <c r="C74" s="17">
        <f t="shared" si="10"/>
        <v>215.68916235527655</v>
      </c>
      <c r="D74" s="17">
        <f t="shared" si="10"/>
        <v>253.42981701496205</v>
      </c>
      <c r="E74" s="66">
        <f t="shared" si="10"/>
        <v>225.38904471710634</v>
      </c>
      <c r="F74" s="67">
        <f t="shared" si="10"/>
        <v>357.4610667254866</v>
      </c>
      <c r="G74" s="67">
        <f t="shared" si="10"/>
        <v>341.48741259262545</v>
      </c>
      <c r="H74" s="67">
        <f t="shared" si="10"/>
        <v>0</v>
      </c>
      <c r="I74" s="67">
        <f t="shared" si="10"/>
        <v>0</v>
      </c>
    </row>
    <row r="75" spans="1:9">
      <c r="A75" s="111" t="str">
        <f>HLOOKUP(INDICE!$F$2,Nombres!$C$3:$D$636,44,FALSE)</f>
        <v>Impaiment on financial assets not measured at fair value through profit or loss</v>
      </c>
      <c r="B75" s="70">
        <v>-18.214251599001113</v>
      </c>
      <c r="C75" s="70">
        <v>-18.32102803947658</v>
      </c>
      <c r="D75" s="70">
        <v>-9.5119942839323848</v>
      </c>
      <c r="E75" s="71">
        <v>-37.855317956577352</v>
      </c>
      <c r="F75" s="70">
        <v>-51.313984587248356</v>
      </c>
      <c r="G75" s="70">
        <v>0.35985502724529489</v>
      </c>
      <c r="H75" s="70">
        <v>0</v>
      </c>
      <c r="I75" s="70">
        <v>0</v>
      </c>
    </row>
    <row r="76" spans="1:9">
      <c r="A76" s="111" t="str">
        <f>HLOOKUP(INDICE!$F$2,Nombres!$C$3:$D$636,45,FALSE)</f>
        <v>Provisions or reversal of provisions and other results</v>
      </c>
      <c r="B76" s="70">
        <v>3.0959903044447978</v>
      </c>
      <c r="C76" s="70">
        <v>-5.0291973193812618</v>
      </c>
      <c r="D76" s="70">
        <v>-9.5677363023165096</v>
      </c>
      <c r="E76" s="71">
        <v>-10.624731607468528</v>
      </c>
      <c r="F76" s="70">
        <v>-4.3370083758140616</v>
      </c>
      <c r="G76" s="70">
        <v>8.0291977752692034</v>
      </c>
      <c r="H76" s="70">
        <v>0</v>
      </c>
      <c r="I76" s="70">
        <v>0</v>
      </c>
    </row>
    <row r="77" spans="1:9">
      <c r="A77" s="113" t="str">
        <f>HLOOKUP(INDICE!$F$2,Nombres!$C$3:$D$636,46,FALSE)</f>
        <v>Profit/(loss) before tax</v>
      </c>
      <c r="B77" s="17">
        <f t="shared" ref="B77:I77" si="11">+B74+B75+B76</f>
        <v>222.03263702869737</v>
      </c>
      <c r="C77" s="17">
        <f t="shared" si="11"/>
        <v>192.33893699641871</v>
      </c>
      <c r="D77" s="17">
        <f t="shared" si="11"/>
        <v>234.35008642871315</v>
      </c>
      <c r="E77" s="66">
        <f t="shared" si="11"/>
        <v>176.90899515306046</v>
      </c>
      <c r="F77" s="67">
        <f t="shared" si="11"/>
        <v>301.81007376242422</v>
      </c>
      <c r="G77" s="67">
        <f t="shared" si="11"/>
        <v>349.87646539513997</v>
      </c>
      <c r="H77" s="67">
        <f t="shared" si="11"/>
        <v>0</v>
      </c>
      <c r="I77" s="67">
        <f t="shared" si="11"/>
        <v>0</v>
      </c>
    </row>
    <row r="78" spans="1:9">
      <c r="A78" s="7" t="str">
        <f>HLOOKUP(INDICE!$F$2,Nombres!$C$3:$D$636,47,FALSE)</f>
        <v>Income tax</v>
      </c>
      <c r="B78" s="70">
        <v>-47.863349046755872</v>
      </c>
      <c r="C78" s="70">
        <v>-48.782901520772526</v>
      </c>
      <c r="D78" s="70">
        <v>-47.862491958103107</v>
      </c>
      <c r="E78" s="71">
        <v>-18.771696780039051</v>
      </c>
      <c r="F78" s="70">
        <v>-64.800796171762897</v>
      </c>
      <c r="G78" s="70">
        <v>-78.585783278780255</v>
      </c>
      <c r="H78" s="70">
        <v>0</v>
      </c>
      <c r="I78" s="70">
        <v>0</v>
      </c>
    </row>
    <row r="79" spans="1:9">
      <c r="A79" s="113" t="str">
        <f>HLOOKUP(INDICE!$F$2,Nombres!$C$3:$D$636,48,FALSE)</f>
        <v>Profit/(loss) for the year</v>
      </c>
      <c r="B79" s="17">
        <f t="shared" ref="B79:I79" si="12">+B77+B78</f>
        <v>174.16928798194149</v>
      </c>
      <c r="C79" s="17">
        <f t="shared" si="12"/>
        <v>143.55603547564618</v>
      </c>
      <c r="D79" s="17">
        <f t="shared" si="12"/>
        <v>186.48759447061005</v>
      </c>
      <c r="E79" s="66">
        <f t="shared" si="12"/>
        <v>158.13729837302139</v>
      </c>
      <c r="F79" s="67">
        <f t="shared" si="12"/>
        <v>237.00927759066133</v>
      </c>
      <c r="G79" s="67">
        <f t="shared" si="12"/>
        <v>271.29068211635973</v>
      </c>
      <c r="H79" s="67">
        <f t="shared" si="12"/>
        <v>0</v>
      </c>
      <c r="I79" s="67">
        <f t="shared" si="12"/>
        <v>0</v>
      </c>
    </row>
    <row r="80" spans="1:9">
      <c r="A80" s="111" t="str">
        <f>HLOOKUP(INDICE!$F$2,Nombres!$C$3:$D$636,49,FALSE)</f>
        <v>Non-controlling interests</v>
      </c>
      <c r="B80" s="70">
        <v>0</v>
      </c>
      <c r="C80" s="70">
        <v>0</v>
      </c>
      <c r="D80" s="70">
        <v>0</v>
      </c>
      <c r="E80" s="71">
        <v>0</v>
      </c>
      <c r="F80" s="70">
        <v>0</v>
      </c>
      <c r="G80" s="70">
        <v>0</v>
      </c>
      <c r="H80" s="70">
        <v>0</v>
      </c>
      <c r="I80" s="70">
        <v>0</v>
      </c>
    </row>
    <row r="81" spans="1:9">
      <c r="A81" s="114" t="str">
        <f>HLOOKUP(INDICE!$F$2,Nombres!$C$3:$D$636,50,FALSE)</f>
        <v>Net attributable profit</v>
      </c>
      <c r="B81" s="18">
        <f t="shared" ref="B81:I81" si="13">+B79+B80</f>
        <v>174.16928798194149</v>
      </c>
      <c r="C81" s="18">
        <f t="shared" si="13"/>
        <v>143.55603547564618</v>
      </c>
      <c r="D81" s="18">
        <f t="shared" si="13"/>
        <v>186.48759447061005</v>
      </c>
      <c r="E81" s="18">
        <f t="shared" si="13"/>
        <v>158.13729837302139</v>
      </c>
      <c r="F81" s="88">
        <f t="shared" si="13"/>
        <v>237.00927759066133</v>
      </c>
      <c r="G81" s="88">
        <f t="shared" si="13"/>
        <v>271.29068211635973</v>
      </c>
      <c r="H81" s="88">
        <f t="shared" si="13"/>
        <v>0</v>
      </c>
      <c r="I81" s="88">
        <f t="shared" si="13"/>
        <v>0</v>
      </c>
    </row>
    <row r="82" spans="1:9">
      <c r="A82" s="115"/>
      <c r="B82" s="93">
        <v>0</v>
      </c>
      <c r="C82" s="93">
        <v>0</v>
      </c>
      <c r="D82" s="93">
        <v>0</v>
      </c>
      <c r="E82" s="93">
        <v>0</v>
      </c>
      <c r="F82" s="93">
        <v>0</v>
      </c>
      <c r="G82" s="93">
        <v>0</v>
      </c>
      <c r="H82" s="93">
        <v>0</v>
      </c>
      <c r="I82" s="93">
        <v>0</v>
      </c>
    </row>
    <row r="83" spans="1:9">
      <c r="A83" s="17"/>
      <c r="B83" s="17"/>
      <c r="C83" s="17"/>
      <c r="D83" s="17"/>
      <c r="E83" s="17"/>
      <c r="F83" s="67"/>
      <c r="G83" s="67"/>
      <c r="H83" s="67"/>
      <c r="I83" s="67"/>
    </row>
    <row r="84" spans="1:9" ht="17">
      <c r="A84" s="106" t="str">
        <f>HLOOKUP(INDICE!$F$2,Nombres!$C$3:$D$636,51,FALSE)</f>
        <v>Balance sheets</v>
      </c>
      <c r="B84" s="60"/>
      <c r="C84" s="60"/>
      <c r="D84" s="60"/>
      <c r="E84" s="60"/>
      <c r="F84" s="95"/>
      <c r="G84" s="95"/>
      <c r="H84" s="95"/>
      <c r="I84" s="95"/>
    </row>
    <row r="85" spans="1:9">
      <c r="A85" s="107" t="str">
        <f>HLOOKUP(INDICE!$F$2,Nombres!$C$3:$D$636,73,FALSE)</f>
        <v xml:space="preserve">(Constant million euros)    </v>
      </c>
      <c r="B85" s="57"/>
      <c r="C85" s="78"/>
      <c r="D85" s="78"/>
      <c r="E85" s="78"/>
      <c r="F85" s="96"/>
      <c r="G85" s="70"/>
      <c r="H85" s="70"/>
      <c r="I85" s="70"/>
    </row>
    <row r="86" spans="1:9">
      <c r="A86" s="57"/>
      <c r="B86" s="80">
        <f t="shared" ref="B86:I86" si="14">+B$30</f>
        <v>45747</v>
      </c>
      <c r="C86" s="80">
        <f t="shared" si="14"/>
        <v>45838</v>
      </c>
      <c r="D86" s="80">
        <f t="shared" si="14"/>
        <v>45930</v>
      </c>
      <c r="E86" s="92">
        <f t="shared" si="14"/>
        <v>46022</v>
      </c>
      <c r="F86" s="80">
        <f t="shared" si="14"/>
        <v>46112</v>
      </c>
      <c r="G86" s="80">
        <f t="shared" si="14"/>
        <v>46203</v>
      </c>
      <c r="H86" s="80">
        <f t="shared" si="14"/>
        <v>46295</v>
      </c>
      <c r="I86" s="80">
        <f t="shared" si="14"/>
        <v>46387</v>
      </c>
    </row>
    <row r="87" spans="1:9">
      <c r="A87" s="111" t="str">
        <f>HLOOKUP(INDICE!$F$2,Nombres!$C$3:$D$636,52,FALSE)</f>
        <v>Cash, cash balances at central banks and other demand deposits</v>
      </c>
      <c r="B87" s="70">
        <v>6191.292902254535</v>
      </c>
      <c r="C87" s="70">
        <v>6021.5354030981125</v>
      </c>
      <c r="D87" s="70">
        <v>9408.9929886961363</v>
      </c>
      <c r="E87" s="71">
        <v>11900.540503931026</v>
      </c>
      <c r="F87" s="70">
        <v>7606.9938611112493</v>
      </c>
      <c r="G87" s="70">
        <v>16789.0092857214</v>
      </c>
      <c r="H87" s="70">
        <v>0</v>
      </c>
      <c r="I87" s="70">
        <v>0</v>
      </c>
    </row>
    <row r="88" spans="1:9">
      <c r="A88" s="111" t="str">
        <f>HLOOKUP(INDICE!$F$2,Nombres!$C$3:$D$636,53,FALSE)</f>
        <v xml:space="preserve">Financial assets designated at fair value </v>
      </c>
      <c r="B88" s="79">
        <v>1667.6329930793895</v>
      </c>
      <c r="C88" s="79">
        <v>1651.3707089695838</v>
      </c>
      <c r="D88" s="79">
        <v>1981.4757536429174</v>
      </c>
      <c r="E88" s="89">
        <v>1962.8663981637378</v>
      </c>
      <c r="F88" s="70">
        <v>2630.054449233272</v>
      </c>
      <c r="G88" s="70">
        <v>2825.0934885800348</v>
      </c>
      <c r="H88" s="70">
        <v>0</v>
      </c>
      <c r="I88" s="70">
        <v>0</v>
      </c>
    </row>
    <row r="89" spans="1:9">
      <c r="A89" s="7" t="str">
        <f>HLOOKUP(INDICE!$F$2,Nombres!$C$3:$D$636,54,FALSE)</f>
        <v>Financial assets at amortized cost</v>
      </c>
      <c r="B89" s="70">
        <v>54776.618915506289</v>
      </c>
      <c r="C89" s="70">
        <v>62366.150728368069</v>
      </c>
      <c r="D89" s="70">
        <v>65384.458829916781</v>
      </c>
      <c r="E89" s="71">
        <v>75201.669309544566</v>
      </c>
      <c r="F89" s="70">
        <v>84717.987082954583</v>
      </c>
      <c r="G89" s="70">
        <v>97298.176919731442</v>
      </c>
      <c r="H89" s="70">
        <v>0</v>
      </c>
      <c r="I89" s="70">
        <v>0</v>
      </c>
    </row>
    <row r="90" spans="1:9">
      <c r="A90" s="111" t="str">
        <f>HLOOKUP(INDICE!$F$2,Nombres!$C$3:$D$636,55,FALSE)</f>
        <v xml:space="preserve">    of which loans and advances to customers</v>
      </c>
      <c r="B90" s="70">
        <v>49068.460934440103</v>
      </c>
      <c r="C90" s="70">
        <v>56470.364745708022</v>
      </c>
      <c r="D90" s="70">
        <v>58989.395837699274</v>
      </c>
      <c r="E90" s="71">
        <v>67268.884056988318</v>
      </c>
      <c r="F90" s="70">
        <v>75734.354008668452</v>
      </c>
      <c r="G90" s="70">
        <v>86353.155305301523</v>
      </c>
      <c r="H90" s="70">
        <v>0</v>
      </c>
      <c r="I90" s="70">
        <v>0</v>
      </c>
    </row>
    <row r="91" spans="1:9">
      <c r="A91" s="111" t="str">
        <f>HLOOKUP(INDICE!$F$2,Nombres!$C$3:$D$636,121,FALSE)</f>
        <v>Inter-area positions</v>
      </c>
      <c r="B91" s="70">
        <v>0</v>
      </c>
      <c r="C91" s="70">
        <v>0</v>
      </c>
      <c r="D91" s="70">
        <v>0</v>
      </c>
      <c r="E91" s="71">
        <v>0</v>
      </c>
      <c r="F91" s="70">
        <v>0</v>
      </c>
      <c r="G91" s="70">
        <v>0</v>
      </c>
      <c r="H91" s="70">
        <v>0</v>
      </c>
      <c r="I91" s="70">
        <v>0</v>
      </c>
    </row>
    <row r="92" spans="1:9">
      <c r="A92" s="7" t="str">
        <f>HLOOKUP(INDICE!$F$2,Nombres!$C$3:$D$636,56,FALSE)</f>
        <v>Tangible assets</v>
      </c>
      <c r="B92" s="70">
        <v>183.88234147434571</v>
      </c>
      <c r="C92" s="70">
        <v>205.58373101364003</v>
      </c>
      <c r="D92" s="70">
        <v>230.22030927655229</v>
      </c>
      <c r="E92" s="71">
        <v>266.67270084783848</v>
      </c>
      <c r="F92" s="70">
        <v>252.58119858713493</v>
      </c>
      <c r="G92" s="70">
        <v>256.24137183000778</v>
      </c>
      <c r="H92" s="70">
        <v>0</v>
      </c>
      <c r="I92" s="70">
        <v>0</v>
      </c>
    </row>
    <row r="93" spans="1:9">
      <c r="A93" s="111" t="str">
        <f>HLOOKUP(INDICE!$F$2,Nombres!$C$3:$D$636,57,FALSE)</f>
        <v>Other assets</v>
      </c>
      <c r="B93" s="79">
        <f>+B94-B92-B89-B88-B87-B91</f>
        <v>357.28803310350395</v>
      </c>
      <c r="C93" s="79">
        <f t="shared" ref="C93:I93" si="15">+C94-C92-C89-C88-C87</f>
        <v>464.43674431950421</v>
      </c>
      <c r="D93" s="79">
        <f t="shared" si="15"/>
        <v>495.87874214141993</v>
      </c>
      <c r="E93" s="89">
        <f t="shared" si="15"/>
        <v>316.88931027665967</v>
      </c>
      <c r="F93" s="70">
        <f t="shared" si="15"/>
        <v>453.62785341035578</v>
      </c>
      <c r="G93" s="70">
        <f t="shared" si="15"/>
        <v>847.70278851976764</v>
      </c>
      <c r="H93" s="70">
        <f t="shared" si="15"/>
        <v>0</v>
      </c>
      <c r="I93" s="70">
        <f t="shared" si="15"/>
        <v>0</v>
      </c>
    </row>
    <row r="94" spans="1:9">
      <c r="A94" s="114" t="str">
        <f>HLOOKUP(INDICE!$F$2,Nombres!$C$3:$D$636,58,FALSE)</f>
        <v>Total assets / Liabilities and equity</v>
      </c>
      <c r="B94" s="18">
        <v>63176.715185418063</v>
      </c>
      <c r="C94" s="18">
        <v>70709.077315768911</v>
      </c>
      <c r="D94" s="18">
        <v>77501.02662367381</v>
      </c>
      <c r="E94" s="87">
        <v>89648.638222763824</v>
      </c>
      <c r="F94" s="88">
        <v>95661.244445296601</v>
      </c>
      <c r="G94" s="88">
        <v>118016.22385438265</v>
      </c>
      <c r="H94" s="88">
        <v>0</v>
      </c>
      <c r="I94" s="88">
        <v>0</v>
      </c>
    </row>
    <row r="95" spans="1:9">
      <c r="A95" s="111" t="str">
        <f>HLOOKUP(INDICE!$F$2,Nombres!$C$3:$D$636,59,FALSE)</f>
        <v>Financial liabilities held for trading and designated at fair value through profit or loss</v>
      </c>
      <c r="B95" s="79">
        <v>523.61834607545734</v>
      </c>
      <c r="C95" s="79">
        <v>923.29541607945418</v>
      </c>
      <c r="D95" s="79">
        <v>809.97596893195157</v>
      </c>
      <c r="E95" s="89">
        <v>786.89953673467267</v>
      </c>
      <c r="F95" s="70">
        <v>778.41264038118334</v>
      </c>
      <c r="G95" s="70">
        <v>867.88585484007206</v>
      </c>
      <c r="H95" s="70">
        <v>0</v>
      </c>
      <c r="I95" s="70">
        <v>0</v>
      </c>
    </row>
    <row r="96" spans="1:9">
      <c r="A96" s="111" t="str">
        <f>HLOOKUP(INDICE!$F$2,Nombres!$C$3:$D$636,60,FALSE)</f>
        <v>Deposits from central banks and credit institutions</v>
      </c>
      <c r="B96" s="79">
        <v>2712.637364382349</v>
      </c>
      <c r="C96" s="79">
        <v>2763.5526197850172</v>
      </c>
      <c r="D96" s="79">
        <v>5212.5168521975238</v>
      </c>
      <c r="E96" s="89">
        <v>5224.4574839742818</v>
      </c>
      <c r="F96" s="70">
        <v>5092.6114908558829</v>
      </c>
      <c r="G96" s="70">
        <v>7287.9927055602293</v>
      </c>
      <c r="H96" s="70">
        <v>0</v>
      </c>
      <c r="I96" s="70">
        <v>0</v>
      </c>
    </row>
    <row r="97" spans="1:9">
      <c r="A97" s="111" t="str">
        <f>HLOOKUP(INDICE!$F$2,Nombres!$C$3:$D$636,61,FALSE)</f>
        <v>Deposits from customers</v>
      </c>
      <c r="B97" s="79">
        <v>27478.280986253689</v>
      </c>
      <c r="C97" s="79">
        <v>26177.821867875515</v>
      </c>
      <c r="D97" s="79">
        <v>35510.195830167264</v>
      </c>
      <c r="E97" s="89">
        <v>41308.824124786021</v>
      </c>
      <c r="F97" s="70">
        <v>38152.533538924312</v>
      </c>
      <c r="G97" s="70">
        <v>41027.096920839438</v>
      </c>
      <c r="H97" s="70">
        <v>0</v>
      </c>
      <c r="I97" s="70">
        <v>0</v>
      </c>
    </row>
    <row r="98" spans="1:9">
      <c r="A98" s="7" t="str">
        <f>HLOOKUP(INDICE!$F$2,Nombres!$C$3:$D$636,62,FALSE)</f>
        <v>Debt certificates</v>
      </c>
      <c r="B98" s="70">
        <v>1528.3304767356763</v>
      </c>
      <c r="C98" s="70">
        <v>1582.6149943112332</v>
      </c>
      <c r="D98" s="70">
        <v>1682.2291683380556</v>
      </c>
      <c r="E98" s="71">
        <v>1827.1816135264096</v>
      </c>
      <c r="F98" s="70">
        <v>1917.9847188316833</v>
      </c>
      <c r="G98" s="70">
        <v>2176.8772087334614</v>
      </c>
      <c r="H98" s="70">
        <v>0</v>
      </c>
      <c r="I98" s="70">
        <v>0</v>
      </c>
    </row>
    <row r="99" spans="1:9">
      <c r="A99" s="111" t="str">
        <f>HLOOKUP(INDICE!$F$2,Nombres!$C$3:$D$636,122,FALSE)</f>
        <v>Inter-area positions</v>
      </c>
      <c r="B99" s="70">
        <v>25398.974015437332</v>
      </c>
      <c r="C99" s="70">
        <v>33340.921494394126</v>
      </c>
      <c r="D99" s="70">
        <v>27568.784788475838</v>
      </c>
      <c r="E99" s="71">
        <v>33307.391238385964</v>
      </c>
      <c r="F99" s="70">
        <v>42551.787851442976</v>
      </c>
      <c r="G99" s="70">
        <v>58421.798411035888</v>
      </c>
      <c r="H99" s="70">
        <v>0</v>
      </c>
      <c r="I99" s="70">
        <v>0</v>
      </c>
    </row>
    <row r="100" spans="1:9">
      <c r="A100" s="7" t="str">
        <f>HLOOKUP(INDICE!$F$2,Nombres!$C$3:$D$636,63,FALSE)</f>
        <v>Other liabilities</v>
      </c>
      <c r="B100" s="79">
        <f t="shared" ref="B100:I100" si="16">+B94-B95-B96-B97-B98-B101-B99</f>
        <v>1110.1725861205414</v>
      </c>
      <c r="C100" s="79">
        <f t="shared" si="16"/>
        <v>1324.9363236204226</v>
      </c>
      <c r="D100" s="79">
        <f t="shared" si="16"/>
        <v>1842.3924193888743</v>
      </c>
      <c r="E100" s="89">
        <f t="shared" si="16"/>
        <v>1912.8275869204299</v>
      </c>
      <c r="F100" s="79">
        <f t="shared" si="16"/>
        <v>1624.5267280263943</v>
      </c>
      <c r="G100" s="79">
        <f t="shared" si="16"/>
        <v>1940.5264082316498</v>
      </c>
      <c r="H100" s="79">
        <f t="shared" si="16"/>
        <v>0</v>
      </c>
      <c r="I100" s="79">
        <f t="shared" si="16"/>
        <v>0</v>
      </c>
    </row>
    <row r="101" spans="1:9">
      <c r="A101" s="7" t="str">
        <f>HLOOKUP(INDICE!$F$2,Nombres!$C$3:$D$636,282,FALSE)</f>
        <v>Allocated regulatory capital</v>
      </c>
      <c r="B101" s="79">
        <v>4424.7014104130249</v>
      </c>
      <c r="C101" s="79">
        <v>4595.9345997031578</v>
      </c>
      <c r="D101" s="79">
        <v>4874.931596174305</v>
      </c>
      <c r="E101" s="79">
        <v>5281.0566384360336</v>
      </c>
      <c r="F101" s="79">
        <v>5543.3874768341711</v>
      </c>
      <c r="G101" s="79">
        <v>6294.0463451419073</v>
      </c>
      <c r="H101" s="79">
        <v>0</v>
      </c>
      <c r="I101" s="79">
        <v>0</v>
      </c>
    </row>
    <row r="102" spans="1:9">
      <c r="A102" s="8"/>
      <c r="B102" s="79"/>
      <c r="C102" s="79"/>
      <c r="D102" s="79"/>
      <c r="E102" s="79"/>
      <c r="F102" s="70"/>
      <c r="G102" s="70"/>
      <c r="H102" s="70"/>
      <c r="I102" s="70"/>
    </row>
    <row r="103" spans="1:9">
      <c r="A103" s="7"/>
      <c r="B103" s="79"/>
      <c r="C103" s="79"/>
      <c r="D103" s="79"/>
      <c r="E103" s="79"/>
      <c r="F103" s="70"/>
      <c r="G103" s="70"/>
      <c r="H103" s="70"/>
      <c r="I103" s="70"/>
    </row>
    <row r="104" spans="1:9" ht="17">
      <c r="A104" s="106" t="str">
        <f>HLOOKUP(INDICE!$F$2,Nombres!$C$3:$D$636,65,FALSE)</f>
        <v>Relevant business indicators</v>
      </c>
      <c r="B104" s="60"/>
      <c r="C104" s="60"/>
      <c r="D104" s="60"/>
      <c r="E104" s="60"/>
      <c r="F104" s="95"/>
      <c r="G104" s="95"/>
      <c r="H104" s="95"/>
      <c r="I104" s="95"/>
    </row>
    <row r="105" spans="1:9">
      <c r="A105" s="107" t="str">
        <f>HLOOKUP(INDICE!$F$2,Nombres!$C$3:$D$636,73,FALSE)</f>
        <v xml:space="preserve">(Constant million euros)    </v>
      </c>
      <c r="B105" s="57"/>
      <c r="C105" s="57"/>
      <c r="D105" s="57"/>
      <c r="E105" s="57"/>
      <c r="F105" s="96"/>
      <c r="G105" s="70"/>
      <c r="H105" s="70"/>
      <c r="I105" s="70"/>
    </row>
    <row r="106" spans="1:9">
      <c r="A106" s="57"/>
      <c r="B106" s="80">
        <f t="shared" ref="B106:I106" si="17">+B$30</f>
        <v>45747</v>
      </c>
      <c r="C106" s="80">
        <f t="shared" si="17"/>
        <v>45838</v>
      </c>
      <c r="D106" s="80">
        <f t="shared" si="17"/>
        <v>45930</v>
      </c>
      <c r="E106" s="92">
        <f t="shared" si="17"/>
        <v>46022</v>
      </c>
      <c r="F106" s="80">
        <f t="shared" si="17"/>
        <v>46112</v>
      </c>
      <c r="G106" s="80">
        <f t="shared" si="17"/>
        <v>46203</v>
      </c>
      <c r="H106" s="80">
        <f t="shared" si="17"/>
        <v>46295</v>
      </c>
      <c r="I106" s="80">
        <f t="shared" si="17"/>
        <v>46387</v>
      </c>
    </row>
    <row r="107" spans="1:9">
      <c r="A107" s="111" t="str">
        <f>HLOOKUP(INDICE!$F$2,Nombres!$C$3:$D$636,66,FALSE)</f>
        <v>Loans and advances to customers (gross) (*)</v>
      </c>
      <c r="B107" s="70">
        <v>49273.799288608454</v>
      </c>
      <c r="C107" s="70">
        <v>56692.068312005984</v>
      </c>
      <c r="D107" s="70">
        <v>59180.732923835742</v>
      </c>
      <c r="E107" s="71">
        <v>67457.971158094006</v>
      </c>
      <c r="F107" s="70">
        <v>75959.41732914008</v>
      </c>
      <c r="G107" s="70">
        <v>86623.863607131527</v>
      </c>
      <c r="H107" s="70">
        <v>0</v>
      </c>
      <c r="I107" s="70">
        <v>0</v>
      </c>
    </row>
    <row r="108" spans="1:9">
      <c r="A108" s="111" t="str">
        <f>HLOOKUP(INDICE!$F$2,Nombres!$C$3:$D$636,67,FALSE)</f>
        <v>Customer deposits under management (*)</v>
      </c>
      <c r="B108" s="70">
        <v>27478.280986253678</v>
      </c>
      <c r="C108" s="70">
        <v>26177.821867875518</v>
      </c>
      <c r="D108" s="70">
        <v>35510.195830167264</v>
      </c>
      <c r="E108" s="71">
        <v>41308.824124786042</v>
      </c>
      <c r="F108" s="70">
        <v>38152.533538924305</v>
      </c>
      <c r="G108" s="70">
        <v>41027.096920839453</v>
      </c>
      <c r="H108" s="70">
        <v>0</v>
      </c>
      <c r="I108" s="70">
        <v>0</v>
      </c>
    </row>
    <row r="109" spans="1:9">
      <c r="A109" s="7" t="str">
        <f>HLOOKUP(INDICE!$F$2,Nombres!$C$3:$D$636,68,FALSE)</f>
        <v>Investment funds and managed portfolios</v>
      </c>
      <c r="B109" s="70">
        <v>0</v>
      </c>
      <c r="C109" s="70">
        <v>0</v>
      </c>
      <c r="D109" s="70">
        <v>0</v>
      </c>
      <c r="E109" s="71">
        <v>0</v>
      </c>
      <c r="F109" s="70">
        <v>0</v>
      </c>
      <c r="G109" s="70">
        <v>0</v>
      </c>
      <c r="H109" s="70">
        <v>0</v>
      </c>
      <c r="I109" s="70">
        <v>0</v>
      </c>
    </row>
    <row r="110" spans="1:9">
      <c r="A110" s="111" t="str">
        <f>HLOOKUP(INDICE!$F$2,Nombres!$C$3:$D$636,69,FALSE)</f>
        <v>Pension funds</v>
      </c>
      <c r="B110" s="70">
        <v>655</v>
      </c>
      <c r="C110" s="70">
        <v>681.75939010000002</v>
      </c>
      <c r="D110" s="70">
        <v>686.829971</v>
      </c>
      <c r="E110" s="71">
        <v>735.87697260000004</v>
      </c>
      <c r="F110" s="70">
        <v>754.70387359999995</v>
      </c>
      <c r="G110" s="70">
        <v>783.15508629999999</v>
      </c>
      <c r="H110" s="70">
        <v>0</v>
      </c>
      <c r="I110" s="70">
        <v>0</v>
      </c>
    </row>
    <row r="111" spans="1:9">
      <c r="A111" s="111" t="str">
        <f>HLOOKUP(INDICE!$F$2,Nombres!$C$3:$D$636,70,FALSE)</f>
        <v>Other off balance-sheet funds</v>
      </c>
      <c r="B111" s="70">
        <v>0</v>
      </c>
      <c r="C111" s="70">
        <v>0</v>
      </c>
      <c r="D111" s="70">
        <v>0</v>
      </c>
      <c r="E111" s="71">
        <v>0</v>
      </c>
      <c r="F111" s="70">
        <v>0</v>
      </c>
      <c r="G111" s="70">
        <v>0</v>
      </c>
      <c r="H111" s="70">
        <v>0</v>
      </c>
      <c r="I111" s="70">
        <v>0</v>
      </c>
    </row>
    <row r="112" spans="1:9">
      <c r="A112" s="115" t="str">
        <f>HLOOKUP(INDICE!$F$2,Nombres!$C$3:$D$636,71,FALSE)</f>
        <v xml:space="preserve">(*) Excluding repos. </v>
      </c>
      <c r="B112" s="79"/>
      <c r="C112" s="79"/>
      <c r="D112" s="79"/>
      <c r="E112" s="79"/>
      <c r="F112" s="79"/>
      <c r="G112" s="79"/>
      <c r="H112" s="79"/>
      <c r="I112" s="79"/>
    </row>
    <row r="113" spans="1:9">
      <c r="A113" s="115">
        <f>HLOOKUP(INDICE!$F$2,Nombres!$C$3:$D$636,72,FALSE)</f>
        <v>0</v>
      </c>
      <c r="B113" s="57"/>
      <c r="C113" s="57"/>
      <c r="D113" s="57"/>
      <c r="E113" s="57"/>
      <c r="F113" s="57"/>
      <c r="G113" s="57"/>
      <c r="H113" s="57"/>
      <c r="I113" s="57"/>
    </row>
    <row r="114" spans="1:9">
      <c r="A114" s="8"/>
      <c r="B114" s="79"/>
      <c r="C114" s="70"/>
      <c r="D114" s="70"/>
      <c r="E114" s="70"/>
      <c r="F114" s="70"/>
      <c r="G114" s="57"/>
      <c r="H114" s="57"/>
      <c r="I114" s="57"/>
    </row>
    <row r="120" spans="1:9">
      <c r="F120" s="102"/>
      <c r="G120" s="102"/>
      <c r="H120" s="102"/>
      <c r="I120" s="102"/>
    </row>
    <row r="121" spans="1:9">
      <c r="F121" s="102"/>
      <c r="G121" s="102"/>
      <c r="H121" s="102"/>
      <c r="I121" s="102"/>
    </row>
    <row r="122" spans="1:9">
      <c r="F122" s="102"/>
      <c r="G122" s="102"/>
      <c r="H122" s="102"/>
      <c r="I122" s="102"/>
    </row>
    <row r="123" spans="1:9">
      <c r="F123" s="102"/>
      <c r="G123" s="102"/>
      <c r="H123" s="102"/>
      <c r="I123" s="102"/>
    </row>
    <row r="124" spans="1:9">
      <c r="F124" s="102"/>
      <c r="G124" s="102"/>
      <c r="H124" s="102"/>
      <c r="I124" s="102"/>
    </row>
    <row r="125" spans="1:9">
      <c r="F125" s="102"/>
      <c r="G125" s="102"/>
      <c r="H125" s="102"/>
      <c r="I125" s="102"/>
    </row>
    <row r="126" spans="1:9">
      <c r="F126" s="102"/>
      <c r="G126" s="102"/>
      <c r="H126" s="102"/>
      <c r="I126" s="102"/>
    </row>
    <row r="127" spans="1:9">
      <c r="F127" s="102"/>
      <c r="G127" s="102"/>
      <c r="H127" s="102"/>
      <c r="I127" s="102"/>
    </row>
    <row r="128" spans="1:9">
      <c r="F128" s="102"/>
      <c r="G128" s="102"/>
      <c r="H128" s="102"/>
      <c r="I128" s="102"/>
    </row>
    <row r="129" spans="6:9">
      <c r="F129" s="102"/>
      <c r="G129" s="102"/>
      <c r="H129" s="102"/>
      <c r="I129" s="102"/>
    </row>
    <row r="130" spans="6:9">
      <c r="F130" s="102"/>
      <c r="G130" s="102"/>
      <c r="H130" s="102"/>
      <c r="I130" s="102"/>
    </row>
    <row r="131" spans="6:9">
      <c r="F131" s="102"/>
      <c r="G131" s="102"/>
      <c r="H131" s="102"/>
      <c r="I131" s="102"/>
    </row>
    <row r="132" spans="6:9">
      <c r="F132" s="102"/>
      <c r="G132" s="102"/>
      <c r="H132" s="102"/>
      <c r="I132" s="102"/>
    </row>
    <row r="133" spans="6:9">
      <c r="F133" s="102"/>
      <c r="G133" s="102"/>
      <c r="H133" s="102"/>
      <c r="I133" s="102"/>
    </row>
    <row r="134" spans="6:9">
      <c r="F134" s="102"/>
      <c r="G134" s="102"/>
      <c r="H134" s="102"/>
      <c r="I134" s="102"/>
    </row>
    <row r="135" spans="6:9">
      <c r="F135" s="102"/>
      <c r="G135" s="102"/>
      <c r="H135" s="102"/>
      <c r="I135" s="102"/>
    </row>
    <row r="136" spans="6:9">
      <c r="F136" s="102"/>
      <c r="G136" s="102"/>
      <c r="H136" s="102"/>
      <c r="I136" s="102"/>
    </row>
    <row r="137" spans="6:9">
      <c r="F137" s="102"/>
      <c r="G137" s="102"/>
      <c r="H137" s="102"/>
      <c r="I137" s="102"/>
    </row>
    <row r="138" spans="6:9">
      <c r="F138" s="102"/>
      <c r="G138" s="102"/>
      <c r="H138" s="102"/>
      <c r="I138" s="102"/>
    </row>
    <row r="139" spans="6:9">
      <c r="F139" s="102"/>
      <c r="G139" s="102"/>
      <c r="H139" s="102"/>
      <c r="I139" s="102"/>
    </row>
    <row r="140" spans="6:9">
      <c r="F140" s="102"/>
      <c r="G140" s="102"/>
      <c r="H140" s="102"/>
      <c r="I140" s="102"/>
    </row>
    <row r="141" spans="6:9">
      <c r="F141" s="102"/>
      <c r="G141" s="102"/>
      <c r="H141" s="102"/>
      <c r="I141" s="102"/>
    </row>
    <row r="142" spans="6:9">
      <c r="F142" s="102"/>
      <c r="G142" s="102"/>
      <c r="H142" s="102"/>
      <c r="I142" s="102"/>
    </row>
    <row r="143" spans="6:9">
      <c r="F143" s="102"/>
      <c r="G143" s="102"/>
      <c r="H143" s="102"/>
      <c r="I143" s="102"/>
    </row>
    <row r="144" spans="6:9">
      <c r="F144" s="102"/>
      <c r="G144" s="102"/>
      <c r="H144" s="102"/>
      <c r="I144" s="102"/>
    </row>
    <row r="145" spans="6:9">
      <c r="F145" s="102"/>
      <c r="G145" s="102"/>
      <c r="H145" s="102"/>
      <c r="I145" s="102"/>
    </row>
    <row r="146" spans="6:9">
      <c r="F146" s="102"/>
      <c r="G146" s="102"/>
      <c r="H146" s="102"/>
      <c r="I146" s="102"/>
    </row>
    <row r="147" spans="6:9">
      <c r="F147" s="102"/>
      <c r="G147" s="102"/>
      <c r="H147" s="102"/>
      <c r="I147" s="102"/>
    </row>
    <row r="148" spans="6:9">
      <c r="F148" s="102"/>
      <c r="G148" s="102"/>
      <c r="H148" s="102"/>
      <c r="I148" s="102"/>
    </row>
    <row r="149" spans="6:9">
      <c r="F149" s="102"/>
      <c r="G149" s="102"/>
      <c r="H149" s="102"/>
      <c r="I149" s="102"/>
    </row>
    <row r="150" spans="6:9">
      <c r="F150" s="102"/>
      <c r="G150" s="102"/>
      <c r="H150" s="102"/>
      <c r="I150" s="102"/>
    </row>
    <row r="151" spans="6:9">
      <c r="F151" s="102"/>
      <c r="G151" s="102"/>
      <c r="H151" s="102"/>
      <c r="I151" s="102"/>
    </row>
    <row r="152" spans="6:9">
      <c r="F152" s="102"/>
      <c r="G152" s="102"/>
      <c r="H152" s="102"/>
      <c r="I152" s="102"/>
    </row>
    <row r="153" spans="6:9">
      <c r="F153" s="102"/>
      <c r="G153" s="102"/>
      <c r="H153" s="102"/>
      <c r="I153" s="102"/>
    </row>
    <row r="154" spans="6:9">
      <c r="F154" s="102"/>
      <c r="G154" s="102"/>
      <c r="H154" s="102"/>
      <c r="I154" s="102"/>
    </row>
    <row r="155" spans="6:9">
      <c r="F155" s="102"/>
      <c r="G155" s="102"/>
      <c r="H155" s="102"/>
      <c r="I155" s="102"/>
    </row>
    <row r="156" spans="6:9">
      <c r="F156" s="102"/>
      <c r="G156" s="102"/>
      <c r="H156" s="102"/>
      <c r="I156" s="102"/>
    </row>
    <row r="157" spans="6:9">
      <c r="F157" s="102"/>
      <c r="G157" s="102"/>
      <c r="H157" s="102"/>
      <c r="I157" s="102"/>
    </row>
    <row r="158" spans="6:9">
      <c r="F158" s="102"/>
      <c r="G158" s="102"/>
      <c r="H158" s="102"/>
      <c r="I158" s="102"/>
    </row>
    <row r="159" spans="6:9">
      <c r="F159" s="102"/>
      <c r="G159" s="102"/>
      <c r="H159" s="102"/>
      <c r="I159" s="102"/>
    </row>
    <row r="160" spans="6:9">
      <c r="F160" s="102"/>
      <c r="G160" s="102"/>
      <c r="H160" s="102"/>
      <c r="I160" s="102"/>
    </row>
    <row r="161" spans="6:9">
      <c r="F161" s="102"/>
      <c r="G161" s="102"/>
      <c r="H161" s="102"/>
      <c r="I161" s="102"/>
    </row>
    <row r="162" spans="6:9">
      <c r="F162" s="102"/>
      <c r="G162" s="102"/>
      <c r="H162" s="102"/>
      <c r="I162" s="102"/>
    </row>
    <row r="163" spans="6:9">
      <c r="F163" s="102"/>
      <c r="G163" s="102"/>
      <c r="H163" s="102"/>
      <c r="I163" s="102"/>
    </row>
    <row r="164" spans="6:9">
      <c r="F164" s="102"/>
      <c r="G164" s="102"/>
      <c r="H164" s="102"/>
      <c r="I164" s="102"/>
    </row>
    <row r="165" spans="6:9">
      <c r="F165" s="102"/>
      <c r="G165" s="102"/>
      <c r="H165" s="102"/>
      <c r="I165" s="102"/>
    </row>
    <row r="166" spans="6:9">
      <c r="F166" s="102"/>
      <c r="G166" s="102"/>
      <c r="H166" s="102"/>
      <c r="I166" s="102"/>
    </row>
    <row r="1000" spans="1:1">
      <c r="A1000" t="s">
        <v>557</v>
      </c>
    </row>
  </sheetData>
  <mergeCells count="4">
    <mergeCell ref="B6:E6"/>
    <mergeCell ref="F6:I6"/>
    <mergeCell ref="B62:E62"/>
    <mergeCell ref="F62:I62"/>
  </mergeCells>
  <conditionalFormatting sqref="B26:I26">
    <cfRule type="cellIs" dxfId="20" priority="2" operator="notBetween">
      <formula>0.5</formula>
      <formula>-0.5</formula>
    </cfRule>
  </conditionalFormatting>
  <conditionalFormatting sqref="B82:I82">
    <cfRule type="cellIs" dxfId="19" priority="1" operator="notBetween">
      <formula>0.5</formula>
      <formula>-0.5</formula>
    </cfRule>
  </conditionalFormatting>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AD70F-0905-4159-8EFB-33C97E1294D9}">
  <sheetPr>
    <tabColor theme="8"/>
  </sheetPr>
  <dimension ref="A1:O163"/>
  <sheetViews>
    <sheetView showGridLines="0" zoomScaleNormal="100" workbookViewId="0">
      <selection activeCell="I1" sqref="H1:I1048576"/>
    </sheetView>
  </sheetViews>
  <sheetFormatPr baseColWidth="10" defaultColWidth="11.453125" defaultRowHeight="14.5"/>
  <cols>
    <col min="1" max="1" width="63.7265625" customWidth="1"/>
    <col min="2" max="2" width="10.453125" customWidth="1"/>
    <col min="8" max="9" width="0" hidden="1" customWidth="1"/>
  </cols>
  <sheetData>
    <row r="1" spans="1:15" ht="17">
      <c r="A1" s="105" t="str">
        <f>HLOOKUP(INDICE!$F$2,Nombres!$C$3:$D$636,19,FALSE)</f>
        <v xml:space="preserve">Corporate Center </v>
      </c>
      <c r="B1" s="57"/>
      <c r="C1" s="57"/>
      <c r="D1" s="57"/>
      <c r="E1" s="57"/>
      <c r="F1" s="57"/>
      <c r="G1" s="57"/>
      <c r="H1" s="57"/>
      <c r="I1" s="57"/>
    </row>
    <row r="2" spans="1:15" ht="19.5">
      <c r="A2" s="58"/>
      <c r="B2" s="57"/>
      <c r="C2" s="57"/>
      <c r="D2" s="57"/>
      <c r="E2" s="57"/>
      <c r="F2" s="57"/>
      <c r="G2" s="57"/>
      <c r="H2" s="57"/>
      <c r="I2" s="57"/>
    </row>
    <row r="3" spans="1:15" ht="17">
      <c r="A3" s="106" t="str">
        <f>HLOOKUP(INDICE!$F$2,Nombres!$C$3:$D$636,31,FALSE)</f>
        <v xml:space="preserve">Income statement  </v>
      </c>
      <c r="B3" s="60"/>
      <c r="C3" s="60"/>
      <c r="D3" s="60"/>
      <c r="E3" s="60"/>
      <c r="F3" s="60"/>
      <c r="G3" s="60"/>
      <c r="H3" s="60"/>
      <c r="I3" s="60"/>
    </row>
    <row r="4" spans="1:15">
      <c r="A4" s="107" t="str">
        <f>HLOOKUP(INDICE!$F$2,Nombres!$C$3:$D$636,32,FALSE)</f>
        <v>(Million euros)</v>
      </c>
      <c r="B4" s="57"/>
      <c r="C4" s="61"/>
      <c r="D4" s="61"/>
      <c r="E4" s="61"/>
      <c r="F4" s="57"/>
      <c r="G4" s="57"/>
      <c r="H4" s="57"/>
      <c r="I4" s="57"/>
    </row>
    <row r="5" spans="1:15">
      <c r="A5" s="62"/>
      <c r="B5" s="57"/>
      <c r="C5" s="61"/>
      <c r="D5" s="61"/>
      <c r="E5" s="61"/>
      <c r="F5" s="57"/>
      <c r="G5" s="57"/>
      <c r="H5" s="57"/>
      <c r="I5" s="57"/>
    </row>
    <row r="6" spans="1:15">
      <c r="A6" s="63"/>
      <c r="B6" s="257">
        <f>+España!B6</f>
        <v>2025</v>
      </c>
      <c r="C6" s="257"/>
      <c r="D6" s="257"/>
      <c r="E6" s="258"/>
      <c r="F6" s="257">
        <f>+España!F6</f>
        <v>2026</v>
      </c>
      <c r="G6" s="257"/>
      <c r="H6" s="257"/>
      <c r="I6" s="257"/>
    </row>
    <row r="7" spans="1:15">
      <c r="A7" s="63"/>
      <c r="B7" s="108" t="str">
        <f>+España!B7</f>
        <v>1Q</v>
      </c>
      <c r="C7" s="108" t="str">
        <f>+España!C7</f>
        <v>2Q</v>
      </c>
      <c r="D7" s="108" t="str">
        <f>+España!D7</f>
        <v>3Q</v>
      </c>
      <c r="E7" s="109" t="str">
        <f>+España!E7</f>
        <v>4Q</v>
      </c>
      <c r="F7" s="108" t="str">
        <f>+España!F7</f>
        <v>1Q</v>
      </c>
      <c r="G7" s="108" t="str">
        <f>+España!G7</f>
        <v>2Q</v>
      </c>
      <c r="H7" s="108" t="str">
        <f>+España!H7</f>
        <v>3Q</v>
      </c>
      <c r="I7" s="108" t="str">
        <f>+España!I7</f>
        <v>4Q</v>
      </c>
    </row>
    <row r="8" spans="1:15">
      <c r="A8" s="17" t="str">
        <f>HLOOKUP(INDICE!$F$2,Nombres!$C$3:$D$636,33,FALSE)</f>
        <v>Net interest income</v>
      </c>
      <c r="B8" s="17">
        <v>-88.295080894836147</v>
      </c>
      <c r="C8" s="17">
        <v>-93.852774011298919</v>
      </c>
      <c r="D8" s="17">
        <v>-119.12908290327607</v>
      </c>
      <c r="E8" s="66">
        <v>-142.39602540207053</v>
      </c>
      <c r="F8" s="67">
        <v>-82.62274732296693</v>
      </c>
      <c r="G8" s="67">
        <v>-119.32604448547265</v>
      </c>
      <c r="H8" s="110">
        <v>0</v>
      </c>
      <c r="I8" s="110">
        <v>0</v>
      </c>
      <c r="J8" s="11"/>
      <c r="K8" s="11"/>
      <c r="L8" s="11"/>
      <c r="M8" s="11"/>
      <c r="N8" s="11"/>
      <c r="O8" s="11"/>
    </row>
    <row r="9" spans="1:15">
      <c r="A9" s="111" t="str">
        <f>HLOOKUP(INDICE!$F$2,Nombres!$C$3:$D$636,34,FALSE)</f>
        <v>Net fees and commissions</v>
      </c>
      <c r="B9" s="70">
        <v>-20.753253117710681</v>
      </c>
      <c r="C9" s="70">
        <v>-33.613703535221056</v>
      </c>
      <c r="D9" s="70">
        <v>-20.826968956433653</v>
      </c>
      <c r="E9" s="71">
        <v>-37.562216131626208</v>
      </c>
      <c r="F9" s="70">
        <v>-25.272278704342611</v>
      </c>
      <c r="G9" s="70">
        <v>-48.548867967542378</v>
      </c>
      <c r="H9" s="70">
        <v>0</v>
      </c>
      <c r="I9" s="70">
        <v>0</v>
      </c>
    </row>
    <row r="10" spans="1:15">
      <c r="A10" s="111" t="str">
        <f>HLOOKUP(INDICE!$F$2,Nombres!$C$3:$D$636,35,FALSE)</f>
        <v>Net trading income</v>
      </c>
      <c r="B10" s="70">
        <v>61.379241786030086</v>
      </c>
      <c r="C10" s="70">
        <v>-146.37706996485608</v>
      </c>
      <c r="D10" s="70">
        <v>-101.00658072912164</v>
      </c>
      <c r="E10" s="71">
        <v>-13.961516669493768</v>
      </c>
      <c r="F10" s="70">
        <v>-117.63118039996496</v>
      </c>
      <c r="G10" s="70">
        <v>-114.54131150955911</v>
      </c>
      <c r="H10" s="70">
        <v>0</v>
      </c>
      <c r="I10" s="70">
        <v>0</v>
      </c>
    </row>
    <row r="11" spans="1:15">
      <c r="A11" s="111" t="str">
        <f>HLOOKUP(INDICE!$F$2,Nombres!$C$3:$D$636,36,FALSE)</f>
        <v>Other operating income and expenses</v>
      </c>
      <c r="B11" s="70">
        <v>7.8575155580244092</v>
      </c>
      <c r="C11" s="70">
        <v>53.942106576071147</v>
      </c>
      <c r="D11" s="70">
        <v>0.49981926824935147</v>
      </c>
      <c r="E11" s="71">
        <v>55.750261269186531</v>
      </c>
      <c r="F11" s="70">
        <v>17.912540940070702</v>
      </c>
      <c r="G11" s="70">
        <v>59.711111625808115</v>
      </c>
      <c r="H11" s="70">
        <v>0</v>
      </c>
      <c r="I11" s="70">
        <v>0</v>
      </c>
    </row>
    <row r="12" spans="1:15">
      <c r="A12" s="17" t="str">
        <f>HLOOKUP(INDICE!$F$2,Nombres!$C$3:$D$636,37,FALSE)</f>
        <v>Gross income</v>
      </c>
      <c r="B12" s="17">
        <f t="shared" ref="B12:I12" si="0">+SUM(B8:B11)</f>
        <v>-39.811576668492336</v>
      </c>
      <c r="C12" s="17">
        <f t="shared" si="0"/>
        <v>-219.90144093530492</v>
      </c>
      <c r="D12" s="17">
        <f t="shared" si="0"/>
        <v>-240.462813320582</v>
      </c>
      <c r="E12" s="66">
        <f t="shared" si="0"/>
        <v>-138.16949693400397</v>
      </c>
      <c r="F12" s="67">
        <f t="shared" si="0"/>
        <v>-207.6136654872038</v>
      </c>
      <c r="G12" s="67">
        <f t="shared" si="0"/>
        <v>-222.70511233676601</v>
      </c>
      <c r="H12" s="67">
        <f t="shared" si="0"/>
        <v>0</v>
      </c>
      <c r="I12" s="67">
        <f t="shared" si="0"/>
        <v>0</v>
      </c>
    </row>
    <row r="13" spans="1:15">
      <c r="A13" s="111" t="str">
        <f>HLOOKUP(INDICE!$F$2,Nombres!$C$3:$D$636,38,FALSE)</f>
        <v>Operating expenses</v>
      </c>
      <c r="B13" s="70">
        <v>-190.498978545071</v>
      </c>
      <c r="C13" s="70">
        <v>-109.63330005698521</v>
      </c>
      <c r="D13" s="70">
        <v>-223.60110919994585</v>
      </c>
      <c r="E13" s="71">
        <v>-266.0692910447143</v>
      </c>
      <c r="F13" s="70">
        <v>-242.11740846961735</v>
      </c>
      <c r="G13" s="70">
        <v>-156.6371533744466</v>
      </c>
      <c r="H13" s="70">
        <v>0</v>
      </c>
      <c r="I13" s="70">
        <v>0</v>
      </c>
    </row>
    <row r="14" spans="1:15">
      <c r="A14" s="111" t="str">
        <f>HLOOKUP(INDICE!$F$2,Nombres!$C$3:$D$636,39,FALSE)</f>
        <v xml:space="preserve">  Administration expenses</v>
      </c>
      <c r="B14" s="70">
        <v>-136.01615650439101</v>
      </c>
      <c r="C14" s="70">
        <v>-56.808331903205072</v>
      </c>
      <c r="D14" s="70">
        <v>-172.03372848993581</v>
      </c>
      <c r="E14" s="71">
        <v>-211.74039594261455</v>
      </c>
      <c r="F14" s="70">
        <v>-185.72763898925734</v>
      </c>
      <c r="G14" s="70">
        <v>-103.65116450635666</v>
      </c>
      <c r="H14" s="70">
        <v>0</v>
      </c>
      <c r="I14" s="70">
        <v>0</v>
      </c>
    </row>
    <row r="15" spans="1:15">
      <c r="A15" s="112" t="str">
        <f>HLOOKUP(INDICE!$F$2,Nombres!$C$3:$D$636,40,FALSE)</f>
        <v xml:space="preserve">  Personnel expenses</v>
      </c>
      <c r="B15" s="70">
        <v>-204.84012370691971</v>
      </c>
      <c r="C15" s="70">
        <v>-202.72775496357914</v>
      </c>
      <c r="D15" s="70">
        <v>-218.74050942529354</v>
      </c>
      <c r="E15" s="71">
        <v>-244.03872570042651</v>
      </c>
      <c r="F15" s="70">
        <v>-277.20669327038024</v>
      </c>
      <c r="G15" s="70">
        <v>-223.40721034588987</v>
      </c>
      <c r="H15" s="70">
        <v>0</v>
      </c>
      <c r="I15" s="70">
        <v>0</v>
      </c>
    </row>
    <row r="16" spans="1:15">
      <c r="A16" s="112" t="str">
        <f>HLOOKUP(INDICE!$F$2,Nombres!$C$3:$D$636,41,FALSE)</f>
        <v xml:space="preserve">  General and administrative expenses</v>
      </c>
      <c r="B16" s="70">
        <v>68.823967202528664</v>
      </c>
      <c r="C16" s="70">
        <v>145.91942306037407</v>
      </c>
      <c r="D16" s="70">
        <v>46.706780935357699</v>
      </c>
      <c r="E16" s="71">
        <v>32.29832975781212</v>
      </c>
      <c r="F16" s="70">
        <v>91.479054281122842</v>
      </c>
      <c r="G16" s="70">
        <v>119.75604583953313</v>
      </c>
      <c r="H16" s="70">
        <v>0</v>
      </c>
      <c r="I16" s="70">
        <v>0</v>
      </c>
    </row>
    <row r="17" spans="1:9">
      <c r="A17" s="111" t="str">
        <f>HLOOKUP(INDICE!$F$2,Nombres!$C$3:$D$636,42,FALSE)</f>
        <v xml:space="preserve">  Depreciation</v>
      </c>
      <c r="B17" s="70">
        <v>-54.482822040679977</v>
      </c>
      <c r="C17" s="70">
        <v>-52.82496815378007</v>
      </c>
      <c r="D17" s="70">
        <v>-51.567380710010049</v>
      </c>
      <c r="E17" s="71">
        <v>-54.328895102099864</v>
      </c>
      <c r="F17" s="70">
        <v>-56.38976948036003</v>
      </c>
      <c r="G17" s="70">
        <v>-52.985988868089926</v>
      </c>
      <c r="H17" s="70">
        <v>0</v>
      </c>
      <c r="I17" s="70">
        <v>0</v>
      </c>
    </row>
    <row r="18" spans="1:9">
      <c r="A18" s="17" t="str">
        <f>HLOOKUP(INDICE!$F$2,Nombres!$C$3:$D$636,43,FALSE)</f>
        <v>Operating income</v>
      </c>
      <c r="B18" s="17">
        <f t="shared" ref="B18:I18" si="1">+B12+B13</f>
        <v>-230.31055521356333</v>
      </c>
      <c r="C18" s="17">
        <f t="shared" si="1"/>
        <v>-329.53474099229015</v>
      </c>
      <c r="D18" s="17">
        <f t="shared" si="1"/>
        <v>-464.06392252052785</v>
      </c>
      <c r="E18" s="66">
        <f t="shared" si="1"/>
        <v>-404.23878797871828</v>
      </c>
      <c r="F18" s="67">
        <f t="shared" si="1"/>
        <v>-449.73107395682115</v>
      </c>
      <c r="G18" s="67">
        <f t="shared" si="1"/>
        <v>-379.34226571121258</v>
      </c>
      <c r="H18" s="67">
        <f t="shared" si="1"/>
        <v>0</v>
      </c>
      <c r="I18" s="67">
        <f t="shared" si="1"/>
        <v>0</v>
      </c>
    </row>
    <row r="19" spans="1:9">
      <c r="A19" s="111" t="str">
        <f>HLOOKUP(INDICE!$F$2,Nombres!$C$3:$D$636,44,FALSE)</f>
        <v>Impaiment on financial assets not measured at fair value through profit or loss</v>
      </c>
      <c r="B19" s="70">
        <v>-0.90320965370028894</v>
      </c>
      <c r="C19" s="70">
        <v>-0.77321272086815285</v>
      </c>
      <c r="D19" s="70">
        <v>0.79925317910302374</v>
      </c>
      <c r="E19" s="71">
        <v>-0.21007851810082045</v>
      </c>
      <c r="F19" s="70">
        <v>3.6083679529000454</v>
      </c>
      <c r="G19" s="70">
        <v>1.015068319167677</v>
      </c>
      <c r="H19" s="70">
        <v>0</v>
      </c>
      <c r="I19" s="70">
        <v>0</v>
      </c>
    </row>
    <row r="20" spans="1:9">
      <c r="A20" s="111" t="str">
        <f>HLOOKUP(INDICE!$F$2,Nombres!$C$3:$D$636,45,FALSE)</f>
        <v>Provisions or reversal of provisions and other results</v>
      </c>
      <c r="B20" s="70">
        <v>3.5618278015720062</v>
      </c>
      <c r="C20" s="70">
        <v>16.856860119407543</v>
      </c>
      <c r="D20" s="70">
        <v>4.4938208931944876</v>
      </c>
      <c r="E20" s="71">
        <v>3.4575358483615481E-2</v>
      </c>
      <c r="F20" s="70">
        <v>2.8975706661770073</v>
      </c>
      <c r="G20" s="70">
        <v>-0.43319798163201306</v>
      </c>
      <c r="H20" s="70">
        <v>0</v>
      </c>
      <c r="I20" s="70">
        <v>0</v>
      </c>
    </row>
    <row r="21" spans="1:9">
      <c r="A21" s="113" t="str">
        <f>HLOOKUP(INDICE!$F$2,Nombres!$C$3:$D$636,46,FALSE)</f>
        <v>Profit/(loss) before tax</v>
      </c>
      <c r="B21" s="17">
        <f t="shared" ref="B21:I21" si="2">+B18+B19+B20</f>
        <v>-227.65193706569161</v>
      </c>
      <c r="C21" s="17">
        <f t="shared" si="2"/>
        <v>-313.45109359375078</v>
      </c>
      <c r="D21" s="17">
        <f t="shared" si="2"/>
        <v>-458.77084844823037</v>
      </c>
      <c r="E21" s="66">
        <f t="shared" si="2"/>
        <v>-404.4142911383355</v>
      </c>
      <c r="F21" s="67">
        <f t="shared" si="2"/>
        <v>-443.22513533774412</v>
      </c>
      <c r="G21" s="67">
        <f t="shared" si="2"/>
        <v>-378.76039537367694</v>
      </c>
      <c r="H21" s="67">
        <f t="shared" si="2"/>
        <v>0</v>
      </c>
      <c r="I21" s="67">
        <f t="shared" si="2"/>
        <v>0</v>
      </c>
    </row>
    <row r="22" spans="1:9">
      <c r="A22" s="7" t="str">
        <f>HLOOKUP(INDICE!$F$2,Nombres!$C$3:$D$636,47,FALSE)</f>
        <v>Income tax</v>
      </c>
      <c r="B22" s="70">
        <v>39.007799219454483</v>
      </c>
      <c r="C22" s="70">
        <v>120.67720864724703</v>
      </c>
      <c r="D22" s="70">
        <v>121.93966899784274</v>
      </c>
      <c r="E22" s="71">
        <v>74.038694219824691</v>
      </c>
      <c r="F22" s="70">
        <v>144.77387571978963</v>
      </c>
      <c r="G22" s="70">
        <v>-5.4152287206977308</v>
      </c>
      <c r="H22" s="70">
        <v>0</v>
      </c>
      <c r="I22" s="70">
        <v>0</v>
      </c>
    </row>
    <row r="23" spans="1:9">
      <c r="A23" s="17" t="str">
        <f>HLOOKUP(INDICE!$F$2,Nombres!$C$3:$D$636,48,FALSE)</f>
        <v>Profit/(loss) for the year</v>
      </c>
      <c r="B23" s="17">
        <f t="shared" ref="B23:I23" si="3">+B21+B22</f>
        <v>-188.64413784623713</v>
      </c>
      <c r="C23" s="17">
        <f t="shared" si="3"/>
        <v>-192.77388494650376</v>
      </c>
      <c r="D23" s="17">
        <f t="shared" si="3"/>
        <v>-336.83117945038759</v>
      </c>
      <c r="E23" s="66">
        <f t="shared" si="3"/>
        <v>-330.37559691851084</v>
      </c>
      <c r="F23" s="67">
        <f t="shared" si="3"/>
        <v>-298.45125961795452</v>
      </c>
      <c r="G23" s="67">
        <f t="shared" si="3"/>
        <v>-384.17562409437465</v>
      </c>
      <c r="H23" s="67">
        <f t="shared" si="3"/>
        <v>0</v>
      </c>
      <c r="I23" s="67">
        <f t="shared" si="3"/>
        <v>0</v>
      </c>
    </row>
    <row r="24" spans="1:9">
      <c r="A24" s="7" t="str">
        <f>HLOOKUP(INDICE!$F$2,Nombres!$C$3:$D$636,49,FALSE)</f>
        <v>Non-controlling interests</v>
      </c>
      <c r="B24" s="70">
        <v>-6.5241042381794134</v>
      </c>
      <c r="C24" s="70">
        <v>-2.1803892622060328</v>
      </c>
      <c r="D24" s="70">
        <v>3.7466978458917324</v>
      </c>
      <c r="E24" s="71">
        <v>-1.8960929055919538</v>
      </c>
      <c r="F24" s="70">
        <v>-6.9766913466759197</v>
      </c>
      <c r="G24" s="70">
        <v>-6.6566812201455141</v>
      </c>
      <c r="H24" s="70">
        <v>0</v>
      </c>
      <c r="I24" s="70">
        <v>0</v>
      </c>
    </row>
    <row r="25" spans="1:9">
      <c r="A25" s="18" t="str">
        <f>HLOOKUP(INDICE!$F$2,Nombres!$C$3:$D$636,50,FALSE)</f>
        <v>Net attributable profit</v>
      </c>
      <c r="B25" s="18">
        <f>+B23+B24</f>
        <v>-195.16824208441653</v>
      </c>
      <c r="C25" s="18">
        <f t="shared" ref="C25:I25" si="4">+C23+C24</f>
        <v>-194.95427420870979</v>
      </c>
      <c r="D25" s="18">
        <f t="shared" si="4"/>
        <v>-333.08448160449586</v>
      </c>
      <c r="E25" s="18">
        <f t="shared" si="4"/>
        <v>-332.27168982410279</v>
      </c>
      <c r="F25" s="18">
        <f t="shared" si="4"/>
        <v>-305.42795096463044</v>
      </c>
      <c r="G25" s="18">
        <f t="shared" si="4"/>
        <v>-390.83230531452017</v>
      </c>
      <c r="H25" s="18">
        <f t="shared" si="4"/>
        <v>0</v>
      </c>
      <c r="I25" s="18">
        <f t="shared" si="4"/>
        <v>0</v>
      </c>
    </row>
    <row r="26" spans="1:9">
      <c r="A26" s="116" t="s">
        <v>559</v>
      </c>
      <c r="B26" s="70"/>
      <c r="C26" s="70"/>
      <c r="D26" s="70"/>
      <c r="E26" s="70"/>
      <c r="F26" s="70"/>
      <c r="G26" s="70"/>
      <c r="H26" s="70"/>
      <c r="I26" s="70"/>
    </row>
    <row r="27" spans="1:9" ht="14.5" customHeight="1">
      <c r="A27" s="260"/>
      <c r="B27" s="260"/>
      <c r="C27" s="260"/>
      <c r="D27" s="260"/>
      <c r="E27" s="260"/>
      <c r="F27" s="260"/>
      <c r="G27" s="260"/>
      <c r="H27" s="260"/>
      <c r="I27" s="260"/>
    </row>
    <row r="28" spans="1:9">
      <c r="A28" s="260"/>
      <c r="B28" s="260"/>
      <c r="C28" s="260"/>
      <c r="D28" s="260"/>
      <c r="E28" s="260"/>
      <c r="F28" s="260"/>
      <c r="G28" s="260"/>
      <c r="H28" s="260"/>
      <c r="I28" s="260"/>
    </row>
    <row r="29" spans="1:9">
      <c r="A29" s="17"/>
      <c r="B29" s="93" t="e">
        <v>#REF!</v>
      </c>
      <c r="C29" s="93" t="e">
        <v>#REF!</v>
      </c>
      <c r="D29" s="93" t="e">
        <v>#REF!</v>
      </c>
      <c r="E29" s="93" t="e">
        <v>#REF!</v>
      </c>
      <c r="F29" s="93" t="e">
        <v>#REF!</v>
      </c>
      <c r="G29" s="93" t="e">
        <v>#REF!</v>
      </c>
      <c r="H29" s="93" t="e">
        <v>#REF!</v>
      </c>
      <c r="I29" s="93" t="e">
        <v>#REF!</v>
      </c>
    </row>
    <row r="30" spans="1:9">
      <c r="A30" s="17"/>
      <c r="B30" s="17"/>
      <c r="C30" s="17"/>
      <c r="D30" s="17"/>
      <c r="E30" s="17"/>
      <c r="F30" s="17"/>
      <c r="G30" s="17"/>
      <c r="H30" s="17"/>
      <c r="I30" s="17"/>
    </row>
    <row r="31" spans="1:9" ht="17">
      <c r="A31" s="106" t="str">
        <f>HLOOKUP(INDICE!$F$2,Nombres!$C$3:$D$636,51,FALSE)</f>
        <v>Balance sheets</v>
      </c>
      <c r="B31" s="60"/>
      <c r="C31" s="60"/>
      <c r="D31" s="60"/>
      <c r="E31" s="60"/>
      <c r="F31" s="60"/>
      <c r="G31" s="60"/>
      <c r="H31" s="60"/>
      <c r="I31" s="60"/>
    </row>
    <row r="32" spans="1:9">
      <c r="A32" s="107" t="str">
        <f>HLOOKUP(INDICE!$F$2,Nombres!$C$3:$D$636,32,FALSE)</f>
        <v>(Million euros)</v>
      </c>
      <c r="B32" s="57"/>
      <c r="C32" s="78"/>
      <c r="D32" s="78"/>
      <c r="E32" s="78"/>
      <c r="F32" s="57"/>
      <c r="G32" s="79"/>
      <c r="H32" s="79"/>
      <c r="I32" s="79"/>
    </row>
    <row r="33" spans="1:9">
      <c r="A33" s="57"/>
      <c r="B33" s="80">
        <f>+España!B32</f>
        <v>45747</v>
      </c>
      <c r="C33" s="80">
        <f>+España!C32</f>
        <v>45838</v>
      </c>
      <c r="D33" s="80">
        <f>+España!D32</f>
        <v>45930</v>
      </c>
      <c r="E33" s="92">
        <f>+España!E32</f>
        <v>46022</v>
      </c>
      <c r="F33" s="80">
        <f>+España!F32</f>
        <v>46112</v>
      </c>
      <c r="G33" s="80">
        <f>+España!G32</f>
        <v>46203</v>
      </c>
      <c r="H33" s="80">
        <f>+España!H32</f>
        <v>46295</v>
      </c>
      <c r="I33" s="80">
        <f>+España!I32</f>
        <v>46387</v>
      </c>
    </row>
    <row r="34" spans="1:9">
      <c r="A34" s="111" t="str">
        <f>HLOOKUP(INDICE!$F$2,Nombres!$C$3:$D$636,52,FALSE)</f>
        <v>Cash, cash balances at central banks and other demand deposits</v>
      </c>
      <c r="B34" s="70">
        <v>454.18299999999999</v>
      </c>
      <c r="C34" s="70">
        <v>521.49699999999996</v>
      </c>
      <c r="D34" s="70">
        <v>526.77700000000004</v>
      </c>
      <c r="E34" s="71">
        <v>516.149</v>
      </c>
      <c r="F34" s="70">
        <v>501.11239999999998</v>
      </c>
      <c r="G34" s="70">
        <v>498.65397475999998</v>
      </c>
      <c r="H34" s="70">
        <v>0</v>
      </c>
      <c r="I34" s="70">
        <v>0</v>
      </c>
    </row>
    <row r="35" spans="1:9">
      <c r="A35" s="111" t="str">
        <f>HLOOKUP(INDICE!$F$2,Nombres!$C$3:$D$636,53,FALSE)</f>
        <v xml:space="preserve">Financial assets designated at fair value </v>
      </c>
      <c r="B35" s="79">
        <v>6970.8568494199999</v>
      </c>
      <c r="C35" s="79">
        <v>7234.1404927200001</v>
      </c>
      <c r="D35" s="79">
        <v>6719.9392802399998</v>
      </c>
      <c r="E35" s="89">
        <v>6737.4656184800006</v>
      </c>
      <c r="F35" s="79">
        <v>6931.8991662400003</v>
      </c>
      <c r="G35" s="79">
        <v>6452.3469396499986</v>
      </c>
      <c r="H35" s="79">
        <v>0</v>
      </c>
      <c r="I35" s="79">
        <v>0</v>
      </c>
    </row>
    <row r="36" spans="1:9">
      <c r="A36" s="7" t="str">
        <f>HLOOKUP(INDICE!$F$2,Nombres!$C$3:$D$636,54,FALSE)</f>
        <v>Financial assets at amortized cost</v>
      </c>
      <c r="B36" s="70">
        <v>4747.9641166599995</v>
      </c>
      <c r="C36" s="70">
        <v>4468.8352498500008</v>
      </c>
      <c r="D36" s="70">
        <v>4334.3767763199985</v>
      </c>
      <c r="E36" s="71">
        <v>4146.4092704499999</v>
      </c>
      <c r="F36" s="70">
        <v>4776.5164539000007</v>
      </c>
      <c r="G36" s="70">
        <v>5201.4359619500001</v>
      </c>
      <c r="H36" s="70">
        <v>0</v>
      </c>
      <c r="I36" s="70">
        <v>0</v>
      </c>
    </row>
    <row r="37" spans="1:9">
      <c r="A37" s="111" t="str">
        <f>HLOOKUP(INDICE!$F$2,Nombres!$C$3:$D$636,55,FALSE)</f>
        <v xml:space="preserve">    of which loans and advances to customers</v>
      </c>
      <c r="B37" s="70">
        <v>491.2854672499999</v>
      </c>
      <c r="C37" s="70">
        <v>623.29663304999997</v>
      </c>
      <c r="D37" s="70">
        <v>451.55547249</v>
      </c>
      <c r="E37" s="71">
        <v>360.98474083000002</v>
      </c>
      <c r="F37" s="70">
        <v>538.9256771900001</v>
      </c>
      <c r="G37" s="70">
        <v>672.09990876999996</v>
      </c>
      <c r="H37" s="70">
        <v>0</v>
      </c>
      <c r="I37" s="70">
        <v>0</v>
      </c>
    </row>
    <row r="38" spans="1:9">
      <c r="A38" s="111" t="str">
        <f>HLOOKUP(INDICE!$F$2,Nombres!$C$3:$D$636,121,FALSE)</f>
        <v>Inter-area positions</v>
      </c>
      <c r="B38" s="70">
        <v>-5.060050487518311E-7</v>
      </c>
      <c r="C38" s="70">
        <v>4.5043528079986572E-9</v>
      </c>
      <c r="D38" s="70">
        <v>-2.4463653564453127E-7</v>
      </c>
      <c r="E38" s="71">
        <v>-1.4918375015258789E-7</v>
      </c>
      <c r="F38" s="70">
        <v>568.1231694263214</v>
      </c>
      <c r="G38" s="70">
        <v>-1.9836425781249998E-9</v>
      </c>
      <c r="H38" s="70">
        <v>0</v>
      </c>
      <c r="I38" s="70">
        <v>0</v>
      </c>
    </row>
    <row r="39" spans="1:9">
      <c r="A39" s="7" t="str">
        <f>HLOOKUP(INDICE!$F$2,Nombres!$C$3:$D$636,56,FALSE)</f>
        <v>Tangible assets</v>
      </c>
      <c r="B39" s="70">
        <v>1880.1421288399999</v>
      </c>
      <c r="C39" s="70">
        <v>1860.8829014100002</v>
      </c>
      <c r="D39" s="70">
        <v>1857.5142987699999</v>
      </c>
      <c r="E39" s="71">
        <v>1855.1369762200002</v>
      </c>
      <c r="F39" s="70">
        <v>1837.7205846500001</v>
      </c>
      <c r="G39" s="70">
        <v>1822.7487928899998</v>
      </c>
      <c r="H39" s="70">
        <v>0</v>
      </c>
      <c r="I39" s="70">
        <v>0</v>
      </c>
    </row>
    <row r="40" spans="1:9">
      <c r="A40" s="111" t="str">
        <f>HLOOKUP(INDICE!$F$2,Nombres!$C$3:$D$636,57,FALSE)</f>
        <v>Other assets</v>
      </c>
      <c r="B40" s="70">
        <v>14965.970685510003</v>
      </c>
      <c r="C40" s="70">
        <v>15655.176650560003</v>
      </c>
      <c r="D40" s="70">
        <v>15504.87733493001</v>
      </c>
      <c r="E40" s="71">
        <v>15713.687911720013</v>
      </c>
      <c r="F40" s="70">
        <v>14221.139584609999</v>
      </c>
      <c r="G40" s="70">
        <v>15133.628277900016</v>
      </c>
      <c r="H40" s="70">
        <v>0</v>
      </c>
      <c r="I40" s="70">
        <v>0</v>
      </c>
    </row>
    <row r="41" spans="1:9">
      <c r="A41" s="114" t="str">
        <f>HLOOKUP(INDICE!$F$2,Nombres!$C$3:$D$636,58,FALSE)</f>
        <v>Total assets / Liabilities and equity</v>
      </c>
      <c r="B41" s="88">
        <f t="shared" ref="B41:I41" si="5">+B34+B35+B36+B38+B39+B40</f>
        <v>29019.116779923999</v>
      </c>
      <c r="C41" s="88">
        <f t="shared" si="5"/>
        <v>29740.532294544508</v>
      </c>
      <c r="D41" s="88">
        <f t="shared" si="5"/>
        <v>28943.484690015372</v>
      </c>
      <c r="E41" s="100">
        <f t="shared" si="5"/>
        <v>28968.848776720828</v>
      </c>
      <c r="F41" s="88">
        <f t="shared" si="5"/>
        <v>28836.511358826319</v>
      </c>
      <c r="G41" s="88">
        <f t="shared" si="5"/>
        <v>29108.813947148032</v>
      </c>
      <c r="H41" s="88">
        <f t="shared" si="5"/>
        <v>0</v>
      </c>
      <c r="I41" s="88">
        <f t="shared" si="5"/>
        <v>0</v>
      </c>
    </row>
    <row r="42" spans="1:9">
      <c r="A42" s="111" t="str">
        <f>HLOOKUP(INDICE!$F$2,Nombres!$C$3:$D$636,59,FALSE)</f>
        <v>Financial liabilities held for trading and designated at fair value through profit or loss</v>
      </c>
      <c r="B42" s="70">
        <v>79.387182670000001</v>
      </c>
      <c r="C42" s="70">
        <v>74.412758530000005</v>
      </c>
      <c r="D42" s="70">
        <v>121.55004004999998</v>
      </c>
      <c r="E42" s="71">
        <v>139.32609381999998</v>
      </c>
      <c r="F42" s="70">
        <v>229.53711529999998</v>
      </c>
      <c r="G42" s="70">
        <v>254.19322767</v>
      </c>
      <c r="H42" s="70">
        <v>0</v>
      </c>
      <c r="I42" s="70">
        <v>0</v>
      </c>
    </row>
    <row r="43" spans="1:9">
      <c r="A43" s="111" t="str">
        <f>HLOOKUP(INDICE!$F$2,Nombres!$C$3:$D$636,60,FALSE)</f>
        <v>Deposits from central banks and credit institutions</v>
      </c>
      <c r="B43" s="70">
        <v>3965.1580467499998</v>
      </c>
      <c r="C43" s="70">
        <v>4020.8346983599995</v>
      </c>
      <c r="D43" s="70">
        <v>3803.7060399699999</v>
      </c>
      <c r="E43" s="71">
        <v>3792.8075758499999</v>
      </c>
      <c r="F43" s="70">
        <v>3876.4898886000005</v>
      </c>
      <c r="G43" s="70">
        <v>4207.6452319699993</v>
      </c>
      <c r="H43" s="70">
        <v>0</v>
      </c>
      <c r="I43" s="70">
        <v>0</v>
      </c>
    </row>
    <row r="44" spans="1:9" ht="15.75" customHeight="1">
      <c r="A44" s="111" t="str">
        <f>HLOOKUP(INDICE!$F$2,Nombres!$C$3:$D$636,61,FALSE)</f>
        <v>Deposits from customers</v>
      </c>
      <c r="B44" s="70">
        <v>1692.6003821800002</v>
      </c>
      <c r="C44" s="70">
        <v>1852.6794957700001</v>
      </c>
      <c r="D44" s="70">
        <v>1788.7338434200001</v>
      </c>
      <c r="E44" s="71">
        <v>2001.2564306899999</v>
      </c>
      <c r="F44" s="70">
        <v>2062.6266583800002</v>
      </c>
      <c r="G44" s="70">
        <v>2036.83907447</v>
      </c>
      <c r="H44" s="70">
        <v>0</v>
      </c>
      <c r="I44" s="70">
        <v>0</v>
      </c>
    </row>
    <row r="45" spans="1:9">
      <c r="A45" s="7" t="str">
        <f>HLOOKUP(INDICE!$F$2,Nombres!$C$3:$D$636,62,FALSE)</f>
        <v>Debt certificates</v>
      </c>
      <c r="B45" s="70">
        <v>3143.9509234790612</v>
      </c>
      <c r="C45" s="70">
        <v>2735.2409144305534</v>
      </c>
      <c r="D45" s="70">
        <v>2586.1832233401137</v>
      </c>
      <c r="E45" s="71">
        <v>3887.9011015161177</v>
      </c>
      <c r="F45" s="70">
        <v>2986.6290245920654</v>
      </c>
      <c r="G45" s="70">
        <v>3697.7875370764109</v>
      </c>
      <c r="H45" s="70">
        <v>0</v>
      </c>
      <c r="I45" s="70">
        <v>0</v>
      </c>
    </row>
    <row r="46" spans="1:9">
      <c r="A46" s="111" t="str">
        <f>HLOOKUP(INDICE!$F$2,Nombres!$C$3:$D$636,122,FALSE)</f>
        <v>Inter-area positions</v>
      </c>
      <c r="B46" s="70">
        <v>458.04704473352052</v>
      </c>
      <c r="C46" s="70">
        <v>1690.6188710842666</v>
      </c>
      <c r="D46" s="70">
        <v>1507.0281253745118</v>
      </c>
      <c r="E46" s="71">
        <v>397.55403612026976</v>
      </c>
      <c r="F46" s="70">
        <v>0</v>
      </c>
      <c r="G46" s="70">
        <v>1682.0284174360656</v>
      </c>
      <c r="H46" s="70">
        <v>0</v>
      </c>
      <c r="I46" s="70">
        <v>0</v>
      </c>
    </row>
    <row r="47" spans="1:9">
      <c r="A47" s="7" t="str">
        <f>HLOOKUP(INDICE!$F$2,Nombres!$C$3:$D$636,63,FALSE)</f>
        <v>Other liabilities</v>
      </c>
      <c r="B47" s="70">
        <f t="shared" ref="B47:I47" si="6">+B41-B42-B43-B44-B45-B46-B49-B48</f>
        <v>8286.9546211772758</v>
      </c>
      <c r="C47" s="70">
        <f t="shared" si="6"/>
        <v>6023.2558696328051</v>
      </c>
      <c r="D47" s="70">
        <f t="shared" si="6"/>
        <v>5585.3205804618192</v>
      </c>
      <c r="E47" s="71">
        <f t="shared" si="6"/>
        <v>4846.6835209561686</v>
      </c>
      <c r="F47" s="70">
        <f t="shared" si="6"/>
        <v>8230.2702582651182</v>
      </c>
      <c r="G47" s="70">
        <f t="shared" si="6"/>
        <v>4699.6292838614827</v>
      </c>
      <c r="H47" s="70">
        <f t="shared" si="6"/>
        <v>0</v>
      </c>
      <c r="I47" s="70">
        <f t="shared" si="6"/>
        <v>0</v>
      </c>
    </row>
    <row r="48" spans="1:9">
      <c r="A48" s="7" t="str">
        <f>HLOOKUP(INDICE!$F$2,Nombres!$C$3:$D$636,282,FALSE)</f>
        <v>Allocated regulatory capital</v>
      </c>
      <c r="B48" s="70">
        <f>-España!B47-Mexico!B45-Turquia!B45-AdS!B45-'Resto de Negocios'!B45</f>
        <v>-47870.698421065856</v>
      </c>
      <c r="C48" s="70">
        <f>-España!C47-Mexico!C45-Turquia!C45-AdS!C45-'Resto de Negocios'!C45</f>
        <v>-47543.144313263096</v>
      </c>
      <c r="D48" s="70">
        <f>-España!D47-Mexico!D45-Turquia!D45-AdS!D45-'Resto de Negocios'!D45</f>
        <v>-48258.390162601107</v>
      </c>
      <c r="E48" s="71">
        <f>-España!E47-Mexico!E45-Turquia!E45-AdS!E45-'Resto de Negocios'!E45</f>
        <v>-47894.68098223173</v>
      </c>
      <c r="F48" s="70">
        <f>-España!F47-Mexico!F45-Turquia!F45-AdS!F45-'Resto de Negocios'!F45</f>
        <v>-49352.786586310882</v>
      </c>
      <c r="G48" s="70">
        <f>-España!G47-Mexico!G45-Turquia!G45-AdS!G45-'Resto de Negocios'!G45</f>
        <v>-51261.237825335971</v>
      </c>
      <c r="H48" s="70">
        <f>-España!H47-Mexico!H45-Turquia!H45-AdS!H45-'Resto de Negocios'!H45</f>
        <v>0</v>
      </c>
      <c r="I48" s="70">
        <f>-España!I47-Mexico!I45-Turquia!I45-AdS!I45-'Resto de Negocios'!I45</f>
        <v>0</v>
      </c>
    </row>
    <row r="49" spans="1:9">
      <c r="A49" s="111" t="str">
        <f>HLOOKUP(INDICE!$F$2,Nombres!$C$3:$D$636,150,FALSE)</f>
        <v>Total equity</v>
      </c>
      <c r="B49" s="70">
        <v>59263.716999999997</v>
      </c>
      <c r="C49" s="70">
        <v>60886.633999999976</v>
      </c>
      <c r="D49" s="70">
        <v>61809.353000000032</v>
      </c>
      <c r="E49" s="71">
        <v>61798.000999999997</v>
      </c>
      <c r="F49" s="70">
        <v>60803.745000000017</v>
      </c>
      <c r="G49" s="70">
        <v>63791.92900000004</v>
      </c>
      <c r="H49" s="70">
        <v>0</v>
      </c>
      <c r="I49" s="70">
        <v>0</v>
      </c>
    </row>
    <row r="50" spans="1:9">
      <c r="A50" s="7"/>
      <c r="B50" s="79"/>
      <c r="C50" s="79"/>
      <c r="D50" s="79"/>
      <c r="E50" s="79"/>
      <c r="F50" s="79"/>
      <c r="G50" s="79"/>
      <c r="H50" s="79"/>
      <c r="I50" s="79"/>
    </row>
    <row r="51" spans="1:9">
      <c r="A51" s="7"/>
      <c r="B51" s="79"/>
      <c r="C51" s="79"/>
      <c r="D51" s="79"/>
      <c r="E51" s="79"/>
      <c r="F51" s="79"/>
      <c r="G51" s="79"/>
      <c r="H51" s="79"/>
      <c r="I51" s="79"/>
    </row>
    <row r="52" spans="1:9">
      <c r="A52" s="7"/>
      <c r="B52" s="79"/>
      <c r="C52" s="79"/>
      <c r="D52" s="79"/>
      <c r="E52" s="79"/>
      <c r="F52" s="70"/>
      <c r="G52" s="70"/>
      <c r="H52" s="70"/>
      <c r="I52" s="70"/>
    </row>
    <row r="53" spans="1:9">
      <c r="A53" s="7"/>
      <c r="B53" s="57"/>
      <c r="C53" s="117"/>
      <c r="D53" s="57"/>
      <c r="E53" s="57"/>
      <c r="F53" s="96"/>
      <c r="G53" s="70"/>
      <c r="H53" s="70"/>
      <c r="I53" s="70"/>
    </row>
    <row r="54" spans="1:9">
      <c r="A54" s="7"/>
      <c r="B54" s="57"/>
      <c r="C54" s="80"/>
      <c r="D54" s="80"/>
      <c r="E54" s="80"/>
      <c r="F54" s="80"/>
      <c r="G54" s="80"/>
      <c r="H54" s="80"/>
      <c r="I54" s="80"/>
    </row>
    <row r="55" spans="1:9">
      <c r="A55" s="7"/>
      <c r="B55" s="70"/>
      <c r="C55" s="70"/>
      <c r="D55" s="70"/>
      <c r="E55" s="70"/>
      <c r="F55" s="70"/>
      <c r="G55" s="70"/>
      <c r="H55" s="70"/>
      <c r="I55" s="70"/>
    </row>
    <row r="56" spans="1:9">
      <c r="A56" s="17"/>
      <c r="B56" s="70"/>
      <c r="C56" s="70"/>
      <c r="D56" s="70"/>
      <c r="E56" s="70"/>
      <c r="F56" s="70"/>
      <c r="G56" s="70"/>
      <c r="H56" s="70"/>
      <c r="I56" s="70"/>
    </row>
    <row r="57" spans="1:9">
      <c r="A57" s="7"/>
      <c r="B57" s="70"/>
      <c r="C57" s="70"/>
      <c r="D57" s="70"/>
      <c r="E57" s="70"/>
      <c r="F57" s="70"/>
      <c r="G57" s="70"/>
      <c r="H57" s="70"/>
      <c r="I57" s="70"/>
    </row>
    <row r="58" spans="1:9">
      <c r="A58" s="7"/>
      <c r="B58" s="70"/>
      <c r="D58" s="70"/>
      <c r="E58" s="70"/>
      <c r="F58" s="70"/>
      <c r="G58" s="70"/>
      <c r="H58" s="70"/>
      <c r="I58" s="70"/>
    </row>
    <row r="59" spans="1:9">
      <c r="A59" s="7"/>
      <c r="B59" s="70"/>
      <c r="D59" s="70"/>
      <c r="E59" s="70"/>
      <c r="F59" s="70"/>
      <c r="G59" s="70"/>
      <c r="H59" s="70"/>
      <c r="I59" s="70"/>
    </row>
    <row r="60" spans="1:9">
      <c r="A60" s="8"/>
      <c r="B60" s="79"/>
      <c r="D60" s="79"/>
      <c r="E60" s="79"/>
      <c r="F60" s="70"/>
      <c r="G60" s="70"/>
      <c r="H60" s="70"/>
      <c r="I60" s="70"/>
    </row>
    <row r="61" spans="1:9">
      <c r="A61" s="8"/>
      <c r="B61" s="79"/>
      <c r="D61" s="57"/>
      <c r="E61" s="57"/>
      <c r="F61" s="96"/>
      <c r="G61" s="96"/>
      <c r="H61" s="96"/>
      <c r="I61" s="96"/>
    </row>
    <row r="62" spans="1:9">
      <c r="A62" s="8"/>
      <c r="B62" s="79"/>
      <c r="D62" s="57"/>
      <c r="E62" s="57"/>
      <c r="F62" s="96"/>
      <c r="G62" s="96"/>
      <c r="H62" s="96"/>
      <c r="I62" s="96"/>
    </row>
    <row r="63" spans="1:9">
      <c r="B63" s="68"/>
      <c r="C63" s="68"/>
      <c r="D63" s="68"/>
      <c r="F63" s="102"/>
      <c r="G63" s="102"/>
      <c r="H63" s="102"/>
      <c r="I63" s="102"/>
    </row>
    <row r="64" spans="1:9">
      <c r="B64" s="68"/>
      <c r="F64" s="102"/>
      <c r="G64" s="102"/>
      <c r="H64" s="102"/>
      <c r="I64" s="102"/>
    </row>
    <row r="65" spans="2:9">
      <c r="B65" s="68"/>
      <c r="F65" s="102"/>
      <c r="G65" s="102"/>
      <c r="H65" s="102"/>
      <c r="I65" s="102"/>
    </row>
    <row r="66" spans="2:9">
      <c r="B66" s="68"/>
      <c r="F66" s="102"/>
      <c r="G66" s="102"/>
      <c r="H66" s="102"/>
      <c r="I66" s="102"/>
    </row>
    <row r="67" spans="2:9">
      <c r="B67" s="68"/>
      <c r="F67" s="102"/>
      <c r="G67" s="102"/>
      <c r="H67" s="102"/>
      <c r="I67" s="102"/>
    </row>
    <row r="68" spans="2:9">
      <c r="B68" s="68"/>
      <c r="F68" s="102"/>
      <c r="G68" s="102"/>
      <c r="H68" s="102"/>
      <c r="I68" s="102"/>
    </row>
    <row r="69" spans="2:9">
      <c r="B69" s="68"/>
      <c r="F69" s="102"/>
      <c r="G69" s="102"/>
      <c r="H69" s="102"/>
      <c r="I69" s="102"/>
    </row>
    <row r="70" spans="2:9">
      <c r="B70" s="68"/>
      <c r="F70" s="102"/>
      <c r="G70" s="102"/>
      <c r="H70" s="102"/>
      <c r="I70" s="102"/>
    </row>
    <row r="71" spans="2:9">
      <c r="F71" s="102"/>
      <c r="G71" s="102"/>
      <c r="H71" s="102"/>
      <c r="I71" s="102"/>
    </row>
    <row r="72" spans="2:9">
      <c r="F72" s="102"/>
      <c r="G72" s="102"/>
      <c r="H72" s="102"/>
      <c r="I72" s="102"/>
    </row>
    <row r="73" spans="2:9">
      <c r="F73" s="102"/>
      <c r="G73" s="102"/>
      <c r="H73" s="102"/>
      <c r="I73" s="102"/>
    </row>
    <row r="74" spans="2:9">
      <c r="F74" s="102"/>
      <c r="G74" s="102"/>
      <c r="H74" s="102"/>
      <c r="I74" s="102"/>
    </row>
    <row r="75" spans="2:9">
      <c r="F75" s="102"/>
      <c r="G75" s="102"/>
      <c r="H75" s="102"/>
      <c r="I75" s="102"/>
    </row>
    <row r="76" spans="2:9">
      <c r="F76" s="102"/>
      <c r="G76" s="102"/>
      <c r="H76" s="102"/>
      <c r="I76" s="102"/>
    </row>
    <row r="77" spans="2:9">
      <c r="F77" s="102"/>
      <c r="G77" s="102"/>
      <c r="H77" s="102"/>
      <c r="I77" s="102"/>
    </row>
    <row r="78" spans="2:9">
      <c r="F78" s="102"/>
      <c r="G78" s="102"/>
      <c r="H78" s="102"/>
      <c r="I78" s="102"/>
    </row>
    <row r="79" spans="2:9">
      <c r="F79" s="102"/>
      <c r="G79" s="102"/>
      <c r="H79" s="102"/>
      <c r="I79" s="102"/>
    </row>
    <row r="80" spans="2:9">
      <c r="F80" s="102"/>
      <c r="G80" s="102"/>
      <c r="H80" s="102"/>
      <c r="I80" s="102"/>
    </row>
    <row r="81" spans="6:9">
      <c r="F81" s="102"/>
      <c r="G81" s="102"/>
      <c r="H81" s="102"/>
      <c r="I81" s="102"/>
    </row>
    <row r="82" spans="6:9">
      <c r="F82" s="102"/>
      <c r="G82" s="102"/>
      <c r="H82" s="102"/>
      <c r="I82" s="102"/>
    </row>
    <row r="83" spans="6:9">
      <c r="F83" s="102"/>
      <c r="G83" s="102"/>
      <c r="H83" s="102"/>
      <c r="I83" s="102"/>
    </row>
    <row r="84" spans="6:9">
      <c r="F84" s="102"/>
      <c r="G84" s="102"/>
      <c r="H84" s="102"/>
      <c r="I84" s="102"/>
    </row>
    <row r="85" spans="6:9">
      <c r="F85" s="102"/>
      <c r="G85" s="102"/>
      <c r="H85" s="102"/>
      <c r="I85" s="102"/>
    </row>
    <row r="86" spans="6:9">
      <c r="F86" s="102"/>
      <c r="G86" s="102"/>
      <c r="H86" s="102"/>
      <c r="I86" s="102"/>
    </row>
    <row r="87" spans="6:9">
      <c r="F87" s="102"/>
      <c r="G87" s="102"/>
      <c r="H87" s="102"/>
      <c r="I87" s="102"/>
    </row>
    <row r="88" spans="6:9">
      <c r="F88" s="102"/>
      <c r="G88" s="102"/>
      <c r="H88" s="102"/>
      <c r="I88" s="102"/>
    </row>
    <row r="89" spans="6:9">
      <c r="F89" s="102"/>
      <c r="G89" s="102"/>
      <c r="H89" s="102"/>
      <c r="I89" s="102"/>
    </row>
    <row r="90" spans="6:9">
      <c r="F90" s="102"/>
      <c r="G90" s="102"/>
      <c r="H90" s="102"/>
      <c r="I90" s="102"/>
    </row>
    <row r="91" spans="6:9">
      <c r="F91" s="102"/>
      <c r="G91" s="102"/>
      <c r="H91" s="102"/>
      <c r="I91" s="102"/>
    </row>
    <row r="92" spans="6:9">
      <c r="F92" s="102"/>
      <c r="G92" s="102"/>
      <c r="H92" s="102"/>
      <c r="I92" s="102"/>
    </row>
    <row r="93" spans="6:9">
      <c r="F93" s="102"/>
      <c r="G93" s="102"/>
      <c r="H93" s="102"/>
      <c r="I93" s="102"/>
    </row>
    <row r="94" spans="6:9">
      <c r="F94" s="102"/>
      <c r="G94" s="102"/>
      <c r="H94" s="102"/>
      <c r="I94" s="102"/>
    </row>
    <row r="95" spans="6:9">
      <c r="F95" s="102"/>
      <c r="G95" s="102"/>
      <c r="H95" s="102"/>
      <c r="I95" s="102"/>
    </row>
    <row r="96" spans="6:9">
      <c r="F96" s="102"/>
      <c r="G96" s="102"/>
      <c r="H96" s="102"/>
      <c r="I96" s="102"/>
    </row>
    <row r="97" spans="6:9">
      <c r="F97" s="102"/>
      <c r="G97" s="102"/>
      <c r="H97" s="102"/>
      <c r="I97" s="102"/>
    </row>
    <row r="98" spans="6:9">
      <c r="F98" s="102"/>
      <c r="G98" s="102"/>
      <c r="H98" s="102"/>
      <c r="I98" s="102"/>
    </row>
    <row r="99" spans="6:9">
      <c r="F99" s="102"/>
      <c r="G99" s="102"/>
      <c r="H99" s="102"/>
      <c r="I99" s="102"/>
    </row>
    <row r="100" spans="6:9">
      <c r="F100" s="102"/>
      <c r="G100" s="102"/>
      <c r="H100" s="102"/>
      <c r="I100" s="102"/>
    </row>
    <row r="101" spans="6:9">
      <c r="F101" s="102"/>
      <c r="G101" s="102"/>
      <c r="H101" s="102"/>
      <c r="I101" s="102"/>
    </row>
    <row r="102" spans="6:9">
      <c r="F102" s="102"/>
      <c r="G102" s="102"/>
      <c r="H102" s="102"/>
      <c r="I102" s="102"/>
    </row>
    <row r="103" spans="6:9">
      <c r="F103" s="102"/>
      <c r="G103" s="102"/>
      <c r="H103" s="102"/>
      <c r="I103" s="102"/>
    </row>
    <row r="104" spans="6:9">
      <c r="F104" s="102"/>
      <c r="G104" s="102"/>
      <c r="H104" s="102"/>
      <c r="I104" s="102"/>
    </row>
    <row r="105" spans="6:9">
      <c r="F105" s="102"/>
      <c r="G105" s="102"/>
      <c r="H105" s="102"/>
      <c r="I105" s="102"/>
    </row>
    <row r="106" spans="6:9">
      <c r="F106" s="102"/>
      <c r="G106" s="102"/>
      <c r="H106" s="102"/>
      <c r="I106" s="102"/>
    </row>
    <row r="107" spans="6:9">
      <c r="F107" s="102"/>
      <c r="G107" s="102"/>
      <c r="H107" s="102"/>
      <c r="I107" s="102"/>
    </row>
    <row r="108" spans="6:9">
      <c r="F108" s="102"/>
      <c r="G108" s="102"/>
      <c r="H108" s="102"/>
      <c r="I108" s="102"/>
    </row>
    <row r="117" spans="6:9">
      <c r="F117" s="102"/>
      <c r="G117" s="102"/>
      <c r="H117" s="102"/>
      <c r="I117" s="102"/>
    </row>
    <row r="118" spans="6:9">
      <c r="F118" s="102"/>
      <c r="G118" s="102"/>
      <c r="H118" s="102"/>
      <c r="I118" s="102"/>
    </row>
    <row r="119" spans="6:9">
      <c r="F119" s="102"/>
      <c r="G119" s="102"/>
      <c r="H119" s="102"/>
      <c r="I119" s="102"/>
    </row>
    <row r="120" spans="6:9">
      <c r="F120" s="102"/>
      <c r="G120" s="102"/>
      <c r="H120" s="102"/>
      <c r="I120" s="102"/>
    </row>
    <row r="121" spans="6:9">
      <c r="F121" s="102"/>
      <c r="G121" s="102"/>
      <c r="H121" s="102"/>
      <c r="I121" s="102"/>
    </row>
    <row r="122" spans="6:9">
      <c r="F122" s="102"/>
      <c r="G122" s="102"/>
      <c r="H122" s="102"/>
      <c r="I122" s="102"/>
    </row>
    <row r="123" spans="6:9">
      <c r="F123" s="102"/>
      <c r="G123" s="102"/>
      <c r="H123" s="102"/>
      <c r="I123" s="102"/>
    </row>
    <row r="124" spans="6:9">
      <c r="F124" s="102"/>
      <c r="G124" s="102"/>
      <c r="H124" s="102"/>
      <c r="I124" s="102"/>
    </row>
    <row r="125" spans="6:9">
      <c r="F125" s="102"/>
      <c r="G125" s="102"/>
      <c r="H125" s="102"/>
      <c r="I125" s="102"/>
    </row>
    <row r="126" spans="6:9">
      <c r="F126" s="102"/>
      <c r="G126" s="102"/>
      <c r="H126" s="102"/>
      <c r="I126" s="102"/>
    </row>
    <row r="127" spans="6:9">
      <c r="F127" s="102"/>
      <c r="G127" s="102"/>
      <c r="H127" s="102"/>
      <c r="I127" s="102"/>
    </row>
    <row r="128" spans="6:9">
      <c r="F128" s="102"/>
      <c r="G128" s="102"/>
      <c r="H128" s="102"/>
      <c r="I128" s="102"/>
    </row>
    <row r="129" spans="6:9">
      <c r="F129" s="102"/>
      <c r="G129" s="102"/>
      <c r="H129" s="102"/>
      <c r="I129" s="102"/>
    </row>
    <row r="130" spans="6:9">
      <c r="F130" s="102"/>
      <c r="G130" s="102"/>
      <c r="H130" s="102"/>
      <c r="I130" s="102"/>
    </row>
    <row r="131" spans="6:9">
      <c r="F131" s="102"/>
      <c r="G131" s="102"/>
      <c r="H131" s="102"/>
      <c r="I131" s="102"/>
    </row>
    <row r="132" spans="6:9">
      <c r="F132" s="102"/>
      <c r="G132" s="102"/>
      <c r="H132" s="102"/>
      <c r="I132" s="102"/>
    </row>
    <row r="133" spans="6:9">
      <c r="F133" s="102"/>
      <c r="G133" s="102"/>
      <c r="H133" s="102"/>
      <c r="I133" s="102"/>
    </row>
    <row r="134" spans="6:9">
      <c r="F134" s="102"/>
      <c r="G134" s="102"/>
      <c r="H134" s="102"/>
      <c r="I134" s="102"/>
    </row>
    <row r="135" spans="6:9">
      <c r="F135" s="102"/>
      <c r="G135" s="102"/>
      <c r="H135" s="102"/>
      <c r="I135" s="102"/>
    </row>
    <row r="136" spans="6:9">
      <c r="F136" s="102"/>
      <c r="G136" s="102"/>
      <c r="H136" s="102"/>
      <c r="I136" s="102"/>
    </row>
    <row r="137" spans="6:9">
      <c r="F137" s="102"/>
      <c r="G137" s="102"/>
      <c r="H137" s="102"/>
      <c r="I137" s="102"/>
    </row>
    <row r="138" spans="6:9">
      <c r="F138" s="102"/>
      <c r="G138" s="102"/>
      <c r="H138" s="102"/>
      <c r="I138" s="102"/>
    </row>
    <row r="139" spans="6:9">
      <c r="F139" s="102"/>
      <c r="G139" s="102"/>
      <c r="H139" s="102"/>
      <c r="I139" s="102"/>
    </row>
    <row r="140" spans="6:9">
      <c r="F140" s="102"/>
      <c r="G140" s="102"/>
      <c r="H140" s="102"/>
      <c r="I140" s="102"/>
    </row>
    <row r="141" spans="6:9">
      <c r="F141" s="102"/>
      <c r="G141" s="102"/>
      <c r="H141" s="102"/>
      <c r="I141" s="102"/>
    </row>
    <row r="142" spans="6:9">
      <c r="F142" s="102"/>
      <c r="G142" s="102"/>
      <c r="H142" s="102"/>
      <c r="I142" s="102"/>
    </row>
    <row r="143" spans="6:9">
      <c r="F143" s="102"/>
      <c r="G143" s="102"/>
      <c r="H143" s="102"/>
      <c r="I143" s="102"/>
    </row>
    <row r="144" spans="6:9">
      <c r="F144" s="102"/>
      <c r="G144" s="102"/>
      <c r="H144" s="102"/>
      <c r="I144" s="102"/>
    </row>
    <row r="145" spans="6:9">
      <c r="F145" s="102"/>
      <c r="G145" s="102"/>
      <c r="H145" s="102"/>
      <c r="I145" s="102"/>
    </row>
    <row r="146" spans="6:9">
      <c r="F146" s="102"/>
      <c r="G146" s="102"/>
      <c r="H146" s="102"/>
      <c r="I146" s="102"/>
    </row>
    <row r="147" spans="6:9">
      <c r="F147" s="102"/>
      <c r="G147" s="102"/>
      <c r="H147" s="102"/>
      <c r="I147" s="102"/>
    </row>
    <row r="148" spans="6:9">
      <c r="F148" s="102"/>
      <c r="G148" s="102"/>
      <c r="H148" s="102"/>
      <c r="I148" s="102"/>
    </row>
    <row r="149" spans="6:9">
      <c r="F149" s="102"/>
      <c r="G149" s="102"/>
      <c r="H149" s="102"/>
      <c r="I149" s="102"/>
    </row>
    <row r="150" spans="6:9">
      <c r="F150" s="102"/>
      <c r="G150" s="102"/>
      <c r="H150" s="102"/>
      <c r="I150" s="102"/>
    </row>
    <row r="151" spans="6:9">
      <c r="F151" s="102"/>
      <c r="G151" s="102"/>
      <c r="H151" s="102"/>
      <c r="I151" s="102"/>
    </row>
    <row r="152" spans="6:9">
      <c r="F152" s="102"/>
      <c r="G152" s="102"/>
      <c r="H152" s="102"/>
      <c r="I152" s="102"/>
    </row>
    <row r="153" spans="6:9">
      <c r="F153" s="102"/>
      <c r="G153" s="102"/>
      <c r="H153" s="102"/>
      <c r="I153" s="102"/>
    </row>
    <row r="154" spans="6:9">
      <c r="F154" s="102"/>
      <c r="G154" s="102"/>
      <c r="H154" s="102"/>
      <c r="I154" s="102"/>
    </row>
    <row r="155" spans="6:9">
      <c r="F155" s="102"/>
      <c r="G155" s="102"/>
      <c r="H155" s="102"/>
      <c r="I155" s="102"/>
    </row>
    <row r="156" spans="6:9">
      <c r="F156" s="102"/>
      <c r="G156" s="102"/>
      <c r="H156" s="102"/>
      <c r="I156" s="102"/>
    </row>
    <row r="157" spans="6:9">
      <c r="F157" s="102"/>
      <c r="G157" s="102"/>
      <c r="H157" s="102"/>
      <c r="I157" s="102"/>
    </row>
    <row r="158" spans="6:9">
      <c r="F158" s="102"/>
      <c r="G158" s="102"/>
      <c r="H158" s="102"/>
      <c r="I158" s="102"/>
    </row>
    <row r="159" spans="6:9">
      <c r="F159" s="102"/>
      <c r="G159" s="102"/>
      <c r="H159" s="102"/>
      <c r="I159" s="102"/>
    </row>
    <row r="160" spans="6:9">
      <c r="F160" s="102"/>
      <c r="G160" s="102"/>
      <c r="H160" s="102"/>
      <c r="I160" s="102"/>
    </row>
    <row r="161" spans="6:9">
      <c r="F161" s="102"/>
      <c r="G161" s="102"/>
      <c r="H161" s="102"/>
      <c r="I161" s="102"/>
    </row>
    <row r="162" spans="6:9">
      <c r="F162" s="102"/>
      <c r="G162" s="102"/>
      <c r="H162" s="102"/>
      <c r="I162" s="102"/>
    </row>
    <row r="163" spans="6:9">
      <c r="F163" s="102"/>
      <c r="G163" s="102"/>
      <c r="H163" s="102"/>
      <c r="I163" s="102"/>
    </row>
  </sheetData>
  <mergeCells count="4">
    <mergeCell ref="B6:E6"/>
    <mergeCell ref="F6:I6"/>
    <mergeCell ref="A27:I27"/>
    <mergeCell ref="A28:I28"/>
  </mergeCells>
  <conditionalFormatting sqref="B29:I29">
    <cfRule type="cellIs" dxfId="18" priority="1" operator="notBetween">
      <formula>0.5</formula>
      <formula>-0.5</formula>
    </cfRule>
  </conditionalFormatting>
  <pageMargins left="0.7" right="0.7" top="0.75" bottom="0.75" header="0.3" footer="0.3"/>
  <pageSetup paperSize="9" scale="2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24C58-E9BC-48E6-9101-084EFA2D97FF}">
  <sheetPr>
    <tabColor theme="8"/>
  </sheetPr>
  <dimension ref="A1:P1000"/>
  <sheetViews>
    <sheetView showGridLines="0" workbookViewId="0">
      <selection activeCell="I1" sqref="H1:I1048576"/>
    </sheetView>
  </sheetViews>
  <sheetFormatPr baseColWidth="10" defaultColWidth="11.453125" defaultRowHeight="14.5"/>
  <cols>
    <col min="1" max="1" width="62" customWidth="1"/>
    <col min="2" max="4" width="11.453125" customWidth="1"/>
    <col min="8" max="9" width="0" hidden="1" customWidth="1"/>
  </cols>
  <sheetData>
    <row r="1" spans="1:9" ht="17">
      <c r="A1" s="56" t="str">
        <f>HLOOKUP(INDICE!$F$2,Nombres!$C$3:$D$636,280,FALSE)</f>
        <v>Corporate &amp; Investment Banking (*)</v>
      </c>
      <c r="B1" s="57"/>
      <c r="C1" s="57"/>
      <c r="D1" s="57"/>
      <c r="E1" s="57"/>
      <c r="F1" s="57"/>
      <c r="G1" s="57"/>
      <c r="H1" s="57"/>
      <c r="I1" s="57"/>
    </row>
    <row r="2" spans="1:9">
      <c r="A2" s="260"/>
      <c r="B2" s="260"/>
      <c r="C2" s="260"/>
      <c r="D2" s="260"/>
      <c r="E2" s="260"/>
      <c r="F2" s="260"/>
      <c r="G2" s="260"/>
      <c r="H2" s="260"/>
      <c r="I2" s="260"/>
    </row>
    <row r="3" spans="1:9" ht="17">
      <c r="A3" s="59" t="str">
        <f>HLOOKUP(INDICE!$F$2,Nombres!$C$3:$D$636,31,FALSE)</f>
        <v xml:space="preserve">Income statement  </v>
      </c>
      <c r="B3" s="60"/>
      <c r="C3" s="60"/>
      <c r="D3" s="60"/>
      <c r="E3" s="60"/>
      <c r="F3" s="60"/>
      <c r="G3" s="60"/>
      <c r="H3" s="60"/>
      <c r="I3" s="60"/>
    </row>
    <row r="4" spans="1:9">
      <c r="A4" s="9" t="str">
        <f>HLOOKUP(INDICE!$F$2,Nombres!$C$3:$D$636,32,FALSE)</f>
        <v>(Million euros)</v>
      </c>
      <c r="B4" s="57"/>
      <c r="C4" s="61"/>
      <c r="D4" s="61"/>
      <c r="E4" s="61"/>
      <c r="F4" s="57"/>
      <c r="G4" s="57"/>
      <c r="H4" s="57"/>
      <c r="I4" s="57"/>
    </row>
    <row r="5" spans="1:9">
      <c r="A5" s="62"/>
      <c r="B5" s="57"/>
      <c r="C5" s="61"/>
      <c r="D5" s="61"/>
      <c r="E5" s="61"/>
      <c r="F5" s="57"/>
      <c r="G5" s="57"/>
      <c r="H5" s="57"/>
      <c r="I5" s="57"/>
    </row>
    <row r="6" spans="1:9">
      <c r="A6" s="63"/>
      <c r="B6" s="257">
        <f>+España!B6</f>
        <v>2025</v>
      </c>
      <c r="C6" s="257"/>
      <c r="D6" s="257"/>
      <c r="E6" s="258"/>
      <c r="F6" s="257">
        <f>+España!F6</f>
        <v>2026</v>
      </c>
      <c r="G6" s="257"/>
      <c r="H6" s="257"/>
      <c r="I6" s="257"/>
    </row>
    <row r="7" spans="1:9">
      <c r="A7" s="63"/>
      <c r="B7" s="64" t="str">
        <f>+España!B7</f>
        <v>1Q</v>
      </c>
      <c r="C7" s="64" t="str">
        <f>+España!C7</f>
        <v>2Q</v>
      </c>
      <c r="D7" s="64" t="str">
        <f>+España!D7</f>
        <v>3Q</v>
      </c>
      <c r="E7" s="65" t="str">
        <f>+España!E7</f>
        <v>4Q</v>
      </c>
      <c r="F7" s="64" t="str">
        <f>+España!F7</f>
        <v>1Q</v>
      </c>
      <c r="G7" s="64" t="str">
        <f>+España!G7</f>
        <v>2Q</v>
      </c>
      <c r="H7" s="64" t="str">
        <f>+España!H7</f>
        <v>3Q</v>
      </c>
      <c r="I7" s="64" t="str">
        <f>+España!I7</f>
        <v>4Q</v>
      </c>
    </row>
    <row r="8" spans="1:9">
      <c r="A8" s="17" t="str">
        <f>HLOOKUP(INDICE!$F$2,Nombres!$C$3:$D$636,33,FALSE)</f>
        <v>Net interest income</v>
      </c>
      <c r="B8" s="17">
        <v>838.36795471344522</v>
      </c>
      <c r="C8" s="17">
        <v>875.73142159340239</v>
      </c>
      <c r="D8" s="17">
        <v>1006.0116581904659</v>
      </c>
      <c r="E8" s="66">
        <v>1085.5147644223953</v>
      </c>
      <c r="F8" s="67">
        <v>1018.4742882704363</v>
      </c>
      <c r="G8" s="67">
        <v>1100.3130383965563</v>
      </c>
      <c r="H8" s="67">
        <v>0</v>
      </c>
      <c r="I8" s="67">
        <v>0</v>
      </c>
    </row>
    <row r="9" spans="1:9">
      <c r="A9" s="7" t="str">
        <f>HLOOKUP(INDICE!$F$2,Nombres!$C$3:$D$636,34,FALSE)</f>
        <v>Net fees and commissions</v>
      </c>
      <c r="B9" s="70">
        <v>362.41243913989427</v>
      </c>
      <c r="C9" s="70">
        <v>341.16861274641207</v>
      </c>
      <c r="D9" s="70">
        <v>370.25088720755269</v>
      </c>
      <c r="E9" s="71">
        <v>377.85608872001018</v>
      </c>
      <c r="F9" s="70">
        <v>472.73428057589837</v>
      </c>
      <c r="G9" s="70">
        <v>421.56901378811381</v>
      </c>
      <c r="H9" s="70">
        <v>0</v>
      </c>
      <c r="I9" s="70">
        <v>0</v>
      </c>
    </row>
    <row r="10" spans="1:9">
      <c r="A10" s="7" t="str">
        <f>HLOOKUP(INDICE!$F$2,Nombres!$C$3:$D$636,35,FALSE)</f>
        <v>Net trading income</v>
      </c>
      <c r="B10" s="70">
        <v>675.57373299195126</v>
      </c>
      <c r="C10" s="70">
        <v>427.77353247368768</v>
      </c>
      <c r="D10" s="70">
        <v>431.8068395744848</v>
      </c>
      <c r="E10" s="71">
        <v>440.23952776555757</v>
      </c>
      <c r="F10" s="70">
        <v>714.16017562992249</v>
      </c>
      <c r="G10" s="70">
        <v>563.84851301988522</v>
      </c>
      <c r="H10" s="70">
        <v>0</v>
      </c>
      <c r="I10" s="70">
        <v>0</v>
      </c>
    </row>
    <row r="11" spans="1:9">
      <c r="A11" s="7" t="str">
        <f>HLOOKUP(INDICE!$F$2,Nombres!$C$3:$D$636,36,FALSE)</f>
        <v>Other operating income and expenses</v>
      </c>
      <c r="B11" s="70">
        <v>-12.465038595220694</v>
      </c>
      <c r="C11" s="70">
        <v>-11.824833620370683</v>
      </c>
      <c r="D11" s="70">
        <v>-9.286807131532143</v>
      </c>
      <c r="E11" s="71">
        <v>-14.891779175375891</v>
      </c>
      <c r="F11" s="70">
        <v>-20.153240888968803</v>
      </c>
      <c r="G11" s="70">
        <v>-19.745214692863058</v>
      </c>
      <c r="H11" s="70">
        <v>0</v>
      </c>
      <c r="I11" s="70">
        <v>0</v>
      </c>
    </row>
    <row r="12" spans="1:9">
      <c r="A12" s="17" t="str">
        <f>HLOOKUP(INDICE!$F$2,Nombres!$C$3:$D$636,37,FALSE)</f>
        <v>Gross income</v>
      </c>
      <c r="B12" s="17">
        <f>+SUM(B8:B11)</f>
        <v>1863.8890882500702</v>
      </c>
      <c r="C12" s="17">
        <f t="shared" ref="C12:I12" si="0">+SUM(C8:C11)</f>
        <v>1632.8487331931315</v>
      </c>
      <c r="D12" s="17">
        <f t="shared" si="0"/>
        <v>1798.7825778409713</v>
      </c>
      <c r="E12" s="66">
        <f t="shared" si="0"/>
        <v>1888.7186017325871</v>
      </c>
      <c r="F12" s="67">
        <f t="shared" si="0"/>
        <v>2185.2155035872884</v>
      </c>
      <c r="G12" s="67">
        <f t="shared" si="0"/>
        <v>2065.9853505116921</v>
      </c>
      <c r="H12" s="67">
        <f t="shared" si="0"/>
        <v>0</v>
      </c>
      <c r="I12" s="67">
        <f t="shared" si="0"/>
        <v>0</v>
      </c>
    </row>
    <row r="13" spans="1:9">
      <c r="A13" s="7" t="str">
        <f>HLOOKUP(INDICE!$F$2,Nombres!$C$3:$D$636,38,FALSE)</f>
        <v>Operating expenses</v>
      </c>
      <c r="B13" s="70">
        <v>-451.07142341991391</v>
      </c>
      <c r="C13" s="70">
        <v>-431.76149048040634</v>
      </c>
      <c r="D13" s="70">
        <v>-453.073299825915</v>
      </c>
      <c r="E13" s="71">
        <v>-593.37304951775184</v>
      </c>
      <c r="F13" s="70">
        <v>-532.82335926311237</v>
      </c>
      <c r="G13" s="70">
        <v>-568.44354932310625</v>
      </c>
      <c r="H13" s="70">
        <v>0</v>
      </c>
      <c r="I13" s="70">
        <v>0</v>
      </c>
    </row>
    <row r="14" spans="1:9">
      <c r="A14" s="7" t="str">
        <f>HLOOKUP(INDICE!$F$2,Nombres!$C$3:$D$636,39,FALSE)</f>
        <v xml:space="preserve">  Administration expenses</v>
      </c>
      <c r="B14" s="70">
        <v>-421.08134746351629</v>
      </c>
      <c r="C14" s="70">
        <v>-399.86009197546343</v>
      </c>
      <c r="D14" s="70">
        <v>-419.20908356411928</v>
      </c>
      <c r="E14" s="71">
        <v>-555.57032115741242</v>
      </c>
      <c r="F14" s="70">
        <v>-493.06329661905528</v>
      </c>
      <c r="G14" s="70">
        <v>-529.09747816613083</v>
      </c>
      <c r="H14" s="70">
        <v>0</v>
      </c>
      <c r="I14" s="70">
        <v>0</v>
      </c>
    </row>
    <row r="15" spans="1:9">
      <c r="A15" s="72" t="str">
        <f>HLOOKUP(INDICE!$F$2,Nombres!$C$3:$D$636,40,FALSE)</f>
        <v xml:space="preserve">  Personnel expenses</v>
      </c>
      <c r="B15" s="70">
        <v>-222.468246776667</v>
      </c>
      <c r="C15" s="70">
        <v>-208.53741443807019</v>
      </c>
      <c r="D15" s="70">
        <v>-227.25334842282984</v>
      </c>
      <c r="E15" s="71">
        <v>-298.03837773850989</v>
      </c>
      <c r="F15" s="70">
        <v>-244.80151290139716</v>
      </c>
      <c r="G15" s="70">
        <v>-275.87611021103589</v>
      </c>
      <c r="H15" s="70">
        <v>0</v>
      </c>
      <c r="I15" s="70">
        <v>0</v>
      </c>
    </row>
    <row r="16" spans="1:9">
      <c r="A16" s="72" t="str">
        <f>HLOOKUP(INDICE!$F$2,Nombres!$C$3:$D$636,41,FALSE)</f>
        <v xml:space="preserve">  General and administrative expenses</v>
      </c>
      <c r="B16" s="70">
        <v>-198.61310068684941</v>
      </c>
      <c r="C16" s="70">
        <v>-191.32267753739336</v>
      </c>
      <c r="D16" s="70">
        <v>-191.95573514128944</v>
      </c>
      <c r="E16" s="71">
        <v>-257.53194341890247</v>
      </c>
      <c r="F16" s="70">
        <v>-248.26178371765803</v>
      </c>
      <c r="G16" s="70">
        <v>-253.22136795509493</v>
      </c>
      <c r="H16" s="70">
        <v>0</v>
      </c>
      <c r="I16" s="70">
        <v>0</v>
      </c>
    </row>
    <row r="17" spans="1:16">
      <c r="A17" s="7" t="str">
        <f>HLOOKUP(INDICE!$F$2,Nombres!$C$3:$D$636,42,FALSE)</f>
        <v xml:space="preserve">  Depreciation</v>
      </c>
      <c r="B17" s="70">
        <v>-29.990075956397611</v>
      </c>
      <c r="C17" s="70">
        <v>-31.901398504942804</v>
      </c>
      <c r="D17" s="70">
        <v>-33.864216261795775</v>
      </c>
      <c r="E17" s="71">
        <v>-37.802728360339302</v>
      </c>
      <c r="F17" s="70">
        <v>-39.760062644057022</v>
      </c>
      <c r="G17" s="70">
        <v>-39.346071156975668</v>
      </c>
      <c r="H17" s="70">
        <v>0</v>
      </c>
      <c r="I17" s="70">
        <v>0</v>
      </c>
    </row>
    <row r="18" spans="1:16">
      <c r="A18" s="17" t="str">
        <f>HLOOKUP(INDICE!$F$2,Nombres!$C$3:$D$636,43,FALSE)</f>
        <v>Operating income</v>
      </c>
      <c r="B18" s="17">
        <f>+B12+B13</f>
        <v>1412.8176648301564</v>
      </c>
      <c r="C18" s="17">
        <f t="shared" ref="C18:I18" si="1">+C12+C13</f>
        <v>1201.0872427127251</v>
      </c>
      <c r="D18" s="17">
        <f t="shared" si="1"/>
        <v>1345.7092780150563</v>
      </c>
      <c r="E18" s="66">
        <f t="shared" si="1"/>
        <v>1295.3455522148352</v>
      </c>
      <c r="F18" s="67">
        <f t="shared" si="1"/>
        <v>1652.3921443241761</v>
      </c>
      <c r="G18" s="67">
        <f t="shared" si="1"/>
        <v>1497.5418011885859</v>
      </c>
      <c r="H18" s="67">
        <f t="shared" si="1"/>
        <v>0</v>
      </c>
      <c r="I18" s="67">
        <f t="shared" si="1"/>
        <v>0</v>
      </c>
    </row>
    <row r="19" spans="1:16">
      <c r="A19" s="7" t="str">
        <f>HLOOKUP(INDICE!$F$2,Nombres!$C$3:$D$636,44,FALSE)</f>
        <v>Impaiment on financial assets not measured at fair value through profit or loss</v>
      </c>
      <c r="B19" s="70">
        <v>-26.412281520609756</v>
      </c>
      <c r="C19" s="70">
        <v>81.476412675441949</v>
      </c>
      <c r="D19" s="70">
        <v>12.549093354473646</v>
      </c>
      <c r="E19" s="71">
        <v>5.6202001478489505</v>
      </c>
      <c r="F19" s="70">
        <v>-14.422317793519827</v>
      </c>
      <c r="G19" s="70">
        <v>5.6399892079668712</v>
      </c>
      <c r="H19" s="70">
        <v>0</v>
      </c>
      <c r="I19" s="70">
        <v>0</v>
      </c>
    </row>
    <row r="20" spans="1:16">
      <c r="A20" s="7" t="str">
        <f>HLOOKUP(INDICE!$F$2,Nombres!$C$3:$D$636,45,FALSE)</f>
        <v>Provisions or reversal of provisions and other results</v>
      </c>
      <c r="B20" s="70">
        <v>15.556568230841203</v>
      </c>
      <c r="C20" s="70">
        <v>-4.7150917671764168</v>
      </c>
      <c r="D20" s="70">
        <v>-15.716354391954944</v>
      </c>
      <c r="E20" s="71">
        <v>-10.332379771902763</v>
      </c>
      <c r="F20" s="70">
        <v>0.27910435953366569</v>
      </c>
      <c r="G20" s="70">
        <v>4.4966690180520867</v>
      </c>
      <c r="H20" s="70">
        <v>0</v>
      </c>
      <c r="I20" s="70">
        <v>0</v>
      </c>
    </row>
    <row r="21" spans="1:16">
      <c r="A21" s="17" t="str">
        <f>HLOOKUP(INDICE!$F$2,Nombres!$C$3:$D$636,46,FALSE)</f>
        <v>Profit/(loss) before tax</v>
      </c>
      <c r="B21" s="17">
        <f>+B18+B19+B20</f>
        <v>1401.9619515403879</v>
      </c>
      <c r="C21" s="17">
        <f t="shared" ref="C21:I21" si="2">+C18+C19+C20</f>
        <v>1277.8485636209907</v>
      </c>
      <c r="D21" s="17">
        <f t="shared" si="2"/>
        <v>1342.542016977575</v>
      </c>
      <c r="E21" s="66">
        <f t="shared" si="2"/>
        <v>1290.6333725907814</v>
      </c>
      <c r="F21" s="67">
        <f t="shared" si="2"/>
        <v>1638.24893089019</v>
      </c>
      <c r="G21" s="67">
        <f t="shared" si="2"/>
        <v>1507.6784594146047</v>
      </c>
      <c r="H21" s="67">
        <f t="shared" si="2"/>
        <v>0</v>
      </c>
      <c r="I21" s="67">
        <f t="shared" si="2"/>
        <v>0</v>
      </c>
    </row>
    <row r="22" spans="1:16">
      <c r="A22" s="7" t="str">
        <f>HLOOKUP(INDICE!$F$2,Nombres!$C$3:$D$636,47,FALSE)</f>
        <v>Income tax</v>
      </c>
      <c r="B22" s="70">
        <v>-388.44701024125123</v>
      </c>
      <c r="C22" s="70">
        <v>-373.56059976803112</v>
      </c>
      <c r="D22" s="70">
        <v>-368.45052595431508</v>
      </c>
      <c r="E22" s="71">
        <v>-367.67257674129803</v>
      </c>
      <c r="F22" s="70">
        <v>-461.33084172275898</v>
      </c>
      <c r="G22" s="70">
        <v>-440.38874449842058</v>
      </c>
      <c r="H22" s="70">
        <v>0</v>
      </c>
      <c r="I22" s="70">
        <v>0</v>
      </c>
    </row>
    <row r="23" spans="1:16">
      <c r="A23" s="17" t="str">
        <f>HLOOKUP(INDICE!$F$2,Nombres!$C$3:$D$636,48,FALSE)</f>
        <v>Profit/(loss) for the year</v>
      </c>
      <c r="B23" s="17">
        <f>+B21+B22</f>
        <v>1013.5149412991366</v>
      </c>
      <c r="C23" s="17">
        <f t="shared" ref="C23:I23" si="3">+C21+C22</f>
        <v>904.28796385295959</v>
      </c>
      <c r="D23" s="17">
        <f t="shared" si="3"/>
        <v>974.09149102326001</v>
      </c>
      <c r="E23" s="66">
        <f t="shared" si="3"/>
        <v>922.96079584948336</v>
      </c>
      <c r="F23" s="67">
        <f t="shared" si="3"/>
        <v>1176.9180891674309</v>
      </c>
      <c r="G23" s="67">
        <f t="shared" si="3"/>
        <v>1067.289714916184</v>
      </c>
      <c r="H23" s="67">
        <f t="shared" si="3"/>
        <v>0</v>
      </c>
      <c r="I23" s="67">
        <f t="shared" si="3"/>
        <v>0</v>
      </c>
    </row>
    <row r="24" spans="1:16">
      <c r="A24" s="7" t="str">
        <f>HLOOKUP(INDICE!$F$2,Nombres!$C$3:$D$636,49,FALSE)</f>
        <v>Non-controlling interests</v>
      </c>
      <c r="B24" s="70">
        <v>-91.930688168092672</v>
      </c>
      <c r="C24" s="70">
        <v>-87.839527173196288</v>
      </c>
      <c r="D24" s="70">
        <v>-88.274163931932236</v>
      </c>
      <c r="E24" s="71">
        <v>-94.467537677652075</v>
      </c>
      <c r="F24" s="70">
        <v>-93.623037291914173</v>
      </c>
      <c r="G24" s="70">
        <v>-96.432428316270617</v>
      </c>
      <c r="H24" s="70">
        <v>0</v>
      </c>
      <c r="I24" s="70">
        <v>0</v>
      </c>
    </row>
    <row r="25" spans="1:16">
      <c r="A25" s="18" t="str">
        <f>HLOOKUP(INDICE!$F$2,Nombres!$C$3:$D$636,50,FALSE)</f>
        <v>Net attributable profit</v>
      </c>
      <c r="B25" s="18">
        <f>+B23+B24</f>
        <v>921.58425313104385</v>
      </c>
      <c r="C25" s="18">
        <f t="shared" ref="C25:I25" si="4">+C23+C24</f>
        <v>816.44843667976329</v>
      </c>
      <c r="D25" s="18">
        <f t="shared" si="4"/>
        <v>885.8173270913278</v>
      </c>
      <c r="E25" s="18">
        <f t="shared" si="4"/>
        <v>828.49325817183126</v>
      </c>
      <c r="F25" s="88">
        <f t="shared" si="4"/>
        <v>1083.2950518755167</v>
      </c>
      <c r="G25" s="88">
        <f t="shared" si="4"/>
        <v>970.85728659991344</v>
      </c>
      <c r="H25" s="88">
        <f t="shared" si="4"/>
        <v>0</v>
      </c>
      <c r="I25" s="88">
        <f t="shared" si="4"/>
        <v>0</v>
      </c>
    </row>
    <row r="26" spans="1:16" ht="24.75" customHeight="1">
      <c r="A26" s="26"/>
      <c r="B26" s="93">
        <v>1.5916157281026244E-12</v>
      </c>
      <c r="C26" s="93">
        <v>0</v>
      </c>
      <c r="D26" s="93">
        <v>0</v>
      </c>
      <c r="E26" s="93">
        <v>0</v>
      </c>
      <c r="F26" s="93">
        <v>0</v>
      </c>
      <c r="G26" s="93">
        <v>0</v>
      </c>
      <c r="H26" s="93">
        <v>0</v>
      </c>
      <c r="I26" s="93">
        <v>0</v>
      </c>
    </row>
    <row r="27" spans="1:16">
      <c r="A27" s="17"/>
      <c r="B27" s="17"/>
      <c r="C27" s="17"/>
      <c r="D27" s="17"/>
      <c r="E27" s="17"/>
      <c r="F27" s="17"/>
      <c r="G27" s="17"/>
      <c r="H27" s="17"/>
      <c r="I27" s="17"/>
    </row>
    <row r="28" spans="1:16" ht="17">
      <c r="A28" s="59" t="str">
        <f>HLOOKUP(INDICE!$F$2,Nombres!$C$3:$D$636,51,FALSE)</f>
        <v>Balance sheets</v>
      </c>
      <c r="B28" s="60"/>
      <c r="C28" s="60"/>
      <c r="D28" s="60"/>
      <c r="E28" s="60"/>
      <c r="F28" s="60"/>
      <c r="G28" s="60"/>
      <c r="H28" s="60"/>
      <c r="I28" s="60"/>
    </row>
    <row r="29" spans="1:16">
      <c r="A29" s="9" t="str">
        <f>HLOOKUP(INDICE!$F$2,Nombres!$C$3:$D$636,32,FALSE)</f>
        <v>(Million euros)</v>
      </c>
      <c r="B29" s="57"/>
      <c r="C29" s="78"/>
      <c r="D29" s="78"/>
      <c r="E29" s="78"/>
      <c r="F29" s="57"/>
      <c r="G29" s="79"/>
      <c r="H29" s="79"/>
      <c r="I29" s="79"/>
    </row>
    <row r="30" spans="1:16">
      <c r="A30" s="57"/>
      <c r="B30" s="80">
        <f>+España!B32</f>
        <v>45747</v>
      </c>
      <c r="C30" s="80">
        <f>+España!C32</f>
        <v>45838</v>
      </c>
      <c r="D30" s="80">
        <f>+España!D32</f>
        <v>45930</v>
      </c>
      <c r="E30" s="92">
        <f>+España!E32</f>
        <v>46022</v>
      </c>
      <c r="F30" s="94">
        <f>+España!F32</f>
        <v>46112</v>
      </c>
      <c r="G30" s="94">
        <f>+España!G32</f>
        <v>46203</v>
      </c>
      <c r="H30" s="94">
        <f>+España!H32</f>
        <v>46295</v>
      </c>
      <c r="I30" s="94">
        <f>+España!I32</f>
        <v>46387</v>
      </c>
    </row>
    <row r="31" spans="1:16">
      <c r="A31" s="7" t="str">
        <f>HLOOKUP(INDICE!$F$2,Nombres!$C$3:$D$636,52,FALSE)</f>
        <v>Cash, cash balances at central banks and other demand deposits</v>
      </c>
      <c r="B31" s="70">
        <v>10056.061279257257</v>
      </c>
      <c r="C31" s="70">
        <v>7360.8044031378895</v>
      </c>
      <c r="D31" s="70">
        <v>12992.036732606701</v>
      </c>
      <c r="E31" s="71">
        <v>15106.460087219712</v>
      </c>
      <c r="F31" s="70">
        <v>10862.18678841329</v>
      </c>
      <c r="G31" s="70">
        <v>16952.475324130442</v>
      </c>
      <c r="H31" s="70">
        <v>0</v>
      </c>
      <c r="I31" s="70">
        <v>0</v>
      </c>
      <c r="L31" s="68"/>
      <c r="M31" s="68"/>
      <c r="N31" s="68"/>
      <c r="O31" s="68"/>
      <c r="P31" s="68"/>
    </row>
    <row r="32" spans="1:16">
      <c r="A32" s="7" t="str">
        <f>HLOOKUP(INDICE!$F$2,Nombres!$C$3:$D$636,53,FALSE)</f>
        <v xml:space="preserve">Financial assets designated at fair value </v>
      </c>
      <c r="B32" s="79">
        <v>111153.26744788751</v>
      </c>
      <c r="C32" s="79">
        <v>115580.09353708848</v>
      </c>
      <c r="D32" s="79">
        <v>120314.3532507362</v>
      </c>
      <c r="E32" s="89">
        <v>130559.45487735129</v>
      </c>
      <c r="F32" s="70">
        <v>152171.38553386083</v>
      </c>
      <c r="G32" s="70">
        <v>168612.15144858905</v>
      </c>
      <c r="H32" s="70">
        <v>0</v>
      </c>
      <c r="I32" s="70">
        <v>0</v>
      </c>
      <c r="L32" s="68"/>
      <c r="M32" s="68"/>
      <c r="N32" s="68"/>
      <c r="O32" s="68"/>
      <c r="P32" s="68"/>
    </row>
    <row r="33" spans="1:16">
      <c r="A33" s="7" t="str">
        <f>HLOOKUP(INDICE!$F$2,Nombres!$C$3:$D$636,54,FALSE)</f>
        <v>Financial assets at amortized cost</v>
      </c>
      <c r="B33" s="70">
        <v>126340.62897221465</v>
      </c>
      <c r="C33" s="70">
        <v>134011.98842416768</v>
      </c>
      <c r="D33" s="70">
        <v>138842.5607163643</v>
      </c>
      <c r="E33" s="71">
        <v>154717.8175403715</v>
      </c>
      <c r="F33" s="70">
        <v>166717.23661819703</v>
      </c>
      <c r="G33" s="70">
        <v>184537.11515360739</v>
      </c>
      <c r="H33" s="70">
        <v>0</v>
      </c>
      <c r="I33" s="70">
        <v>0</v>
      </c>
      <c r="L33" s="68"/>
      <c r="M33" s="68"/>
      <c r="N33" s="68"/>
      <c r="O33" s="68"/>
      <c r="P33" s="68"/>
    </row>
    <row r="34" spans="1:16">
      <c r="A34" s="7" t="str">
        <f>HLOOKUP(INDICE!$F$2,Nombres!$C$3:$D$636,55,FALSE)</f>
        <v xml:space="preserve">    of which loans and advances to customers</v>
      </c>
      <c r="B34" s="70">
        <v>105869.33024800489</v>
      </c>
      <c r="C34" s="70">
        <v>110214.13664077473</v>
      </c>
      <c r="D34" s="70">
        <v>115494.41675545563</v>
      </c>
      <c r="E34" s="71">
        <v>129459.45858405413</v>
      </c>
      <c r="F34" s="70">
        <v>139215.07759783586</v>
      </c>
      <c r="G34" s="70">
        <v>153599.13689870786</v>
      </c>
      <c r="H34" s="70">
        <v>0</v>
      </c>
      <c r="I34" s="70">
        <v>0</v>
      </c>
      <c r="L34" s="68"/>
      <c r="M34" s="68"/>
      <c r="N34" s="68"/>
      <c r="O34" s="68"/>
      <c r="P34" s="68"/>
    </row>
    <row r="35" spans="1:16">
      <c r="A35" s="7" t="str">
        <f>HLOOKUP(INDICE!$F$2,Nombres!$C$3:$D$636,121,FALSE)</f>
        <v>Inter-area positions</v>
      </c>
      <c r="B35" s="70">
        <v>0</v>
      </c>
      <c r="C35" s="70">
        <v>0</v>
      </c>
      <c r="D35" s="70">
        <v>0</v>
      </c>
      <c r="E35" s="71">
        <v>0</v>
      </c>
      <c r="F35" s="70">
        <v>0</v>
      </c>
      <c r="G35" s="70">
        <v>0</v>
      </c>
      <c r="H35" s="70">
        <v>0</v>
      </c>
      <c r="I35" s="70">
        <v>0</v>
      </c>
      <c r="L35" s="68"/>
      <c r="M35" s="68"/>
      <c r="N35" s="68"/>
      <c r="O35" s="68"/>
      <c r="P35" s="68"/>
    </row>
    <row r="36" spans="1:16">
      <c r="A36" s="7" t="str">
        <f>HLOOKUP(INDICE!$F$2,Nombres!$C$3:$D$636,56,FALSE)</f>
        <v>Tangible assets</v>
      </c>
      <c r="B36" s="70">
        <v>-316.15194007680657</v>
      </c>
      <c r="C36" s="70">
        <v>215.21116140138918</v>
      </c>
      <c r="D36" s="70">
        <v>235.8295873267235</v>
      </c>
      <c r="E36" s="71">
        <v>268.89179555114987</v>
      </c>
      <c r="F36" s="70">
        <v>257.86076207038752</v>
      </c>
      <c r="G36" s="70">
        <v>264.51542746639342</v>
      </c>
      <c r="H36" s="70">
        <v>0</v>
      </c>
      <c r="I36" s="70">
        <v>0</v>
      </c>
      <c r="L36" s="68"/>
      <c r="M36" s="68"/>
      <c r="N36" s="68"/>
      <c r="O36" s="68"/>
      <c r="P36" s="68"/>
    </row>
    <row r="37" spans="1:16">
      <c r="A37" s="7" t="str">
        <f>HLOOKUP(INDICE!$F$2,Nombres!$C$3:$D$636,57,FALSE)</f>
        <v>Other assets</v>
      </c>
      <c r="B37" s="79">
        <f>+B38-B36-B33-B32-B31-B35</f>
        <v>4674.7009307650806</v>
      </c>
      <c r="C37" s="79">
        <f t="shared" ref="C37:I37" si="5">+C38-C36-C33-C32-C31-C35</f>
        <v>2095.7405231658695</v>
      </c>
      <c r="D37" s="79">
        <f t="shared" si="5"/>
        <v>3856.5886728754322</v>
      </c>
      <c r="E37" s="89">
        <f t="shared" si="5"/>
        <v>3639.7960983263401</v>
      </c>
      <c r="F37" s="79">
        <f t="shared" si="5"/>
        <v>4914.7868050955058</v>
      </c>
      <c r="G37" s="79">
        <f t="shared" si="5"/>
        <v>3885.8264423404471</v>
      </c>
      <c r="H37" s="79">
        <f t="shared" si="5"/>
        <v>0</v>
      </c>
      <c r="I37" s="79">
        <f t="shared" si="5"/>
        <v>0</v>
      </c>
      <c r="L37" s="68"/>
      <c r="M37" s="68"/>
      <c r="N37" s="68"/>
      <c r="O37" s="68"/>
      <c r="P37" s="68"/>
    </row>
    <row r="38" spans="1:16">
      <c r="A38" s="18" t="str">
        <f>HLOOKUP(INDICE!$F$2,Nombres!$C$3:$D$636,58,FALSE)</f>
        <v>Total assets / Liabilities and equity</v>
      </c>
      <c r="B38" s="18">
        <v>251908.50669004768</v>
      </c>
      <c r="C38" s="18">
        <v>259263.8380489613</v>
      </c>
      <c r="D38" s="18">
        <v>276241.36895990936</v>
      </c>
      <c r="E38" s="87">
        <v>304292.42039882002</v>
      </c>
      <c r="F38" s="88">
        <v>334923.45650763705</v>
      </c>
      <c r="G38" s="88">
        <v>374252.08379613369</v>
      </c>
      <c r="H38" s="88">
        <v>0</v>
      </c>
      <c r="I38" s="88">
        <v>0</v>
      </c>
      <c r="L38" s="68"/>
      <c r="M38" s="68"/>
      <c r="N38" s="68"/>
      <c r="O38" s="68"/>
      <c r="P38" s="68"/>
    </row>
    <row r="39" spans="1:16">
      <c r="A39" s="7" t="str">
        <f>HLOOKUP(INDICE!$F$2,Nombres!$C$3:$D$636,59,FALSE)</f>
        <v>Financial liabilities held for trading and designated at fair value through profit or loss</v>
      </c>
      <c r="B39" s="79">
        <v>80075.125382648344</v>
      </c>
      <c r="C39" s="79">
        <v>89438.991532194981</v>
      </c>
      <c r="D39" s="79">
        <v>92044.307279967645</v>
      </c>
      <c r="E39" s="89">
        <v>97798.239694309726</v>
      </c>
      <c r="F39" s="70">
        <v>111654.89686267532</v>
      </c>
      <c r="G39" s="70">
        <v>127799.60161961544</v>
      </c>
      <c r="H39" s="70">
        <v>0</v>
      </c>
      <c r="I39" s="70">
        <v>0</v>
      </c>
      <c r="L39" s="68"/>
      <c r="M39" s="68"/>
      <c r="N39" s="68"/>
      <c r="O39" s="68"/>
      <c r="P39" s="68"/>
    </row>
    <row r="40" spans="1:16">
      <c r="A40" s="7" t="str">
        <f>HLOOKUP(INDICE!$F$2,Nombres!$C$3:$D$636,60,FALSE)</f>
        <v>Deposits from central banks and credit institutions</v>
      </c>
      <c r="B40" s="79">
        <v>36763.000524781586</v>
      </c>
      <c r="C40" s="79">
        <v>32649.866392495194</v>
      </c>
      <c r="D40" s="79">
        <v>38010.764601605842</v>
      </c>
      <c r="E40" s="89">
        <v>41780.326186963794</v>
      </c>
      <c r="F40" s="70">
        <v>42852.028735864595</v>
      </c>
      <c r="G40" s="70">
        <v>47613.949854601218</v>
      </c>
      <c r="H40" s="70">
        <v>0</v>
      </c>
      <c r="I40" s="70">
        <v>0</v>
      </c>
      <c r="L40" s="68"/>
      <c r="M40" s="68"/>
      <c r="N40" s="68"/>
      <c r="O40" s="68"/>
      <c r="P40" s="68"/>
    </row>
    <row r="41" spans="1:16" ht="15.75" customHeight="1">
      <c r="A41" s="7" t="str">
        <f>HLOOKUP(INDICE!$F$2,Nombres!$C$3:$D$636,61,FALSE)</f>
        <v>Deposits from customers</v>
      </c>
      <c r="B41" s="79">
        <v>83224.51122170224</v>
      </c>
      <c r="C41" s="79">
        <v>79464.124547221916</v>
      </c>
      <c r="D41" s="79">
        <v>93789.246161961724</v>
      </c>
      <c r="E41" s="89">
        <v>105751.07571976454</v>
      </c>
      <c r="F41" s="70">
        <v>102810.27960184339</v>
      </c>
      <c r="G41" s="70">
        <v>106120.78827572821</v>
      </c>
      <c r="H41" s="70">
        <v>0</v>
      </c>
      <c r="I41" s="70">
        <v>0</v>
      </c>
      <c r="L41" s="68"/>
      <c r="M41" s="68"/>
      <c r="N41" s="68"/>
      <c r="O41" s="68"/>
      <c r="P41" s="68"/>
    </row>
    <row r="42" spans="1:16">
      <c r="A42" s="7" t="str">
        <f>HLOOKUP(INDICE!$F$2,Nombres!$C$3:$D$636,62,FALSE)</f>
        <v>Debt certificates</v>
      </c>
      <c r="B42" s="70">
        <v>11262.012976947117</v>
      </c>
      <c r="C42" s="70">
        <v>11180.697123817157</v>
      </c>
      <c r="D42" s="70">
        <v>12077.816323824276</v>
      </c>
      <c r="E42" s="71">
        <v>13766.238687142994</v>
      </c>
      <c r="F42" s="70">
        <v>15563.458052530588</v>
      </c>
      <c r="G42" s="70">
        <v>17286.650893271606</v>
      </c>
      <c r="H42" s="70">
        <v>0</v>
      </c>
      <c r="I42" s="70">
        <v>0</v>
      </c>
      <c r="L42" s="68"/>
      <c r="M42" s="68"/>
      <c r="N42" s="68"/>
      <c r="O42" s="68"/>
      <c r="P42" s="68"/>
    </row>
    <row r="43" spans="1:16">
      <c r="A43" s="7" t="str">
        <f>HLOOKUP(INDICE!$F$2,Nombres!$C$3:$D$636,122,FALSE)</f>
        <v>Inter-area positions</v>
      </c>
      <c r="B43" s="70">
        <v>27020.964358428431</v>
      </c>
      <c r="C43" s="70">
        <v>31088.510749892233</v>
      </c>
      <c r="D43" s="70">
        <v>22405.702777684819</v>
      </c>
      <c r="E43" s="71">
        <v>27534.74840333769</v>
      </c>
      <c r="F43" s="70">
        <v>43910.883098578648</v>
      </c>
      <c r="G43" s="70">
        <v>52721.749737738159</v>
      </c>
      <c r="H43" s="70">
        <v>0</v>
      </c>
      <c r="I43" s="70">
        <v>0</v>
      </c>
      <c r="L43" s="68"/>
      <c r="M43" s="68"/>
      <c r="N43" s="68"/>
      <c r="O43" s="68"/>
      <c r="P43" s="68"/>
    </row>
    <row r="44" spans="1:16">
      <c r="A44" s="7" t="str">
        <f>HLOOKUP(INDICE!$F$2,Nombres!$C$3:$D$636,63,FALSE)</f>
        <v>Other liabilities</v>
      </c>
      <c r="B44" s="70">
        <f t="shared" ref="B44:I44" si="6">+B38-B39-B40-B41-B42-B45-B43</f>
        <v>-371.05615320503784</v>
      </c>
      <c r="C44" s="70">
        <f t="shared" si="6"/>
        <v>1851.6813575821907</v>
      </c>
      <c r="D44" s="70">
        <f t="shared" si="6"/>
        <v>4182.7937161313384</v>
      </c>
      <c r="E44" s="71">
        <f t="shared" si="6"/>
        <v>3490.4664289195061</v>
      </c>
      <c r="F44" s="70">
        <f t="shared" si="6"/>
        <v>3352.7022806531459</v>
      </c>
      <c r="G44" s="70">
        <f t="shared" si="6"/>
        <v>7152.593932267373</v>
      </c>
      <c r="H44" s="70">
        <f t="shared" si="6"/>
        <v>0</v>
      </c>
      <c r="I44" s="70">
        <f t="shared" si="6"/>
        <v>0</v>
      </c>
      <c r="L44" s="68"/>
      <c r="M44" s="68"/>
      <c r="N44" s="68"/>
      <c r="O44" s="68"/>
      <c r="P44" s="68"/>
    </row>
    <row r="45" spans="1:16">
      <c r="A45" s="7" t="str">
        <f>HLOOKUP(INDICE!$F$2,Nombres!$C$3:$D$636,282,FALSE)</f>
        <v>Allocated regulatory capital</v>
      </c>
      <c r="B45" s="70">
        <v>13933.948378745001</v>
      </c>
      <c r="C45" s="70">
        <v>13589.966345757633</v>
      </c>
      <c r="D45" s="70">
        <v>13730.738098733729</v>
      </c>
      <c r="E45" s="71">
        <v>14171.325278381781</v>
      </c>
      <c r="F45" s="70">
        <v>14779.207875491378</v>
      </c>
      <c r="G45" s="70">
        <v>15556.749482911662</v>
      </c>
      <c r="H45" s="70">
        <v>0</v>
      </c>
      <c r="I45" s="70">
        <v>0</v>
      </c>
      <c r="L45" s="68"/>
      <c r="M45" s="68"/>
      <c r="N45" s="68"/>
      <c r="O45" s="68"/>
      <c r="P45" s="68"/>
    </row>
    <row r="46" spans="1:16">
      <c r="A46" s="8"/>
      <c r="B46" s="79"/>
      <c r="C46" s="79"/>
      <c r="D46" s="79"/>
      <c r="E46" s="79"/>
      <c r="F46" s="79"/>
      <c r="G46" s="79"/>
      <c r="H46" s="79"/>
      <c r="I46" s="79"/>
    </row>
    <row r="47" spans="1:16">
      <c r="A47" s="7"/>
      <c r="B47" s="79"/>
      <c r="C47" s="79"/>
      <c r="D47" s="79"/>
      <c r="E47" s="79"/>
      <c r="F47" s="79"/>
      <c r="G47" s="79"/>
      <c r="H47" s="79"/>
      <c r="I47" s="79"/>
    </row>
    <row r="48" spans="1:16" ht="17">
      <c r="A48" s="59" t="str">
        <f>HLOOKUP(INDICE!$F$2,Nombres!$C$3:$D$636,65,FALSE)</f>
        <v>Relevant business indicators</v>
      </c>
      <c r="B48" s="60"/>
      <c r="C48" s="60"/>
      <c r="D48" s="60"/>
      <c r="E48" s="60"/>
      <c r="F48" s="60"/>
      <c r="G48" s="60"/>
      <c r="H48" s="60"/>
      <c r="I48" s="60"/>
    </row>
    <row r="49" spans="1:9">
      <c r="A49" s="9" t="str">
        <f>HLOOKUP(INDICE!$F$2,Nombres!$C$3:$D$636,32,FALSE)</f>
        <v>(Million euros)</v>
      </c>
      <c r="B49" s="57"/>
      <c r="C49" s="57"/>
      <c r="D49" s="57"/>
      <c r="E49" s="57"/>
      <c r="F49" s="57"/>
      <c r="G49" s="79"/>
      <c r="H49" s="79"/>
      <c r="I49" s="79"/>
    </row>
    <row r="50" spans="1:9">
      <c r="A50" s="57"/>
      <c r="B50" s="80">
        <f t="shared" ref="B50:I50" si="7">+B$30</f>
        <v>45747</v>
      </c>
      <c r="C50" s="80">
        <f t="shared" si="7"/>
        <v>45838</v>
      </c>
      <c r="D50" s="80">
        <f t="shared" si="7"/>
        <v>45930</v>
      </c>
      <c r="E50" s="92">
        <f t="shared" si="7"/>
        <v>46022</v>
      </c>
      <c r="F50" s="94">
        <f t="shared" si="7"/>
        <v>46112</v>
      </c>
      <c r="G50" s="94">
        <f t="shared" si="7"/>
        <v>46203</v>
      </c>
      <c r="H50" s="94">
        <f t="shared" si="7"/>
        <v>46295</v>
      </c>
      <c r="I50" s="94">
        <f t="shared" si="7"/>
        <v>46387</v>
      </c>
    </row>
    <row r="51" spans="1:9" ht="15" customHeight="1">
      <c r="A51" s="7" t="str">
        <f>HLOOKUP(INDICE!$F$2,Nombres!$C$3:$D$636,66,FALSE)</f>
        <v>Loans and advances to customers (gross) (*)</v>
      </c>
      <c r="B51" s="70">
        <v>106087.80646899863</v>
      </c>
      <c r="C51" s="70">
        <v>109487.14184501581</v>
      </c>
      <c r="D51" s="70">
        <v>114398.88412507782</v>
      </c>
      <c r="E51" s="71">
        <v>126922.95900898194</v>
      </c>
      <c r="F51" s="70">
        <v>139675.46958543576</v>
      </c>
      <c r="G51" s="70">
        <v>154155.3159433587</v>
      </c>
      <c r="H51" s="70">
        <v>0</v>
      </c>
      <c r="I51" s="70">
        <v>0</v>
      </c>
    </row>
    <row r="52" spans="1:9">
      <c r="A52" s="7" t="str">
        <f>HLOOKUP(INDICE!$F$2,Nombres!$C$3:$D$636,67,FALSE)</f>
        <v>Customer deposits under management (*)</v>
      </c>
      <c r="B52" s="70">
        <v>79207.326438729797</v>
      </c>
      <c r="C52" s="70">
        <v>74158.260036060092</v>
      </c>
      <c r="D52" s="70">
        <v>88791.398824843811</v>
      </c>
      <c r="E52" s="71">
        <v>98567.362495319307</v>
      </c>
      <c r="F52" s="70">
        <v>95617.97916892705</v>
      </c>
      <c r="G52" s="70">
        <v>99917.516417967941</v>
      </c>
      <c r="H52" s="70">
        <v>0</v>
      </c>
      <c r="I52" s="70">
        <v>0</v>
      </c>
    </row>
    <row r="53" spans="1:9">
      <c r="A53" s="7" t="str">
        <f>HLOOKUP(INDICE!$F$2,Nombres!$C$3:$D$636,68,FALSE)</f>
        <v>Investment funds and managed portfolios</v>
      </c>
      <c r="B53" s="70">
        <v>3941.6934481478734</v>
      </c>
      <c r="C53" s="70">
        <v>3625.1078967511821</v>
      </c>
      <c r="D53" s="70">
        <v>4195.8607926128943</v>
      </c>
      <c r="E53" s="71">
        <v>3962.1542031473523</v>
      </c>
      <c r="F53" s="70">
        <v>1828.3766694787114</v>
      </c>
      <c r="G53" s="70">
        <v>1692.7467155231561</v>
      </c>
      <c r="H53" s="70">
        <v>0</v>
      </c>
      <c r="I53" s="70">
        <v>0</v>
      </c>
    </row>
    <row r="54" spans="1:9">
      <c r="A54" s="7" t="str">
        <f>HLOOKUP(INDICE!$F$2,Nombres!$C$3:$D$636,69,FALSE)</f>
        <v>Pension funds</v>
      </c>
      <c r="B54" s="70">
        <v>25.183210990000248</v>
      </c>
      <c r="C54" s="70">
        <v>25.753442840000151</v>
      </c>
      <c r="D54" s="70">
        <v>26.266501119999887</v>
      </c>
      <c r="E54" s="71">
        <v>9.6000099182128909E-7</v>
      </c>
      <c r="F54" s="70">
        <v>-4.4000005722045898E-7</v>
      </c>
      <c r="G54" s="70">
        <v>1.8999958038330077E-7</v>
      </c>
      <c r="H54" s="70">
        <v>0</v>
      </c>
      <c r="I54" s="70">
        <v>0</v>
      </c>
    </row>
    <row r="55" spans="1:9">
      <c r="A55" s="7" t="str">
        <f>HLOOKUP(INDICE!$F$2,Nombres!$C$3:$D$636,70,FALSE)</f>
        <v>Other off balance-sheet funds</v>
      </c>
      <c r="B55" s="70">
        <v>229.26301271087505</v>
      </c>
      <c r="C55" s="70">
        <v>248.90038308217467</v>
      </c>
      <c r="D55" s="70">
        <v>263.08886473328215</v>
      </c>
      <c r="E55" s="71">
        <v>432.15316268962545</v>
      </c>
      <c r="F55" s="70">
        <v>677.30005858644211</v>
      </c>
      <c r="G55" s="70">
        <v>745.44793961940934</v>
      </c>
      <c r="H55" s="70">
        <v>0</v>
      </c>
      <c r="I55" s="70">
        <v>0</v>
      </c>
    </row>
    <row r="56" spans="1:9">
      <c r="A56" s="8" t="str">
        <f>HLOOKUP(INDICE!$F$2,Nombres!$C$3:$D$636,71,FALSE)</f>
        <v xml:space="preserve">(*) Excluding repos. </v>
      </c>
      <c r="B56" s="79"/>
      <c r="C56" s="79"/>
      <c r="D56" s="79"/>
      <c r="E56" s="79"/>
      <c r="F56" s="79"/>
      <c r="G56" s="79"/>
      <c r="H56" s="79"/>
      <c r="I56" s="79"/>
    </row>
    <row r="57" spans="1:9">
      <c r="A57" s="8">
        <f>HLOOKUP(INDICE!$F$2,Nombres!$C$3:$D$636,72,FALSE)</f>
        <v>0</v>
      </c>
      <c r="B57" s="57"/>
      <c r="C57" s="57"/>
      <c r="D57" s="57"/>
      <c r="E57" s="57"/>
      <c r="F57" s="57"/>
      <c r="G57" s="57"/>
      <c r="H57" s="57"/>
      <c r="I57" s="57"/>
    </row>
    <row r="58" spans="1:9">
      <c r="A58" s="8"/>
      <c r="B58" s="57"/>
      <c r="C58" s="57"/>
      <c r="D58" s="57"/>
      <c r="E58" s="57"/>
      <c r="F58" s="57"/>
      <c r="G58" s="57"/>
      <c r="H58" s="57"/>
      <c r="I58" s="57"/>
    </row>
    <row r="59" spans="1:9" ht="17">
      <c r="A59" s="59" t="str">
        <f>HLOOKUP(INDICE!$F$2,Nombres!$C$3:$D$636,31,FALSE)</f>
        <v xml:space="preserve">Income statement  </v>
      </c>
      <c r="B59" s="60"/>
      <c r="C59" s="60"/>
      <c r="D59" s="60"/>
      <c r="E59" s="60"/>
      <c r="F59" s="60"/>
      <c r="G59" s="60"/>
      <c r="H59" s="60"/>
      <c r="I59" s="60"/>
    </row>
    <row r="60" spans="1:9">
      <c r="A60" s="9" t="str">
        <f>HLOOKUP(INDICE!$F$2,Nombres!$C$3:$D$636,73,FALSE)</f>
        <v xml:space="preserve">(Constant million euros)    </v>
      </c>
      <c r="B60" s="57"/>
      <c r="C60" s="61"/>
      <c r="D60" s="61"/>
      <c r="E60" s="61"/>
      <c r="F60" s="57"/>
      <c r="G60" s="57"/>
      <c r="H60" s="57"/>
      <c r="I60" s="57"/>
    </row>
    <row r="61" spans="1:9">
      <c r="A61" s="62"/>
      <c r="B61" s="57"/>
      <c r="C61" s="61"/>
      <c r="D61" s="61"/>
      <c r="E61" s="61"/>
      <c r="F61" s="57"/>
      <c r="G61" s="57"/>
      <c r="H61" s="57"/>
      <c r="I61" s="57"/>
    </row>
    <row r="62" spans="1:9">
      <c r="A62" s="63"/>
      <c r="B62" s="257">
        <f>+B$6</f>
        <v>2025</v>
      </c>
      <c r="C62" s="257"/>
      <c r="D62" s="257"/>
      <c r="E62" s="258"/>
      <c r="F62" s="257">
        <f>+F$6</f>
        <v>2026</v>
      </c>
      <c r="G62" s="257"/>
      <c r="H62" s="257"/>
      <c r="I62" s="257"/>
    </row>
    <row r="63" spans="1:9">
      <c r="A63" s="63"/>
      <c r="B63" s="64" t="str">
        <f>+B$7</f>
        <v>1Q</v>
      </c>
      <c r="C63" s="64" t="str">
        <f t="shared" ref="C63:I63" si="8">+C$7</f>
        <v>2Q</v>
      </c>
      <c r="D63" s="64" t="str">
        <f t="shared" si="8"/>
        <v>3Q</v>
      </c>
      <c r="E63" s="65" t="str">
        <f t="shared" si="8"/>
        <v>4Q</v>
      </c>
      <c r="F63" s="64" t="str">
        <f t="shared" si="8"/>
        <v>1Q</v>
      </c>
      <c r="G63" s="64" t="str">
        <f t="shared" si="8"/>
        <v>2Q</v>
      </c>
      <c r="H63" s="64" t="str">
        <f t="shared" si="8"/>
        <v>3Q</v>
      </c>
      <c r="I63" s="64" t="str">
        <f t="shared" si="8"/>
        <v>4Q</v>
      </c>
    </row>
    <row r="64" spans="1:9">
      <c r="A64" s="17" t="str">
        <f>HLOOKUP(INDICE!$F$2,Nombres!$C$3:$D$636,33,FALSE)</f>
        <v>Net interest income</v>
      </c>
      <c r="B64" s="17">
        <v>777.99069578601166</v>
      </c>
      <c r="C64" s="17">
        <v>900.28059144820975</v>
      </c>
      <c r="D64" s="17">
        <v>1026.5666982430773</v>
      </c>
      <c r="E64" s="66">
        <v>1115.3700156637606</v>
      </c>
      <c r="F64" s="67">
        <v>1010.119911591187</v>
      </c>
      <c r="G64" s="67">
        <v>1108.6671386161634</v>
      </c>
      <c r="H64" s="67">
        <v>0</v>
      </c>
      <c r="I64" s="67">
        <v>0</v>
      </c>
    </row>
    <row r="65" spans="1:9">
      <c r="A65" s="7" t="str">
        <f>HLOOKUP(INDICE!$F$2,Nombres!$C$3:$D$636,34,FALSE)</f>
        <v>Net fees and commissions</v>
      </c>
      <c r="B65" s="70">
        <v>350.89542522739782</v>
      </c>
      <c r="C65" s="70">
        <v>353.99997940830502</v>
      </c>
      <c r="D65" s="70">
        <v>383.03123531618553</v>
      </c>
      <c r="E65" s="71">
        <v>389.70094310688944</v>
      </c>
      <c r="F65" s="70">
        <v>472.18432407857682</v>
      </c>
      <c r="G65" s="70">
        <v>422.11897028543103</v>
      </c>
      <c r="H65" s="70">
        <v>0</v>
      </c>
      <c r="I65" s="70">
        <v>0</v>
      </c>
    </row>
    <row r="66" spans="1:9">
      <c r="A66" s="7" t="str">
        <f>HLOOKUP(INDICE!$F$2,Nombres!$C$3:$D$636,35,FALSE)</f>
        <v>Net trading income</v>
      </c>
      <c r="B66" s="70">
        <v>639.5501979119058</v>
      </c>
      <c r="C66" s="70">
        <v>439.7611386052273</v>
      </c>
      <c r="D66" s="70">
        <v>448.76655992775494</v>
      </c>
      <c r="E66" s="71">
        <v>456.82082966590343</v>
      </c>
      <c r="F66" s="70">
        <v>709.93025306308755</v>
      </c>
      <c r="G66" s="70">
        <v>568.07843558671107</v>
      </c>
      <c r="H66" s="70">
        <v>0</v>
      </c>
      <c r="I66" s="70">
        <v>0</v>
      </c>
    </row>
    <row r="67" spans="1:9">
      <c r="A67" s="7" t="str">
        <f>HLOOKUP(INDICE!$F$2,Nombres!$C$3:$D$636,36,FALSE)</f>
        <v>Other operating income and expenses</v>
      </c>
      <c r="B67" s="70">
        <v>-12.068568983521564</v>
      </c>
      <c r="C67" s="70">
        <v>-12.742347240808497</v>
      </c>
      <c r="D67" s="70">
        <v>-10.826647850178945</v>
      </c>
      <c r="E67" s="71">
        <v>-15.835700777772102</v>
      </c>
      <c r="F67" s="70">
        <v>-19.972979251759863</v>
      </c>
      <c r="G67" s="70">
        <v>-19.925476330071994</v>
      </c>
      <c r="H67" s="70">
        <v>0</v>
      </c>
      <c r="I67" s="70">
        <v>0</v>
      </c>
    </row>
    <row r="68" spans="1:9">
      <c r="A68" s="17" t="str">
        <f>HLOOKUP(INDICE!$F$2,Nombres!$C$3:$D$636,37,FALSE)</f>
        <v>Gross income</v>
      </c>
      <c r="B68" s="17">
        <f>+SUM(B64:B67)</f>
        <v>1756.3677499417938</v>
      </c>
      <c r="C68" s="17">
        <f t="shared" ref="C68:I68" si="9">+SUM(C64:C67)</f>
        <v>1681.2993622209335</v>
      </c>
      <c r="D68" s="17">
        <f t="shared" si="9"/>
        <v>1847.5378456368389</v>
      </c>
      <c r="E68" s="66">
        <f t="shared" si="9"/>
        <v>1946.0560876587815</v>
      </c>
      <c r="F68" s="67">
        <f t="shared" si="9"/>
        <v>2172.2615094810913</v>
      </c>
      <c r="G68" s="67">
        <f t="shared" si="9"/>
        <v>2078.9390681582336</v>
      </c>
      <c r="H68" s="67">
        <f t="shared" si="9"/>
        <v>0</v>
      </c>
      <c r="I68" s="67">
        <f t="shared" si="9"/>
        <v>0</v>
      </c>
    </row>
    <row r="69" spans="1:9">
      <c r="A69" s="7" t="str">
        <f>HLOOKUP(INDICE!$F$2,Nombres!$C$3:$D$636,38,FALSE)</f>
        <v>Operating expenses</v>
      </c>
      <c r="B69" s="70">
        <v>-436.97615541247018</v>
      </c>
      <c r="C69" s="70">
        <v>-447.44746873874499</v>
      </c>
      <c r="D69" s="70">
        <v>-467.58054494025265</v>
      </c>
      <c r="E69" s="71">
        <v>-606.65966342637682</v>
      </c>
      <c r="F69" s="70">
        <v>-532.53691170610625</v>
      </c>
      <c r="G69" s="70">
        <v>-568.72999688010668</v>
      </c>
      <c r="H69" s="70">
        <v>0</v>
      </c>
      <c r="I69" s="70">
        <v>0</v>
      </c>
    </row>
    <row r="70" spans="1:9">
      <c r="A70" s="7" t="str">
        <f>HLOOKUP(INDICE!$F$2,Nombres!$C$3:$D$636,39,FALSE)</f>
        <v xml:space="preserve">  Administration expenses</v>
      </c>
      <c r="B70" s="70">
        <v>-407.05694978189479</v>
      </c>
      <c r="C70" s="70">
        <v>-414.90586347611327</v>
      </c>
      <c r="D70" s="70">
        <v>-433.23526709145222</v>
      </c>
      <c r="E70" s="71">
        <v>-568.44769513964286</v>
      </c>
      <c r="F70" s="70">
        <v>-492.76478172742389</v>
      </c>
      <c r="G70" s="70">
        <v>-529.3959930577563</v>
      </c>
      <c r="H70" s="70">
        <v>0</v>
      </c>
      <c r="I70" s="70">
        <v>0</v>
      </c>
    </row>
    <row r="71" spans="1:9">
      <c r="A71" s="72" t="str">
        <f>HLOOKUP(INDICE!$F$2,Nombres!$C$3:$D$636,40,FALSE)</f>
        <v xml:space="preserve">  Personnel expenses</v>
      </c>
      <c r="B71" s="70">
        <v>-214.24360110837839</v>
      </c>
      <c r="C71" s="70">
        <v>-215.18894700626993</v>
      </c>
      <c r="D71" s="70">
        <v>-232.9640226246419</v>
      </c>
      <c r="E71" s="71">
        <v>-305.74218616996501</v>
      </c>
      <c r="F71" s="70">
        <v>-245.28093757350078</v>
      </c>
      <c r="G71" s="70">
        <v>-275.39668553892801</v>
      </c>
      <c r="H71" s="70">
        <v>0</v>
      </c>
      <c r="I71" s="70">
        <v>0</v>
      </c>
    </row>
    <row r="72" spans="1:9">
      <c r="A72" s="72" t="str">
        <f>HLOOKUP(INDICE!$F$2,Nombres!$C$3:$D$636,41,FALSE)</f>
        <v xml:space="preserve">  General and administrative expenses</v>
      </c>
      <c r="B72" s="70">
        <v>-192.8133486735164</v>
      </c>
      <c r="C72" s="70">
        <v>-199.71691646984334</v>
      </c>
      <c r="D72" s="70">
        <v>-200.27124446681034</v>
      </c>
      <c r="E72" s="71">
        <v>-262.70550896967779</v>
      </c>
      <c r="F72" s="70">
        <v>-247.48384415392323</v>
      </c>
      <c r="G72" s="70">
        <v>-253.99930751882826</v>
      </c>
      <c r="H72" s="70">
        <v>0</v>
      </c>
      <c r="I72" s="70">
        <v>0</v>
      </c>
    </row>
    <row r="73" spans="1:9">
      <c r="A73" s="7" t="str">
        <f>HLOOKUP(INDICE!$F$2,Nombres!$C$3:$D$636,42,FALSE)</f>
        <v xml:space="preserve">  Depreciation</v>
      </c>
      <c r="B73" s="70">
        <v>-29.91920563057537</v>
      </c>
      <c r="C73" s="70">
        <v>-32.541605262631727</v>
      </c>
      <c r="D73" s="70">
        <v>-34.345277848800514</v>
      </c>
      <c r="E73" s="71">
        <v>-38.211968286734134</v>
      </c>
      <c r="F73" s="70">
        <v>-39.772129978682315</v>
      </c>
      <c r="G73" s="70">
        <v>-39.334003822350425</v>
      </c>
      <c r="H73" s="70">
        <v>0</v>
      </c>
      <c r="I73" s="70">
        <v>0</v>
      </c>
    </row>
    <row r="74" spans="1:9">
      <c r="A74" s="17" t="str">
        <f>HLOOKUP(INDICE!$F$2,Nombres!$C$3:$D$636,43,FALSE)</f>
        <v>Operating income</v>
      </c>
      <c r="B74" s="17">
        <f>+B68+B69</f>
        <v>1319.3915945293236</v>
      </c>
      <c r="C74" s="17">
        <f t="shared" ref="C74:I74" si="10">+C68+C69</f>
        <v>1233.8518934821886</v>
      </c>
      <c r="D74" s="17">
        <f t="shared" si="10"/>
        <v>1379.9573006965863</v>
      </c>
      <c r="E74" s="66">
        <f t="shared" si="10"/>
        <v>1339.3964242324046</v>
      </c>
      <c r="F74" s="67">
        <f t="shared" si="10"/>
        <v>1639.7245977749849</v>
      </c>
      <c r="G74" s="67">
        <f t="shared" si="10"/>
        <v>1510.2090712781269</v>
      </c>
      <c r="H74" s="67">
        <f t="shared" si="10"/>
        <v>0</v>
      </c>
      <c r="I74" s="67">
        <f t="shared" si="10"/>
        <v>0</v>
      </c>
    </row>
    <row r="75" spans="1:9">
      <c r="A75" s="7" t="str">
        <f>HLOOKUP(INDICE!$F$2,Nombres!$C$3:$D$636,44,FALSE)</f>
        <v>Impaiment on financial assets not measured at fair value through profit or loss</v>
      </c>
      <c r="B75" s="70">
        <v>-25.137629113337859</v>
      </c>
      <c r="C75" s="70">
        <v>69.452610592702271</v>
      </c>
      <c r="D75" s="70">
        <v>14.799811914702623</v>
      </c>
      <c r="E75" s="71">
        <v>6.0141572288992498</v>
      </c>
      <c r="F75" s="70">
        <v>-16.410828886551972</v>
      </c>
      <c r="G75" s="70">
        <v>7.6285003009963592</v>
      </c>
      <c r="H75" s="70">
        <v>0</v>
      </c>
      <c r="I75" s="70">
        <v>0</v>
      </c>
    </row>
    <row r="76" spans="1:9">
      <c r="A76" s="7" t="str">
        <f>HLOOKUP(INDICE!$F$2,Nombres!$C$3:$D$636,45,FALSE)</f>
        <v>Provisions or reversal of provisions and other results</v>
      </c>
      <c r="B76" s="70">
        <v>15.208635009658337</v>
      </c>
      <c r="C76" s="70">
        <v>-4.1942725689544655</v>
      </c>
      <c r="D76" s="70">
        <v>-15.843540817301886</v>
      </c>
      <c r="E76" s="71">
        <v>-10.695067238916113</v>
      </c>
      <c r="F76" s="70">
        <v>0.31463868046787513</v>
      </c>
      <c r="G76" s="70">
        <v>4.4611346971182826</v>
      </c>
      <c r="H76" s="70">
        <v>0</v>
      </c>
      <c r="I76" s="70">
        <v>0</v>
      </c>
    </row>
    <row r="77" spans="1:9">
      <c r="A77" s="17" t="str">
        <f>HLOOKUP(INDICE!$F$2,Nombres!$C$3:$D$636,46,FALSE)</f>
        <v>Profit/(loss) before tax</v>
      </c>
      <c r="B77" s="17">
        <f>+B74+B75+B76</f>
        <v>1309.462600425644</v>
      </c>
      <c r="C77" s="17">
        <f t="shared" ref="C77:I77" si="11">+C74+C75+C76</f>
        <v>1299.1102315059366</v>
      </c>
      <c r="D77" s="17">
        <f t="shared" si="11"/>
        <v>1378.9135717939871</v>
      </c>
      <c r="E77" s="66">
        <f t="shared" si="11"/>
        <v>1334.7155142223876</v>
      </c>
      <c r="F77" s="67">
        <f t="shared" si="11"/>
        <v>1623.6284075689007</v>
      </c>
      <c r="G77" s="67">
        <f t="shared" si="11"/>
        <v>1522.2987062762415</v>
      </c>
      <c r="H77" s="67">
        <f t="shared" si="11"/>
        <v>0</v>
      </c>
      <c r="I77" s="67">
        <f t="shared" si="11"/>
        <v>0</v>
      </c>
    </row>
    <row r="78" spans="1:9">
      <c r="A78" s="7" t="str">
        <f>HLOOKUP(INDICE!$F$2,Nombres!$C$3:$D$636,47,FALSE)</f>
        <v>Income tax</v>
      </c>
      <c r="B78" s="70">
        <v>-361.57279438962615</v>
      </c>
      <c r="C78" s="70">
        <v>-378.71759671166313</v>
      </c>
      <c r="D78" s="70">
        <v>-379.88295701933424</v>
      </c>
      <c r="E78" s="71">
        <v>-379.58686055734807</v>
      </c>
      <c r="F78" s="70">
        <v>-456.76348455552989</v>
      </c>
      <c r="G78" s="70">
        <v>-444.95601872775569</v>
      </c>
      <c r="H78" s="70">
        <v>0</v>
      </c>
      <c r="I78" s="70">
        <v>0</v>
      </c>
    </row>
    <row r="79" spans="1:9">
      <c r="A79" s="17" t="str">
        <f>HLOOKUP(INDICE!$F$2,Nombres!$C$3:$D$636,48,FALSE)</f>
        <v>Profit/(loss) for the year</v>
      </c>
      <c r="B79" s="17">
        <f>+B77+B78</f>
        <v>947.88980603601794</v>
      </c>
      <c r="C79" s="17">
        <f t="shared" ref="C79:I79" si="12">+C77+C78</f>
        <v>920.39263479427336</v>
      </c>
      <c r="D79" s="17">
        <f t="shared" si="12"/>
        <v>999.0306147746528</v>
      </c>
      <c r="E79" s="66">
        <f t="shared" si="12"/>
        <v>955.12865366503956</v>
      </c>
      <c r="F79" s="67">
        <f t="shared" si="12"/>
        <v>1166.8649230133708</v>
      </c>
      <c r="G79" s="67">
        <f t="shared" si="12"/>
        <v>1077.3426875484859</v>
      </c>
      <c r="H79" s="67">
        <f t="shared" si="12"/>
        <v>0</v>
      </c>
      <c r="I79" s="67">
        <f t="shared" si="12"/>
        <v>0</v>
      </c>
    </row>
    <row r="80" spans="1:9">
      <c r="A80" s="7" t="str">
        <f>HLOOKUP(INDICE!$F$2,Nombres!$C$3:$D$636,49,FALSE)</f>
        <v>Non-controlling interests</v>
      </c>
      <c r="B80" s="70">
        <v>-79.724813207040313</v>
      </c>
      <c r="C80" s="70">
        <v>-86.849016360945953</v>
      </c>
      <c r="D80" s="70">
        <v>-90.970597438879253</v>
      </c>
      <c r="E80" s="71">
        <v>-98.911150447983687</v>
      </c>
      <c r="F80" s="70">
        <v>-91.28282735583447</v>
      </c>
      <c r="G80" s="70">
        <v>-98.772638252346994</v>
      </c>
      <c r="H80" s="70">
        <v>0</v>
      </c>
      <c r="I80" s="70">
        <v>0</v>
      </c>
    </row>
    <row r="81" spans="1:9">
      <c r="A81" s="18" t="str">
        <f>HLOOKUP(INDICE!$F$2,Nombres!$C$3:$D$636,50,FALSE)</f>
        <v>Net attributable profit</v>
      </c>
      <c r="B81" s="18">
        <f>+B79+B80</f>
        <v>868.16499282897757</v>
      </c>
      <c r="C81" s="18">
        <f t="shared" ref="C81:I81" si="13">+C79+C80</f>
        <v>833.54361843332742</v>
      </c>
      <c r="D81" s="18">
        <f t="shared" si="13"/>
        <v>908.06001733577352</v>
      </c>
      <c r="E81" s="18">
        <f t="shared" si="13"/>
        <v>856.21750321705588</v>
      </c>
      <c r="F81" s="88">
        <f t="shared" si="13"/>
        <v>1075.5820956575362</v>
      </c>
      <c r="G81" s="88">
        <f t="shared" si="13"/>
        <v>978.5700492961389</v>
      </c>
      <c r="H81" s="88">
        <f t="shared" si="13"/>
        <v>0</v>
      </c>
      <c r="I81" s="88">
        <f t="shared" si="13"/>
        <v>0</v>
      </c>
    </row>
    <row r="82" spans="1:9">
      <c r="A82" s="8"/>
      <c r="B82" s="93">
        <v>0</v>
      </c>
      <c r="C82" s="93">
        <v>0</v>
      </c>
      <c r="D82" s="93">
        <v>0</v>
      </c>
      <c r="E82" s="93">
        <v>0</v>
      </c>
      <c r="F82" s="93">
        <v>0</v>
      </c>
      <c r="G82" s="93">
        <v>0</v>
      </c>
      <c r="H82" s="93">
        <v>0</v>
      </c>
      <c r="I82" s="93">
        <v>0</v>
      </c>
    </row>
    <row r="83" spans="1:9">
      <c r="A83" s="17"/>
      <c r="B83" s="17"/>
      <c r="C83" s="17"/>
      <c r="D83" s="17"/>
      <c r="E83" s="17"/>
      <c r="F83" s="67"/>
      <c r="G83" s="67"/>
      <c r="H83" s="67"/>
      <c r="I83" s="67"/>
    </row>
    <row r="84" spans="1:9" ht="17">
      <c r="A84" s="59" t="str">
        <f>HLOOKUP(INDICE!$F$2,Nombres!$C$3:$D$636,51,FALSE)</f>
        <v>Balance sheets</v>
      </c>
      <c r="B84" s="60"/>
      <c r="C84" s="60"/>
      <c r="D84" s="60"/>
      <c r="E84" s="60"/>
      <c r="F84" s="95"/>
      <c r="G84" s="95"/>
      <c r="H84" s="95"/>
      <c r="I84" s="95"/>
    </row>
    <row r="85" spans="1:9">
      <c r="A85" s="9" t="str">
        <f>HLOOKUP(INDICE!$F$2,Nombres!$C$3:$D$636,73,FALSE)</f>
        <v xml:space="preserve">(Constant million euros)    </v>
      </c>
      <c r="B85" s="57"/>
      <c r="C85" s="78"/>
      <c r="D85" s="78"/>
      <c r="E85" s="78"/>
      <c r="F85" s="96"/>
      <c r="G85" s="70"/>
      <c r="H85" s="70"/>
      <c r="I85" s="70"/>
    </row>
    <row r="86" spans="1:9">
      <c r="A86" s="57"/>
      <c r="B86" s="80">
        <f t="shared" ref="B86:I86" si="14">+B$30</f>
        <v>45747</v>
      </c>
      <c r="C86" s="80">
        <f t="shared" si="14"/>
        <v>45838</v>
      </c>
      <c r="D86" s="80">
        <f t="shared" si="14"/>
        <v>45930</v>
      </c>
      <c r="E86" s="92">
        <f t="shared" si="14"/>
        <v>46022</v>
      </c>
      <c r="F86" s="80">
        <f t="shared" si="14"/>
        <v>46112</v>
      </c>
      <c r="G86" s="80">
        <f t="shared" si="14"/>
        <v>46203</v>
      </c>
      <c r="H86" s="80">
        <f t="shared" si="14"/>
        <v>46295</v>
      </c>
      <c r="I86" s="80">
        <f t="shared" si="14"/>
        <v>46387</v>
      </c>
    </row>
    <row r="87" spans="1:9">
      <c r="A87" s="7" t="str">
        <f>HLOOKUP(INDICE!$F$2,Nombres!$C$3:$D$636,52,FALSE)</f>
        <v>Cash, cash balances at central banks and other demand deposits</v>
      </c>
      <c r="B87" s="70">
        <v>9391.7683906548918</v>
      </c>
      <c r="C87" s="70">
        <v>7314.9173147801685</v>
      </c>
      <c r="D87" s="70">
        <v>13280.406028528259</v>
      </c>
      <c r="E87" s="71">
        <v>15466.403264313372</v>
      </c>
      <c r="F87" s="70">
        <v>10932.819383240136</v>
      </c>
      <c r="G87" s="70">
        <v>16952.475324131818</v>
      </c>
      <c r="H87" s="70">
        <v>0</v>
      </c>
      <c r="I87" s="70">
        <v>0</v>
      </c>
    </row>
    <row r="88" spans="1:9">
      <c r="A88" s="7" t="str">
        <f>HLOOKUP(INDICE!$F$2,Nombres!$C$3:$D$636,53,FALSE)</f>
        <v xml:space="preserve">Financial assets designated at fair value </v>
      </c>
      <c r="B88" s="79">
        <v>113186.15212913351</v>
      </c>
      <c r="C88" s="79">
        <v>118363.22875002951</v>
      </c>
      <c r="D88" s="79">
        <v>122396.10800811645</v>
      </c>
      <c r="E88" s="89">
        <v>132274.99181247174</v>
      </c>
      <c r="F88" s="70">
        <v>153491.34154489642</v>
      </c>
      <c r="G88" s="70">
        <v>168612.15144858905</v>
      </c>
      <c r="H88" s="70">
        <v>0</v>
      </c>
      <c r="I88" s="70">
        <v>0</v>
      </c>
    </row>
    <row r="89" spans="1:9">
      <c r="A89" s="7" t="str">
        <f>HLOOKUP(INDICE!$F$2,Nombres!$C$3:$D$636,54,FALSE)</f>
        <v>Financial assets at amortized cost</v>
      </c>
      <c r="B89" s="70">
        <v>125385.25593598178</v>
      </c>
      <c r="C89" s="70">
        <v>136236.57168932879</v>
      </c>
      <c r="D89" s="70">
        <v>141073.75658896726</v>
      </c>
      <c r="E89" s="71">
        <v>157094.58042374958</v>
      </c>
      <c r="F89" s="70">
        <v>167864.66445651345</v>
      </c>
      <c r="G89" s="70">
        <v>184537.11515360876</v>
      </c>
      <c r="H89" s="70">
        <v>0</v>
      </c>
      <c r="I89" s="70">
        <v>0</v>
      </c>
    </row>
    <row r="90" spans="1:9">
      <c r="A90" s="7" t="str">
        <f>HLOOKUP(INDICE!$F$2,Nombres!$C$3:$D$636,55,FALSE)</f>
        <v xml:space="preserve">    of which loans and advances to customers</v>
      </c>
      <c r="B90" s="70">
        <v>104807.25091702802</v>
      </c>
      <c r="C90" s="70">
        <v>112064.20484283642</v>
      </c>
      <c r="D90" s="70">
        <v>117436.19275031667</v>
      </c>
      <c r="E90" s="71">
        <v>131547.0870555818</v>
      </c>
      <c r="F90" s="70">
        <v>140204.25806107951</v>
      </c>
      <c r="G90" s="70">
        <v>153599.13689870932</v>
      </c>
      <c r="H90" s="70">
        <v>0</v>
      </c>
      <c r="I90" s="70">
        <v>0</v>
      </c>
    </row>
    <row r="91" spans="1:9">
      <c r="A91" s="7" t="str">
        <f>HLOOKUP(INDICE!$F$2,Nombres!$C$3:$D$636,121,FALSE)</f>
        <v>Inter-area positions</v>
      </c>
      <c r="B91" s="70">
        <v>0</v>
      </c>
      <c r="C91" s="70">
        <v>0</v>
      </c>
      <c r="D91" s="70">
        <v>0</v>
      </c>
      <c r="E91" s="71">
        <v>0</v>
      </c>
      <c r="F91" s="70">
        <v>0</v>
      </c>
      <c r="G91" s="70">
        <v>0</v>
      </c>
      <c r="H91" s="70">
        <v>0</v>
      </c>
      <c r="I91" s="70">
        <v>0</v>
      </c>
    </row>
    <row r="92" spans="1:9">
      <c r="A92" s="7" t="str">
        <f>HLOOKUP(INDICE!$F$2,Nombres!$C$3:$D$636,56,FALSE)</f>
        <v>Tangible assets</v>
      </c>
      <c r="B92" s="70">
        <v>-376.89565565519302</v>
      </c>
      <c r="C92" s="70">
        <v>219.94169044162823</v>
      </c>
      <c r="D92" s="70">
        <v>240.92282849886254</v>
      </c>
      <c r="E92" s="71">
        <v>275.01746208201388</v>
      </c>
      <c r="F92" s="70">
        <v>259.74476304592321</v>
      </c>
      <c r="G92" s="70">
        <v>264.51542746639802</v>
      </c>
      <c r="H92" s="70">
        <v>0</v>
      </c>
      <c r="I92" s="70">
        <v>0</v>
      </c>
    </row>
    <row r="93" spans="1:9">
      <c r="A93" s="7" t="str">
        <f>HLOOKUP(INDICE!$F$2,Nombres!$C$3:$D$636,57,FALSE)</f>
        <v>Other assets</v>
      </c>
      <c r="B93" s="79">
        <f>+B94-B92-B89-B88-B87-B91</f>
        <v>4854.5839028593327</v>
      </c>
      <c r="C93" s="79">
        <f t="shared" ref="C93:I93" si="15">+C94-C92-C89-C88-C87-C91</f>
        <v>2236.016179725988</v>
      </c>
      <c r="D93" s="79">
        <f t="shared" si="15"/>
        <v>3996.5190507825773</v>
      </c>
      <c r="E93" s="89">
        <f t="shared" si="15"/>
        <v>3708.4364917753956</v>
      </c>
      <c r="F93" s="79">
        <f t="shared" si="15"/>
        <v>5032.1047111504831</v>
      </c>
      <c r="G93" s="79">
        <f t="shared" si="15"/>
        <v>3885.8264423404398</v>
      </c>
      <c r="H93" s="79">
        <f t="shared" si="15"/>
        <v>0</v>
      </c>
      <c r="I93" s="79">
        <f t="shared" si="15"/>
        <v>0</v>
      </c>
    </row>
    <row r="94" spans="1:9">
      <c r="A94" s="18" t="str">
        <f>HLOOKUP(INDICE!$F$2,Nombres!$C$3:$D$636,58,FALSE)</f>
        <v>Total assets / Liabilities and equity</v>
      </c>
      <c r="B94" s="18">
        <v>252440.86470297433</v>
      </c>
      <c r="C94" s="18">
        <v>264370.67562430608</v>
      </c>
      <c r="D94" s="18">
        <v>280987.71250489342</v>
      </c>
      <c r="E94" s="87">
        <v>308819.42945439211</v>
      </c>
      <c r="F94" s="88">
        <v>337580.67485884641</v>
      </c>
      <c r="G94" s="88">
        <v>374252.08379613649</v>
      </c>
      <c r="H94" s="88">
        <v>0</v>
      </c>
      <c r="I94" s="88">
        <v>0</v>
      </c>
    </row>
    <row r="95" spans="1:9">
      <c r="A95" s="7" t="str">
        <f>HLOOKUP(INDICE!$F$2,Nombres!$C$3:$D$636,59,FALSE)</f>
        <v>Financial liabilities held for trading and designated at fair value through profit or loss</v>
      </c>
      <c r="B95" s="79">
        <v>81179.62358885401</v>
      </c>
      <c r="C95" s="79">
        <v>90986.441202636182</v>
      </c>
      <c r="D95" s="79">
        <v>93190.220330579745</v>
      </c>
      <c r="E95" s="89">
        <v>98681.591344459899</v>
      </c>
      <c r="F95" s="70">
        <v>112264.53937394721</v>
      </c>
      <c r="G95" s="70">
        <v>127799.60161961544</v>
      </c>
      <c r="H95" s="70">
        <v>0</v>
      </c>
      <c r="I95" s="70">
        <v>0</v>
      </c>
    </row>
    <row r="96" spans="1:9">
      <c r="A96" s="7" t="str">
        <f>HLOOKUP(INDICE!$F$2,Nombres!$C$3:$D$636,60,FALSE)</f>
        <v>Deposits from central banks and credit institutions</v>
      </c>
      <c r="B96" s="79">
        <v>37021.750633785552</v>
      </c>
      <c r="C96" s="79">
        <v>32890.69091782577</v>
      </c>
      <c r="D96" s="79">
        <v>38366.008412177776</v>
      </c>
      <c r="E96" s="89">
        <v>42055.163774278881</v>
      </c>
      <c r="F96" s="70">
        <v>42993.22176204143</v>
      </c>
      <c r="G96" s="70">
        <v>47613.949854601422</v>
      </c>
      <c r="H96" s="70">
        <v>0</v>
      </c>
      <c r="I96" s="70">
        <v>0</v>
      </c>
    </row>
    <row r="97" spans="1:9">
      <c r="A97" s="7" t="str">
        <f>HLOOKUP(INDICE!$F$2,Nombres!$C$3:$D$636,61,FALSE)</f>
        <v>Deposits from customers</v>
      </c>
      <c r="B97" s="79">
        <v>81548.634237645427</v>
      </c>
      <c r="C97" s="79">
        <v>80388.338374614468</v>
      </c>
      <c r="D97" s="79">
        <v>95053.973955596957</v>
      </c>
      <c r="E97" s="89">
        <v>107185.01475351871</v>
      </c>
      <c r="F97" s="70">
        <v>103400.97160684862</v>
      </c>
      <c r="G97" s="70">
        <v>106120.78827572768</v>
      </c>
      <c r="H97" s="70">
        <v>0</v>
      </c>
      <c r="I97" s="70">
        <v>0</v>
      </c>
    </row>
    <row r="98" spans="1:9">
      <c r="A98" s="7" t="str">
        <f>HLOOKUP(INDICE!$F$2,Nombres!$C$3:$D$636,62,FALSE)</f>
        <v>Debt certificates</v>
      </c>
      <c r="B98" s="70">
        <v>11278.957594038773</v>
      </c>
      <c r="C98" s="70">
        <v>11333.972637060226</v>
      </c>
      <c r="D98" s="70">
        <v>12227.003326253009</v>
      </c>
      <c r="E98" s="71">
        <v>13899.355817758829</v>
      </c>
      <c r="F98" s="70">
        <v>15644.692194186353</v>
      </c>
      <c r="G98" s="70">
        <v>17286.650893271646</v>
      </c>
      <c r="H98" s="70">
        <v>0</v>
      </c>
      <c r="I98" s="70">
        <v>0</v>
      </c>
    </row>
    <row r="99" spans="1:9">
      <c r="A99" s="7" t="str">
        <f>HLOOKUP(INDICE!$F$2,Nombres!$C$3:$D$636,122,FALSE)</f>
        <v>Inter-area positions</v>
      </c>
      <c r="B99" s="70">
        <v>27973.615502535584</v>
      </c>
      <c r="C99" s="70">
        <v>33063.606894887751</v>
      </c>
      <c r="D99" s="70">
        <v>23943.399874091567</v>
      </c>
      <c r="E99" s="71">
        <v>29149.606922924468</v>
      </c>
      <c r="F99" s="70">
        <v>44956.268493767195</v>
      </c>
      <c r="G99" s="70">
        <v>52721.749737741244</v>
      </c>
      <c r="H99" s="70">
        <v>0</v>
      </c>
      <c r="I99" s="70">
        <v>0</v>
      </c>
    </row>
    <row r="100" spans="1:9">
      <c r="A100" s="7" t="str">
        <f>HLOOKUP(INDICE!$F$2,Nombres!$C$3:$D$636,63,FALSE)</f>
        <v>Other liabilities</v>
      </c>
      <c r="B100" s="70">
        <f t="shared" ref="B100:I100" si="16">+B94-B95-B96-B97-B98-B101-B99</f>
        <v>-330.70632865406515</v>
      </c>
      <c r="C100" s="70">
        <f t="shared" si="16"/>
        <v>1894.5558809470167</v>
      </c>
      <c r="D100" s="70">
        <f t="shared" si="16"/>
        <v>4235.6895516833138</v>
      </c>
      <c r="E100" s="71">
        <f t="shared" si="16"/>
        <v>3449.0746360768026</v>
      </c>
      <c r="F100" s="70">
        <f t="shared" si="16"/>
        <v>3416.2355449143142</v>
      </c>
      <c r="G100" s="70">
        <f t="shared" si="16"/>
        <v>7152.5939322673585</v>
      </c>
      <c r="H100" s="70">
        <f t="shared" si="16"/>
        <v>0</v>
      </c>
      <c r="I100" s="70">
        <f t="shared" si="16"/>
        <v>0</v>
      </c>
    </row>
    <row r="101" spans="1:9">
      <c r="A101" s="7" t="str">
        <f>HLOOKUP(INDICE!$F$2,Nombres!$C$3:$D$636,282,FALSE)</f>
        <v>Allocated regulatory capital</v>
      </c>
      <c r="B101" s="70">
        <v>13768.989474769041</v>
      </c>
      <c r="C101" s="70">
        <v>13813.069716334687</v>
      </c>
      <c r="D101" s="70">
        <v>13971.417054511059</v>
      </c>
      <c r="E101" s="71">
        <v>14399.622205374499</v>
      </c>
      <c r="F101" s="70">
        <v>14904.745883141291</v>
      </c>
      <c r="G101" s="70">
        <v>15556.749482911706</v>
      </c>
      <c r="H101" s="70">
        <v>0</v>
      </c>
      <c r="I101" s="70">
        <v>0</v>
      </c>
    </row>
    <row r="102" spans="1:9">
      <c r="A102" s="8"/>
      <c r="B102" s="79"/>
      <c r="C102" s="79"/>
      <c r="D102" s="79"/>
      <c r="E102" s="79"/>
      <c r="F102" s="70"/>
      <c r="G102" s="70"/>
      <c r="H102" s="70"/>
      <c r="I102" s="70"/>
    </row>
    <row r="103" spans="1:9">
      <c r="A103" s="7"/>
      <c r="B103" s="79"/>
      <c r="C103" s="79"/>
      <c r="D103" s="79"/>
      <c r="E103" s="79"/>
      <c r="F103" s="70"/>
      <c r="G103" s="70"/>
      <c r="H103" s="70"/>
      <c r="I103" s="70"/>
    </row>
    <row r="104" spans="1:9" ht="17">
      <c r="A104" s="59" t="str">
        <f>HLOOKUP(INDICE!$F$2,Nombres!$C$3:$D$636,65,FALSE)</f>
        <v>Relevant business indicators</v>
      </c>
      <c r="B104" s="60"/>
      <c r="C104" s="60"/>
      <c r="D104" s="60"/>
      <c r="E104" s="60"/>
      <c r="F104" s="95"/>
      <c r="G104" s="95"/>
      <c r="H104" s="95"/>
      <c r="I104" s="95"/>
    </row>
    <row r="105" spans="1:9">
      <c r="A105" s="9" t="str">
        <f>HLOOKUP(INDICE!$F$2,Nombres!$C$3:$D$636,73,FALSE)</f>
        <v xml:space="preserve">(Constant million euros)    </v>
      </c>
      <c r="B105" s="57"/>
      <c r="C105" s="57"/>
      <c r="D105" s="57"/>
      <c r="E105" s="57"/>
      <c r="F105" s="96"/>
      <c r="G105" s="70"/>
      <c r="H105" s="70"/>
      <c r="I105" s="70"/>
    </row>
    <row r="106" spans="1:9">
      <c r="A106" s="57"/>
      <c r="B106" s="80">
        <f t="shared" ref="B106:I106" si="17">+B$30</f>
        <v>45747</v>
      </c>
      <c r="C106" s="80">
        <f t="shared" si="17"/>
        <v>45838</v>
      </c>
      <c r="D106" s="80">
        <f t="shared" si="17"/>
        <v>45930</v>
      </c>
      <c r="E106" s="92">
        <f t="shared" si="17"/>
        <v>46022</v>
      </c>
      <c r="F106" s="80">
        <f t="shared" si="17"/>
        <v>46112</v>
      </c>
      <c r="G106" s="80">
        <f t="shared" si="17"/>
        <v>46203</v>
      </c>
      <c r="H106" s="80">
        <f t="shared" si="17"/>
        <v>46295</v>
      </c>
      <c r="I106" s="80">
        <f t="shared" si="17"/>
        <v>46387</v>
      </c>
    </row>
    <row r="107" spans="1:9">
      <c r="A107" s="7" t="str">
        <f>HLOOKUP(INDICE!$F$2,Nombres!$C$3:$D$636,66,FALSE)</f>
        <v>Loans and advances to customers (gross) (*)</v>
      </c>
      <c r="B107" s="70">
        <v>104915.78795743494</v>
      </c>
      <c r="C107" s="70">
        <v>111176.0572648292</v>
      </c>
      <c r="D107" s="70">
        <v>116199.8414755628</v>
      </c>
      <c r="E107" s="71">
        <v>128825.13928425542</v>
      </c>
      <c r="F107" s="70">
        <v>140661.63288657193</v>
      </c>
      <c r="G107" s="70">
        <v>154155.31594336015</v>
      </c>
      <c r="H107" s="70">
        <v>0</v>
      </c>
      <c r="I107" s="70">
        <v>0</v>
      </c>
    </row>
    <row r="108" spans="1:9">
      <c r="A108" s="7" t="str">
        <f>HLOOKUP(INDICE!$F$2,Nombres!$C$3:$D$636,67,FALSE)</f>
        <v>Customer deposits under management (*)</v>
      </c>
      <c r="B108" s="70">
        <v>77095.35012331848</v>
      </c>
      <c r="C108" s="70">
        <v>74521.494371200533</v>
      </c>
      <c r="D108" s="70">
        <v>89661.780884866777</v>
      </c>
      <c r="E108" s="71">
        <v>99574.276101723706</v>
      </c>
      <c r="F108" s="70">
        <v>95925.130260438222</v>
      </c>
      <c r="G108" s="70">
        <v>99917.516417967418</v>
      </c>
      <c r="H108" s="70">
        <v>0</v>
      </c>
      <c r="I108" s="70">
        <v>0</v>
      </c>
    </row>
    <row r="109" spans="1:9">
      <c r="A109" s="7" t="str">
        <f>HLOOKUP(INDICE!$F$2,Nombres!$C$3:$D$636,68,FALSE)</f>
        <v>Investment funds and managed portfolios</v>
      </c>
      <c r="B109" s="70">
        <v>3959.6848744709005</v>
      </c>
      <c r="C109" s="70">
        <v>3854.7028788312732</v>
      </c>
      <c r="D109" s="70">
        <v>4409.1299863242903</v>
      </c>
      <c r="E109" s="71">
        <v>4194.4518969252767</v>
      </c>
      <c r="F109" s="70">
        <v>1835.7136817475687</v>
      </c>
      <c r="G109" s="70">
        <v>1692.7467155231598</v>
      </c>
      <c r="H109" s="70">
        <v>0</v>
      </c>
      <c r="I109" s="70">
        <v>0</v>
      </c>
    </row>
    <row r="110" spans="1:9">
      <c r="A110" s="7" t="str">
        <f>HLOOKUP(INDICE!$F$2,Nombres!$C$3:$D$636,69,FALSE)</f>
        <v>Pension funds</v>
      </c>
      <c r="B110" s="70">
        <v>25.183210990000248</v>
      </c>
      <c r="C110" s="70">
        <v>25.753442840000151</v>
      </c>
      <c r="D110" s="70">
        <v>26.266501119999887</v>
      </c>
      <c r="E110" s="71">
        <v>9.6000099182128909E-7</v>
      </c>
      <c r="F110" s="70">
        <v>-4.4000005722045898E-7</v>
      </c>
      <c r="G110" s="70">
        <v>1.8999958038330077E-7</v>
      </c>
      <c r="H110" s="70">
        <v>0</v>
      </c>
      <c r="I110" s="70">
        <v>0</v>
      </c>
    </row>
    <row r="111" spans="1:9">
      <c r="A111" s="7" t="str">
        <f>HLOOKUP(INDICE!$F$2,Nombres!$C$3:$D$636,70,FALSE)</f>
        <v>Other off balance-sheet funds</v>
      </c>
      <c r="B111" s="70">
        <v>254.14063561118257</v>
      </c>
      <c r="C111" s="70">
        <v>276.24903643668335</v>
      </c>
      <c r="D111" s="70">
        <v>284.61395679391484</v>
      </c>
      <c r="E111" s="71">
        <v>458.5344164050058</v>
      </c>
      <c r="F111" s="70">
        <v>704.76571086510637</v>
      </c>
      <c r="G111" s="70">
        <v>745.44793962327037</v>
      </c>
      <c r="H111" s="70">
        <v>0</v>
      </c>
      <c r="I111" s="70">
        <v>0</v>
      </c>
    </row>
    <row r="112" spans="1:9">
      <c r="A112" s="8" t="str">
        <f>HLOOKUP(INDICE!$F$2,Nombres!$C$3:$D$636,71,FALSE)</f>
        <v xml:space="preserve">(*) Excluding repos. </v>
      </c>
      <c r="B112" s="79"/>
      <c r="C112" s="79"/>
      <c r="D112" s="79"/>
      <c r="E112" s="79"/>
      <c r="F112" s="79"/>
      <c r="G112" s="79"/>
      <c r="H112" s="79"/>
      <c r="I112" s="79"/>
    </row>
    <row r="113" spans="1:9">
      <c r="A113" s="8">
        <f>HLOOKUP(INDICE!$F$2,Nombres!$C$3:$D$636,72,FALSE)</f>
        <v>0</v>
      </c>
      <c r="B113" s="57"/>
      <c r="C113" s="57"/>
      <c r="D113" s="57"/>
      <c r="E113" s="57"/>
      <c r="F113" s="57"/>
      <c r="G113" s="57"/>
      <c r="H113" s="57"/>
      <c r="I113" s="57"/>
    </row>
    <row r="114" spans="1:9">
      <c r="A114" s="8"/>
      <c r="B114" s="79"/>
      <c r="C114" s="70"/>
      <c r="D114" s="70"/>
      <c r="E114" s="70"/>
      <c r="F114" s="70"/>
      <c r="G114" s="57"/>
      <c r="H114" s="57"/>
      <c r="I114" s="57"/>
    </row>
    <row r="119" spans="1:9">
      <c r="B119" s="68"/>
      <c r="C119" s="68"/>
      <c r="D119" s="68"/>
      <c r="E119" s="68"/>
      <c r="F119" s="68"/>
      <c r="G119" s="68"/>
      <c r="H119" s="68"/>
      <c r="I119" s="68"/>
    </row>
    <row r="120" spans="1:9">
      <c r="F120" s="102"/>
      <c r="G120" s="102"/>
      <c r="H120" s="102"/>
      <c r="I120" s="102"/>
    </row>
    <row r="121" spans="1:9">
      <c r="F121" s="102"/>
      <c r="G121" s="102"/>
      <c r="H121" s="102"/>
      <c r="I121" s="102"/>
    </row>
    <row r="122" spans="1:9">
      <c r="F122" s="102"/>
      <c r="G122" s="102"/>
      <c r="H122" s="102"/>
      <c r="I122" s="102"/>
    </row>
    <row r="123" spans="1:9">
      <c r="F123" s="102"/>
      <c r="G123" s="102"/>
      <c r="H123" s="102"/>
      <c r="I123" s="102"/>
    </row>
    <row r="124" spans="1:9">
      <c r="F124" s="102"/>
      <c r="G124" s="102"/>
      <c r="H124" s="102"/>
      <c r="I124" s="102"/>
    </row>
    <row r="125" spans="1:9">
      <c r="F125" s="102"/>
      <c r="G125" s="102"/>
      <c r="H125" s="102"/>
      <c r="I125" s="102"/>
    </row>
    <row r="126" spans="1:9">
      <c r="F126" s="102"/>
      <c r="G126" s="102"/>
      <c r="H126" s="102"/>
      <c r="I126" s="102"/>
    </row>
    <row r="127" spans="1:9">
      <c r="F127" s="102"/>
      <c r="G127" s="102"/>
      <c r="H127" s="102"/>
      <c r="I127" s="102"/>
    </row>
    <row r="128" spans="1:9">
      <c r="F128" s="102"/>
      <c r="G128" s="102"/>
      <c r="H128" s="102"/>
      <c r="I128" s="102"/>
    </row>
    <row r="129" spans="6:9">
      <c r="F129" s="102"/>
      <c r="G129" s="102"/>
      <c r="H129" s="102"/>
      <c r="I129" s="102"/>
    </row>
    <row r="130" spans="6:9">
      <c r="F130" s="102"/>
      <c r="G130" s="102"/>
      <c r="H130" s="102"/>
      <c r="I130" s="102"/>
    </row>
    <row r="131" spans="6:9">
      <c r="F131" s="102"/>
      <c r="G131" s="102"/>
      <c r="H131" s="102"/>
      <c r="I131" s="102"/>
    </row>
    <row r="132" spans="6:9">
      <c r="F132" s="102"/>
      <c r="G132" s="102"/>
      <c r="H132" s="102"/>
      <c r="I132" s="102"/>
    </row>
    <row r="133" spans="6:9">
      <c r="F133" s="102"/>
      <c r="G133" s="102"/>
      <c r="H133" s="102"/>
      <c r="I133" s="102"/>
    </row>
    <row r="134" spans="6:9">
      <c r="F134" s="102"/>
      <c r="G134" s="102"/>
      <c r="H134" s="102"/>
      <c r="I134" s="102"/>
    </row>
    <row r="135" spans="6:9">
      <c r="F135" s="102"/>
      <c r="G135" s="102"/>
      <c r="H135" s="102"/>
      <c r="I135" s="102"/>
    </row>
    <row r="136" spans="6:9">
      <c r="F136" s="102"/>
      <c r="G136" s="102"/>
      <c r="H136" s="102"/>
      <c r="I136" s="102"/>
    </row>
    <row r="137" spans="6:9">
      <c r="F137" s="102"/>
      <c r="G137" s="102"/>
      <c r="H137" s="102"/>
      <c r="I137" s="102"/>
    </row>
    <row r="138" spans="6:9">
      <c r="F138" s="102"/>
      <c r="G138" s="102"/>
      <c r="H138" s="102"/>
      <c r="I138" s="102"/>
    </row>
    <row r="139" spans="6:9">
      <c r="F139" s="102"/>
      <c r="G139" s="102"/>
      <c r="H139" s="102"/>
      <c r="I139" s="102"/>
    </row>
    <row r="140" spans="6:9">
      <c r="F140" s="102"/>
      <c r="G140" s="102"/>
      <c r="H140" s="102"/>
      <c r="I140" s="102"/>
    </row>
    <row r="141" spans="6:9">
      <c r="F141" s="102"/>
      <c r="G141" s="102"/>
      <c r="H141" s="102"/>
      <c r="I141" s="102"/>
    </row>
    <row r="142" spans="6:9">
      <c r="F142" s="102"/>
      <c r="G142" s="102"/>
      <c r="H142" s="102"/>
      <c r="I142" s="102"/>
    </row>
    <row r="143" spans="6:9">
      <c r="F143" s="102"/>
      <c r="G143" s="102"/>
      <c r="H143" s="102"/>
      <c r="I143" s="102"/>
    </row>
    <row r="144" spans="6:9">
      <c r="F144" s="102"/>
      <c r="G144" s="102"/>
      <c r="H144" s="102"/>
      <c r="I144" s="102"/>
    </row>
    <row r="145" spans="6:9">
      <c r="F145" s="102"/>
      <c r="G145" s="102"/>
      <c r="H145" s="102"/>
      <c r="I145" s="102"/>
    </row>
    <row r="146" spans="6:9">
      <c r="F146" s="102"/>
      <c r="G146" s="102"/>
      <c r="H146" s="102"/>
      <c r="I146" s="102"/>
    </row>
    <row r="147" spans="6:9">
      <c r="F147" s="102"/>
      <c r="G147" s="102"/>
      <c r="H147" s="102"/>
      <c r="I147" s="102"/>
    </row>
    <row r="148" spans="6:9">
      <c r="F148" s="102"/>
      <c r="G148" s="102"/>
      <c r="H148" s="102"/>
      <c r="I148" s="102"/>
    </row>
    <row r="149" spans="6:9">
      <c r="F149" s="102"/>
      <c r="G149" s="102"/>
      <c r="H149" s="102"/>
      <c r="I149" s="102"/>
    </row>
    <row r="150" spans="6:9">
      <c r="F150" s="102"/>
      <c r="G150" s="102"/>
      <c r="H150" s="102"/>
      <c r="I150" s="102"/>
    </row>
    <row r="151" spans="6:9">
      <c r="F151" s="102"/>
      <c r="G151" s="102"/>
      <c r="H151" s="102"/>
      <c r="I151" s="102"/>
    </row>
    <row r="152" spans="6:9">
      <c r="F152" s="102"/>
      <c r="G152" s="102"/>
      <c r="H152" s="102"/>
      <c r="I152" s="102"/>
    </row>
    <row r="153" spans="6:9">
      <c r="F153" s="102"/>
      <c r="G153" s="102"/>
      <c r="H153" s="102"/>
      <c r="I153" s="102"/>
    </row>
    <row r="154" spans="6:9">
      <c r="F154" s="102"/>
      <c r="G154" s="102"/>
      <c r="H154" s="102"/>
      <c r="I154" s="102"/>
    </row>
    <row r="155" spans="6:9">
      <c r="F155" s="102"/>
      <c r="G155" s="102"/>
      <c r="H155" s="102"/>
      <c r="I155" s="102"/>
    </row>
    <row r="156" spans="6:9">
      <c r="F156" s="102"/>
      <c r="G156" s="102"/>
      <c r="H156" s="102"/>
      <c r="I156" s="102"/>
    </row>
    <row r="157" spans="6:9">
      <c r="F157" s="102"/>
      <c r="G157" s="102"/>
      <c r="H157" s="102"/>
      <c r="I157" s="102"/>
    </row>
    <row r="158" spans="6:9">
      <c r="F158" s="102"/>
      <c r="G158" s="102"/>
      <c r="H158" s="102"/>
      <c r="I158" s="102"/>
    </row>
    <row r="159" spans="6:9">
      <c r="F159" s="102"/>
      <c r="G159" s="102"/>
      <c r="H159" s="102"/>
      <c r="I159" s="102"/>
    </row>
    <row r="160" spans="6:9">
      <c r="F160" s="102"/>
      <c r="G160" s="102"/>
      <c r="H160" s="102"/>
      <c r="I160" s="102"/>
    </row>
    <row r="161" spans="6:9">
      <c r="F161" s="102"/>
      <c r="G161" s="102"/>
      <c r="H161" s="102"/>
      <c r="I161" s="102"/>
    </row>
    <row r="162" spans="6:9">
      <c r="F162" s="102"/>
      <c r="G162" s="102"/>
      <c r="H162" s="102"/>
      <c r="I162" s="102"/>
    </row>
    <row r="163" spans="6:9">
      <c r="F163" s="102"/>
      <c r="G163" s="102"/>
      <c r="H163" s="102"/>
      <c r="I163" s="102"/>
    </row>
    <row r="164" spans="6:9">
      <c r="F164" s="102"/>
      <c r="G164" s="102"/>
      <c r="H164" s="102"/>
      <c r="I164" s="102"/>
    </row>
    <row r="165" spans="6:9">
      <c r="F165" s="102"/>
      <c r="G165" s="102"/>
      <c r="H165" s="102"/>
      <c r="I165" s="102"/>
    </row>
    <row r="166" spans="6:9">
      <c r="F166" s="102"/>
      <c r="G166" s="102"/>
      <c r="H166" s="102"/>
      <c r="I166" s="102"/>
    </row>
    <row r="1000" spans="1:1">
      <c r="A1000" t="s">
        <v>557</v>
      </c>
    </row>
  </sheetData>
  <mergeCells count="5">
    <mergeCell ref="A2:I2"/>
    <mergeCell ref="B6:E6"/>
    <mergeCell ref="F6:I6"/>
    <mergeCell ref="B62:E62"/>
    <mergeCell ref="F62:I62"/>
  </mergeCells>
  <conditionalFormatting sqref="B26:I26">
    <cfRule type="cellIs" dxfId="17" priority="2" operator="notBetween">
      <formula>0.5</formula>
      <formula>-0.5</formula>
    </cfRule>
  </conditionalFormatting>
  <conditionalFormatting sqref="B82:I82">
    <cfRule type="cellIs" dxfId="16" priority="1" operator="notBetween">
      <formula>0.5</formula>
      <formula>-0.5</formula>
    </cfRule>
  </conditionalFormatting>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C8D93-A891-4E2D-AB5D-10FF61FCE835}">
  <sheetPr>
    <tabColor theme="8"/>
  </sheetPr>
  <dimension ref="A1:L998"/>
  <sheetViews>
    <sheetView showGridLines="0" workbookViewId="0">
      <selection activeCell="L20" sqref="L20:L21"/>
    </sheetView>
  </sheetViews>
  <sheetFormatPr baseColWidth="10" defaultColWidth="12.54296875" defaultRowHeight="12.5"/>
  <cols>
    <col min="1" max="1" width="40.7265625" style="119" customWidth="1"/>
    <col min="2" max="7" width="10" style="119" customWidth="1"/>
    <col min="8" max="9" width="10" style="119" hidden="1" customWidth="1"/>
    <col min="10" max="256" width="12.54296875" style="119"/>
    <col min="257" max="257" width="40.7265625" style="119" customWidth="1"/>
    <col min="258" max="265" width="12.7265625" style="119" customWidth="1"/>
    <col min="266" max="512" width="12.54296875" style="119"/>
    <col min="513" max="513" width="40.7265625" style="119" customWidth="1"/>
    <col min="514" max="521" width="12.7265625" style="119" customWidth="1"/>
    <col min="522" max="768" width="12.54296875" style="119"/>
    <col min="769" max="769" width="40.7265625" style="119" customWidth="1"/>
    <col min="770" max="777" width="12.7265625" style="119" customWidth="1"/>
    <col min="778" max="1024" width="12.54296875" style="119"/>
    <col min="1025" max="1025" width="40.7265625" style="119" customWidth="1"/>
    <col min="1026" max="1033" width="12.7265625" style="119" customWidth="1"/>
    <col min="1034" max="1280" width="12.54296875" style="119"/>
    <col min="1281" max="1281" width="40.7265625" style="119" customWidth="1"/>
    <col min="1282" max="1289" width="12.7265625" style="119" customWidth="1"/>
    <col min="1290" max="1536" width="12.54296875" style="119"/>
    <col min="1537" max="1537" width="40.7265625" style="119" customWidth="1"/>
    <col min="1538" max="1545" width="12.7265625" style="119" customWidth="1"/>
    <col min="1546" max="1792" width="12.54296875" style="119"/>
    <col min="1793" max="1793" width="40.7265625" style="119" customWidth="1"/>
    <col min="1794" max="1801" width="12.7265625" style="119" customWidth="1"/>
    <col min="1802" max="2048" width="12.54296875" style="119"/>
    <col min="2049" max="2049" width="40.7265625" style="119" customWidth="1"/>
    <col min="2050" max="2057" width="12.7265625" style="119" customWidth="1"/>
    <col min="2058" max="2304" width="12.54296875" style="119"/>
    <col min="2305" max="2305" width="40.7265625" style="119" customWidth="1"/>
    <col min="2306" max="2313" width="12.7265625" style="119" customWidth="1"/>
    <col min="2314" max="2560" width="12.54296875" style="119"/>
    <col min="2561" max="2561" width="40.7265625" style="119" customWidth="1"/>
    <col min="2562" max="2569" width="12.7265625" style="119" customWidth="1"/>
    <col min="2570" max="2816" width="12.54296875" style="119"/>
    <col min="2817" max="2817" width="40.7265625" style="119" customWidth="1"/>
    <col min="2818" max="2825" width="12.7265625" style="119" customWidth="1"/>
    <col min="2826" max="3072" width="12.54296875" style="119"/>
    <col min="3073" max="3073" width="40.7265625" style="119" customWidth="1"/>
    <col min="3074" max="3081" width="12.7265625" style="119" customWidth="1"/>
    <col min="3082" max="3328" width="12.54296875" style="119"/>
    <col min="3329" max="3329" width="40.7265625" style="119" customWidth="1"/>
    <col min="3330" max="3337" width="12.7265625" style="119" customWidth="1"/>
    <col min="3338" max="3584" width="12.54296875" style="119"/>
    <col min="3585" max="3585" width="40.7265625" style="119" customWidth="1"/>
    <col min="3586" max="3593" width="12.7265625" style="119" customWidth="1"/>
    <col min="3594" max="3840" width="12.54296875" style="119"/>
    <col min="3841" max="3841" width="40.7265625" style="119" customWidth="1"/>
    <col min="3842" max="3849" width="12.7265625" style="119" customWidth="1"/>
    <col min="3850" max="4096" width="12.54296875" style="119"/>
    <col min="4097" max="4097" width="40.7265625" style="119" customWidth="1"/>
    <col min="4098" max="4105" width="12.7265625" style="119" customWidth="1"/>
    <col min="4106" max="4352" width="12.54296875" style="119"/>
    <col min="4353" max="4353" width="40.7265625" style="119" customWidth="1"/>
    <col min="4354" max="4361" width="12.7265625" style="119" customWidth="1"/>
    <col min="4362" max="4608" width="12.54296875" style="119"/>
    <col min="4609" max="4609" width="40.7265625" style="119" customWidth="1"/>
    <col min="4610" max="4617" width="12.7265625" style="119" customWidth="1"/>
    <col min="4618" max="4864" width="12.54296875" style="119"/>
    <col min="4865" max="4865" width="40.7265625" style="119" customWidth="1"/>
    <col min="4866" max="4873" width="12.7265625" style="119" customWidth="1"/>
    <col min="4874" max="5120" width="12.54296875" style="119"/>
    <col min="5121" max="5121" width="40.7265625" style="119" customWidth="1"/>
    <col min="5122" max="5129" width="12.7265625" style="119" customWidth="1"/>
    <col min="5130" max="5376" width="12.54296875" style="119"/>
    <col min="5377" max="5377" width="40.7265625" style="119" customWidth="1"/>
    <col min="5378" max="5385" width="12.7265625" style="119" customWidth="1"/>
    <col min="5386" max="5632" width="12.54296875" style="119"/>
    <col min="5633" max="5633" width="40.7265625" style="119" customWidth="1"/>
    <col min="5634" max="5641" width="12.7265625" style="119" customWidth="1"/>
    <col min="5642" max="5888" width="12.54296875" style="119"/>
    <col min="5889" max="5889" width="40.7265625" style="119" customWidth="1"/>
    <col min="5890" max="5897" width="12.7265625" style="119" customWidth="1"/>
    <col min="5898" max="6144" width="12.54296875" style="119"/>
    <col min="6145" max="6145" width="40.7265625" style="119" customWidth="1"/>
    <col min="6146" max="6153" width="12.7265625" style="119" customWidth="1"/>
    <col min="6154" max="6400" width="12.54296875" style="119"/>
    <col min="6401" max="6401" width="40.7265625" style="119" customWidth="1"/>
    <col min="6402" max="6409" width="12.7265625" style="119" customWidth="1"/>
    <col min="6410" max="6656" width="12.54296875" style="119"/>
    <col min="6657" max="6657" width="40.7265625" style="119" customWidth="1"/>
    <col min="6658" max="6665" width="12.7265625" style="119" customWidth="1"/>
    <col min="6666" max="6912" width="12.54296875" style="119"/>
    <col min="6913" max="6913" width="40.7265625" style="119" customWidth="1"/>
    <col min="6914" max="6921" width="12.7265625" style="119" customWidth="1"/>
    <col min="6922" max="7168" width="12.54296875" style="119"/>
    <col min="7169" max="7169" width="40.7265625" style="119" customWidth="1"/>
    <col min="7170" max="7177" width="12.7265625" style="119" customWidth="1"/>
    <col min="7178" max="7424" width="12.54296875" style="119"/>
    <col min="7425" max="7425" width="40.7265625" style="119" customWidth="1"/>
    <col min="7426" max="7433" width="12.7265625" style="119" customWidth="1"/>
    <col min="7434" max="7680" width="12.54296875" style="119"/>
    <col min="7681" max="7681" width="40.7265625" style="119" customWidth="1"/>
    <col min="7682" max="7689" width="12.7265625" style="119" customWidth="1"/>
    <col min="7690" max="7936" width="12.54296875" style="119"/>
    <col min="7937" max="7937" width="40.7265625" style="119" customWidth="1"/>
    <col min="7938" max="7945" width="12.7265625" style="119" customWidth="1"/>
    <col min="7946" max="8192" width="12.54296875" style="119"/>
    <col min="8193" max="8193" width="40.7265625" style="119" customWidth="1"/>
    <col min="8194" max="8201" width="12.7265625" style="119" customWidth="1"/>
    <col min="8202" max="8448" width="12.54296875" style="119"/>
    <col min="8449" max="8449" width="40.7265625" style="119" customWidth="1"/>
    <col min="8450" max="8457" width="12.7265625" style="119" customWidth="1"/>
    <col min="8458" max="8704" width="12.54296875" style="119"/>
    <col min="8705" max="8705" width="40.7265625" style="119" customWidth="1"/>
    <col min="8706" max="8713" width="12.7265625" style="119" customWidth="1"/>
    <col min="8714" max="8960" width="12.54296875" style="119"/>
    <col min="8961" max="8961" width="40.7265625" style="119" customWidth="1"/>
    <col min="8962" max="8969" width="12.7265625" style="119" customWidth="1"/>
    <col min="8970" max="9216" width="12.54296875" style="119"/>
    <col min="9217" max="9217" width="40.7265625" style="119" customWidth="1"/>
    <col min="9218" max="9225" width="12.7265625" style="119" customWidth="1"/>
    <col min="9226" max="9472" width="12.54296875" style="119"/>
    <col min="9473" max="9473" width="40.7265625" style="119" customWidth="1"/>
    <col min="9474" max="9481" width="12.7265625" style="119" customWidth="1"/>
    <col min="9482" max="9728" width="12.54296875" style="119"/>
    <col min="9729" max="9729" width="40.7265625" style="119" customWidth="1"/>
    <col min="9730" max="9737" width="12.7265625" style="119" customWidth="1"/>
    <col min="9738" max="9984" width="12.54296875" style="119"/>
    <col min="9985" max="9985" width="40.7265625" style="119" customWidth="1"/>
    <col min="9986" max="9993" width="12.7265625" style="119" customWidth="1"/>
    <col min="9994" max="10240" width="12.54296875" style="119"/>
    <col min="10241" max="10241" width="40.7265625" style="119" customWidth="1"/>
    <col min="10242" max="10249" width="12.7265625" style="119" customWidth="1"/>
    <col min="10250" max="10496" width="12.54296875" style="119"/>
    <col min="10497" max="10497" width="40.7265625" style="119" customWidth="1"/>
    <col min="10498" max="10505" width="12.7265625" style="119" customWidth="1"/>
    <col min="10506" max="10752" width="12.54296875" style="119"/>
    <col min="10753" max="10753" width="40.7265625" style="119" customWidth="1"/>
    <col min="10754" max="10761" width="12.7265625" style="119" customWidth="1"/>
    <col min="10762" max="11008" width="12.54296875" style="119"/>
    <col min="11009" max="11009" width="40.7265625" style="119" customWidth="1"/>
    <col min="11010" max="11017" width="12.7265625" style="119" customWidth="1"/>
    <col min="11018" max="11264" width="12.54296875" style="119"/>
    <col min="11265" max="11265" width="40.7265625" style="119" customWidth="1"/>
    <col min="11266" max="11273" width="12.7265625" style="119" customWidth="1"/>
    <col min="11274" max="11520" width="12.54296875" style="119"/>
    <col min="11521" max="11521" width="40.7265625" style="119" customWidth="1"/>
    <col min="11522" max="11529" width="12.7265625" style="119" customWidth="1"/>
    <col min="11530" max="11776" width="12.54296875" style="119"/>
    <col min="11777" max="11777" width="40.7265625" style="119" customWidth="1"/>
    <col min="11778" max="11785" width="12.7265625" style="119" customWidth="1"/>
    <col min="11786" max="12032" width="12.54296875" style="119"/>
    <col min="12033" max="12033" width="40.7265625" style="119" customWidth="1"/>
    <col min="12034" max="12041" width="12.7265625" style="119" customWidth="1"/>
    <col min="12042" max="12288" width="12.54296875" style="119"/>
    <col min="12289" max="12289" width="40.7265625" style="119" customWidth="1"/>
    <col min="12290" max="12297" width="12.7265625" style="119" customWidth="1"/>
    <col min="12298" max="12544" width="12.54296875" style="119"/>
    <col min="12545" max="12545" width="40.7265625" style="119" customWidth="1"/>
    <col min="12546" max="12553" width="12.7265625" style="119" customWidth="1"/>
    <col min="12554" max="12800" width="12.54296875" style="119"/>
    <col min="12801" max="12801" width="40.7265625" style="119" customWidth="1"/>
    <col min="12802" max="12809" width="12.7265625" style="119" customWidth="1"/>
    <col min="12810" max="13056" width="12.54296875" style="119"/>
    <col min="13057" max="13057" width="40.7265625" style="119" customWidth="1"/>
    <col min="13058" max="13065" width="12.7265625" style="119" customWidth="1"/>
    <col min="13066" max="13312" width="12.54296875" style="119"/>
    <col min="13313" max="13313" width="40.7265625" style="119" customWidth="1"/>
    <col min="13314" max="13321" width="12.7265625" style="119" customWidth="1"/>
    <col min="13322" max="13568" width="12.54296875" style="119"/>
    <col min="13569" max="13569" width="40.7265625" style="119" customWidth="1"/>
    <col min="13570" max="13577" width="12.7265625" style="119" customWidth="1"/>
    <col min="13578" max="13824" width="12.54296875" style="119"/>
    <col min="13825" max="13825" width="40.7265625" style="119" customWidth="1"/>
    <col min="13826" max="13833" width="12.7265625" style="119" customWidth="1"/>
    <col min="13834" max="14080" width="12.54296875" style="119"/>
    <col min="14081" max="14081" width="40.7265625" style="119" customWidth="1"/>
    <col min="14082" max="14089" width="12.7265625" style="119" customWidth="1"/>
    <col min="14090" max="14336" width="12.54296875" style="119"/>
    <col min="14337" max="14337" width="40.7265625" style="119" customWidth="1"/>
    <col min="14338" max="14345" width="12.7265625" style="119" customWidth="1"/>
    <col min="14346" max="14592" width="12.54296875" style="119"/>
    <col min="14593" max="14593" width="40.7265625" style="119" customWidth="1"/>
    <col min="14594" max="14601" width="12.7265625" style="119" customWidth="1"/>
    <col min="14602" max="14848" width="12.54296875" style="119"/>
    <col min="14849" max="14849" width="40.7265625" style="119" customWidth="1"/>
    <col min="14850" max="14857" width="12.7265625" style="119" customWidth="1"/>
    <col min="14858" max="15104" width="12.54296875" style="119"/>
    <col min="15105" max="15105" width="40.7265625" style="119" customWidth="1"/>
    <col min="15106" max="15113" width="12.7265625" style="119" customWidth="1"/>
    <col min="15114" max="15360" width="12.54296875" style="119"/>
    <col min="15361" max="15361" width="40.7265625" style="119" customWidth="1"/>
    <col min="15362" max="15369" width="12.7265625" style="119" customWidth="1"/>
    <col min="15370" max="15616" width="12.54296875" style="119"/>
    <col min="15617" max="15617" width="40.7265625" style="119" customWidth="1"/>
    <col min="15618" max="15625" width="12.7265625" style="119" customWidth="1"/>
    <col min="15626" max="15872" width="12.54296875" style="119"/>
    <col min="15873" max="15873" width="40.7265625" style="119" customWidth="1"/>
    <col min="15874" max="15881" width="12.7265625" style="119" customWidth="1"/>
    <col min="15882" max="16128" width="12.54296875" style="119"/>
    <col min="16129" max="16129" width="40.7265625" style="119" customWidth="1"/>
    <col min="16130" max="16137" width="12.7265625" style="119" customWidth="1"/>
    <col min="16138" max="16384" width="12.54296875" style="119"/>
  </cols>
  <sheetData>
    <row r="1" spans="1:12" ht="17">
      <c r="A1" s="59" t="str">
        <f>HLOOKUP(INDICE!$F$2,Nombres!$C$3:$D$636,82,FALSE)</f>
        <v>Efficiency (*)</v>
      </c>
      <c r="B1" s="118"/>
      <c r="C1" s="118"/>
      <c r="D1" s="118"/>
      <c r="E1" s="118"/>
      <c r="F1" s="118"/>
      <c r="G1" s="118"/>
      <c r="H1" s="118"/>
      <c r="I1" s="118"/>
    </row>
    <row r="2" spans="1:12">
      <c r="A2" s="120" t="str">
        <f>HLOOKUP(INDICE!$F$2,Nombres!$C$3:$D$636,84,FALSE)</f>
        <v>(Percentage)</v>
      </c>
      <c r="B2" s="121"/>
      <c r="C2" s="121"/>
      <c r="D2" s="121"/>
      <c r="E2" s="121"/>
      <c r="F2" s="121"/>
      <c r="G2" s="121"/>
      <c r="H2" s="121"/>
      <c r="I2" s="121"/>
    </row>
    <row r="3" spans="1:12" ht="13.5">
      <c r="A3" s="122"/>
      <c r="B3" s="123">
        <f>+España!B32</f>
        <v>45747</v>
      </c>
      <c r="C3" s="123">
        <f>+España!C32</f>
        <v>45838</v>
      </c>
      <c r="D3" s="123">
        <f>+España!D32</f>
        <v>45930</v>
      </c>
      <c r="E3" s="123">
        <f>+España!E32</f>
        <v>46022</v>
      </c>
      <c r="F3" s="123">
        <f>+España!F32</f>
        <v>46112</v>
      </c>
      <c r="G3" s="123">
        <f>+España!G32</f>
        <v>46203</v>
      </c>
      <c r="H3" s="123">
        <f>+España!H32</f>
        <v>46295</v>
      </c>
      <c r="I3" s="123">
        <f>+España!I32</f>
        <v>46387</v>
      </c>
    </row>
    <row r="4" spans="1:12">
      <c r="A4" s="121"/>
      <c r="B4" s="124"/>
      <c r="C4" s="124"/>
      <c r="D4" s="124"/>
      <c r="E4" s="125"/>
      <c r="F4" s="124"/>
      <c r="G4" s="124"/>
      <c r="H4" s="121"/>
      <c r="I4" s="121"/>
    </row>
    <row r="5" spans="1:12" customFormat="1" ht="14.5">
      <c r="A5" s="17" t="str">
        <f>HLOOKUP(INDICE!$F$2,Nombres!$C$3:$D$636,276,FALSE)</f>
        <v>BBVA Group  (**)</v>
      </c>
      <c r="B5" s="126">
        <v>38.204347779458018</v>
      </c>
      <c r="C5" s="126">
        <v>37.632612652307387</v>
      </c>
      <c r="D5" s="126">
        <v>38.179439808754331</v>
      </c>
      <c r="E5" s="127">
        <v>38.807306374954948</v>
      </c>
      <c r="F5" s="128">
        <v>38.007001560763058</v>
      </c>
      <c r="G5" s="128">
        <v>37.809109221454833</v>
      </c>
      <c r="H5" s="128">
        <v>0</v>
      </c>
      <c r="I5" s="128">
        <v>0</v>
      </c>
      <c r="J5" s="68"/>
      <c r="K5" s="68"/>
    </row>
    <row r="6" spans="1:12">
      <c r="A6" s="121"/>
      <c r="B6" s="129"/>
      <c r="C6" s="129"/>
      <c r="D6" s="129"/>
      <c r="E6" s="130"/>
      <c r="F6" s="129"/>
      <c r="G6" s="129"/>
      <c r="H6" s="129"/>
      <c r="I6" s="129"/>
      <c r="J6" s="131"/>
      <c r="K6" s="131"/>
      <c r="L6" s="131"/>
    </row>
    <row r="7" spans="1:12" customFormat="1" ht="14.5">
      <c r="A7" s="7" t="str">
        <f>HLOOKUP(INDICE!$F$2,Nombres!$C$3:$D$636,7,FALSE)</f>
        <v>Spain</v>
      </c>
      <c r="B7" s="132">
        <v>32.376377543777267</v>
      </c>
      <c r="C7" s="132">
        <v>31.425841756548913</v>
      </c>
      <c r="D7" s="132">
        <v>32.50866272796587</v>
      </c>
      <c r="E7" s="133">
        <v>33.260397162952586</v>
      </c>
      <c r="F7" s="134">
        <v>33.691275329756017</v>
      </c>
      <c r="G7" s="134">
        <v>33.595928282155207</v>
      </c>
      <c r="H7" s="134">
        <v>0</v>
      </c>
      <c r="I7" s="134">
        <v>0</v>
      </c>
      <c r="J7" s="68"/>
      <c r="K7" s="68"/>
    </row>
    <row r="8" spans="1:12" ht="14.25" customHeight="1">
      <c r="A8" s="121"/>
      <c r="B8" s="129"/>
      <c r="C8" s="129"/>
      <c r="D8" s="129"/>
      <c r="E8" s="130"/>
      <c r="F8" s="129"/>
      <c r="G8" s="129"/>
      <c r="H8" s="129"/>
      <c r="I8" s="129"/>
      <c r="J8" s="135"/>
      <c r="K8" s="131"/>
      <c r="L8" s="131"/>
    </row>
    <row r="9" spans="1:12" ht="14.25" customHeight="1">
      <c r="A9" s="7" t="str">
        <f>HLOOKUP(INDICE!$F$2,Nombres!$C$3:$D$636,11,FALSE)</f>
        <v>Mexico</v>
      </c>
      <c r="B9" s="132">
        <v>30.993632341195443</v>
      </c>
      <c r="C9" s="132">
        <v>30.68980927344057</v>
      </c>
      <c r="D9" s="132">
        <v>30.581327707042345</v>
      </c>
      <c r="E9" s="133">
        <v>30.526108889441062</v>
      </c>
      <c r="F9" s="134">
        <v>30.845088976680678</v>
      </c>
      <c r="G9" s="134">
        <v>30.751750862989159</v>
      </c>
      <c r="H9" s="134">
        <v>0</v>
      </c>
      <c r="I9" s="134">
        <v>0</v>
      </c>
      <c r="J9" s="135"/>
      <c r="K9" s="131"/>
      <c r="L9" s="131"/>
    </row>
    <row r="10" spans="1:12" ht="14.25" customHeight="1">
      <c r="A10" s="121"/>
      <c r="B10" s="129"/>
      <c r="C10" s="129"/>
      <c r="D10" s="129"/>
      <c r="E10" s="130"/>
      <c r="F10" s="129"/>
      <c r="G10" s="129"/>
      <c r="H10" s="129"/>
      <c r="I10" s="129"/>
      <c r="J10" s="135"/>
      <c r="K10" s="131"/>
      <c r="L10" s="131"/>
    </row>
    <row r="11" spans="1:12" customFormat="1" ht="14.5">
      <c r="A11" s="7" t="str">
        <f>HLOOKUP(INDICE!$F$2,Nombres!$C$3:$D$636,12,FALSE)</f>
        <v xml:space="preserve">Turkey </v>
      </c>
      <c r="B11" s="132">
        <v>45.539375650330214</v>
      </c>
      <c r="C11" s="132">
        <v>44.824278958005401</v>
      </c>
      <c r="D11" s="132">
        <v>43.714687709830102</v>
      </c>
      <c r="E11" s="133">
        <v>44.413518394300162</v>
      </c>
      <c r="F11" s="134">
        <v>39.634782046571402</v>
      </c>
      <c r="G11" s="134">
        <v>40.581996373307398</v>
      </c>
      <c r="H11" s="134">
        <v>0</v>
      </c>
      <c r="I11" s="134">
        <v>0</v>
      </c>
      <c r="J11" s="68"/>
      <c r="K11" s="68"/>
    </row>
    <row r="12" spans="1:12" ht="14.25" customHeight="1">
      <c r="A12" s="121"/>
      <c r="B12" s="129"/>
      <c r="C12" s="129"/>
      <c r="D12" s="129"/>
      <c r="E12" s="130"/>
      <c r="F12" s="129"/>
      <c r="G12" s="129"/>
      <c r="H12" s="129"/>
      <c r="I12" s="129"/>
      <c r="J12" s="131"/>
      <c r="K12" s="131"/>
      <c r="L12" s="131"/>
    </row>
    <row r="13" spans="1:12" customFormat="1" ht="14.5">
      <c r="A13" s="7" t="str">
        <f>HLOOKUP(INDICE!$F$2,Nombres!$C$3:$D$636,13,FALSE)</f>
        <v>South America</v>
      </c>
      <c r="B13" s="132">
        <v>44.59608286628319</v>
      </c>
      <c r="C13" s="132">
        <v>44.305265800719859</v>
      </c>
      <c r="D13" s="132">
        <v>44.226266924739292</v>
      </c>
      <c r="E13" s="133">
        <v>44.361014024616551</v>
      </c>
      <c r="F13" s="134">
        <v>41.607431678912398</v>
      </c>
      <c r="G13" s="134">
        <v>41.4608807059996</v>
      </c>
      <c r="H13" s="134">
        <v>0</v>
      </c>
      <c r="I13" s="134">
        <v>0</v>
      </c>
      <c r="J13" s="68"/>
      <c r="K13" s="68"/>
    </row>
    <row r="14" spans="1:12">
      <c r="A14" s="121"/>
      <c r="B14" s="129"/>
      <c r="C14" s="129"/>
      <c r="D14" s="129"/>
      <c r="E14" s="130"/>
      <c r="F14" s="129"/>
      <c r="G14" s="129"/>
      <c r="H14" s="129"/>
      <c r="I14" s="129"/>
      <c r="J14" s="131"/>
      <c r="K14" s="131"/>
      <c r="L14" s="131"/>
    </row>
    <row r="15" spans="1:12">
      <c r="A15" s="7" t="str">
        <f>HLOOKUP(INDICE!$F$2,Nombres!$C$3:$D$636,263,FALSE)</f>
        <v>Rest of Business</v>
      </c>
      <c r="B15" s="132">
        <v>43.545560477448923</v>
      </c>
      <c r="C15" s="132">
        <v>45.780015276856048</v>
      </c>
      <c r="D15" s="132">
        <v>45.987312154350619</v>
      </c>
      <c r="E15" s="133">
        <v>49.023020076180714</v>
      </c>
      <c r="F15" s="134">
        <v>40.220801233190045</v>
      </c>
      <c r="G15" s="134">
        <v>41.613007218072518</v>
      </c>
      <c r="H15" s="134">
        <v>0</v>
      </c>
      <c r="I15" s="134">
        <v>0</v>
      </c>
    </row>
    <row r="16" spans="1:12">
      <c r="A16" s="121"/>
      <c r="B16" s="136"/>
      <c r="C16" s="136"/>
      <c r="D16" s="136"/>
      <c r="E16" s="136"/>
      <c r="F16" s="136"/>
      <c r="G16" s="136"/>
      <c r="H16" s="121"/>
      <c r="I16" s="137"/>
      <c r="J16" s="131"/>
      <c r="K16" s="131"/>
      <c r="L16" s="131"/>
    </row>
    <row r="17" spans="1:12">
      <c r="A17" s="19" t="str">
        <f>HLOOKUP(INDICE!$F$2,Nombres!$C$3:$D$636,83,FALSE)</f>
        <v>(*) Operating expenses / Gross income. Including depreciation</v>
      </c>
      <c r="B17" s="121"/>
      <c r="C17" s="121"/>
      <c r="D17" s="121"/>
      <c r="E17" s="121"/>
      <c r="F17" s="121"/>
      <c r="G17" s="121"/>
      <c r="H17" s="121"/>
      <c r="I17" s="137"/>
      <c r="J17" s="131"/>
      <c r="K17" s="131"/>
      <c r="L17" s="131"/>
    </row>
    <row r="18" spans="1:12">
      <c r="I18" s="131"/>
      <c r="J18" s="131"/>
      <c r="K18" s="131"/>
      <c r="L18" s="131"/>
    </row>
    <row r="19" spans="1:12">
      <c r="A19" s="19"/>
    </row>
    <row r="998" spans="1:1">
      <c r="A998" s="119" t="s">
        <v>557</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2E92D-2168-465B-95B9-E14D28A129DD}">
  <sheetPr>
    <tabColor theme="8"/>
  </sheetPr>
  <dimension ref="A1:L998"/>
  <sheetViews>
    <sheetView showGridLines="0" workbookViewId="0">
      <selection activeCell="L20" sqref="L20:L21"/>
    </sheetView>
  </sheetViews>
  <sheetFormatPr baseColWidth="10" defaultColWidth="12.54296875" defaultRowHeight="12.5"/>
  <cols>
    <col min="1" max="1" width="40.7265625" style="119" customWidth="1"/>
    <col min="2" max="7" width="10" style="119" customWidth="1"/>
    <col min="8" max="9" width="10" style="119" hidden="1" customWidth="1"/>
    <col min="10" max="256" width="12.54296875" style="119"/>
    <col min="257" max="257" width="40.7265625" style="119" customWidth="1"/>
    <col min="258" max="265" width="12.7265625" style="119" customWidth="1"/>
    <col min="266" max="512" width="12.54296875" style="119"/>
    <col min="513" max="513" width="40.7265625" style="119" customWidth="1"/>
    <col min="514" max="521" width="12.7265625" style="119" customWidth="1"/>
    <col min="522" max="768" width="12.54296875" style="119"/>
    <col min="769" max="769" width="40.7265625" style="119" customWidth="1"/>
    <col min="770" max="777" width="12.7265625" style="119" customWidth="1"/>
    <col min="778" max="1024" width="12.54296875" style="119"/>
    <col min="1025" max="1025" width="40.7265625" style="119" customWidth="1"/>
    <col min="1026" max="1033" width="12.7265625" style="119" customWidth="1"/>
    <col min="1034" max="1280" width="12.54296875" style="119"/>
    <col min="1281" max="1281" width="40.7265625" style="119" customWidth="1"/>
    <col min="1282" max="1289" width="12.7265625" style="119" customWidth="1"/>
    <col min="1290" max="1536" width="12.54296875" style="119"/>
    <col min="1537" max="1537" width="40.7265625" style="119" customWidth="1"/>
    <col min="1538" max="1545" width="12.7265625" style="119" customWidth="1"/>
    <col min="1546" max="1792" width="12.54296875" style="119"/>
    <col min="1793" max="1793" width="40.7265625" style="119" customWidth="1"/>
    <col min="1794" max="1801" width="12.7265625" style="119" customWidth="1"/>
    <col min="1802" max="2048" width="12.54296875" style="119"/>
    <col min="2049" max="2049" width="40.7265625" style="119" customWidth="1"/>
    <col min="2050" max="2057" width="12.7265625" style="119" customWidth="1"/>
    <col min="2058" max="2304" width="12.54296875" style="119"/>
    <col min="2305" max="2305" width="40.7265625" style="119" customWidth="1"/>
    <col min="2306" max="2313" width="12.7265625" style="119" customWidth="1"/>
    <col min="2314" max="2560" width="12.54296875" style="119"/>
    <col min="2561" max="2561" width="40.7265625" style="119" customWidth="1"/>
    <col min="2562" max="2569" width="12.7265625" style="119" customWidth="1"/>
    <col min="2570" max="2816" width="12.54296875" style="119"/>
    <col min="2817" max="2817" width="40.7265625" style="119" customWidth="1"/>
    <col min="2818" max="2825" width="12.7265625" style="119" customWidth="1"/>
    <col min="2826" max="3072" width="12.54296875" style="119"/>
    <col min="3073" max="3073" width="40.7265625" style="119" customWidth="1"/>
    <col min="3074" max="3081" width="12.7265625" style="119" customWidth="1"/>
    <col min="3082" max="3328" width="12.54296875" style="119"/>
    <col min="3329" max="3329" width="40.7265625" style="119" customWidth="1"/>
    <col min="3330" max="3337" width="12.7265625" style="119" customWidth="1"/>
    <col min="3338" max="3584" width="12.54296875" style="119"/>
    <col min="3585" max="3585" width="40.7265625" style="119" customWidth="1"/>
    <col min="3586" max="3593" width="12.7265625" style="119" customWidth="1"/>
    <col min="3594" max="3840" width="12.54296875" style="119"/>
    <col min="3841" max="3841" width="40.7265625" style="119" customWidth="1"/>
    <col min="3842" max="3849" width="12.7265625" style="119" customWidth="1"/>
    <col min="3850" max="4096" width="12.54296875" style="119"/>
    <col min="4097" max="4097" width="40.7265625" style="119" customWidth="1"/>
    <col min="4098" max="4105" width="12.7265625" style="119" customWidth="1"/>
    <col min="4106" max="4352" width="12.54296875" style="119"/>
    <col min="4353" max="4353" width="40.7265625" style="119" customWidth="1"/>
    <col min="4354" max="4361" width="12.7265625" style="119" customWidth="1"/>
    <col min="4362" max="4608" width="12.54296875" style="119"/>
    <col min="4609" max="4609" width="40.7265625" style="119" customWidth="1"/>
    <col min="4610" max="4617" width="12.7265625" style="119" customWidth="1"/>
    <col min="4618" max="4864" width="12.54296875" style="119"/>
    <col min="4865" max="4865" width="40.7265625" style="119" customWidth="1"/>
    <col min="4866" max="4873" width="12.7265625" style="119" customWidth="1"/>
    <col min="4874" max="5120" width="12.54296875" style="119"/>
    <col min="5121" max="5121" width="40.7265625" style="119" customWidth="1"/>
    <col min="5122" max="5129" width="12.7265625" style="119" customWidth="1"/>
    <col min="5130" max="5376" width="12.54296875" style="119"/>
    <col min="5377" max="5377" width="40.7265625" style="119" customWidth="1"/>
    <col min="5378" max="5385" width="12.7265625" style="119" customWidth="1"/>
    <col min="5386" max="5632" width="12.54296875" style="119"/>
    <col min="5633" max="5633" width="40.7265625" style="119" customWidth="1"/>
    <col min="5634" max="5641" width="12.7265625" style="119" customWidth="1"/>
    <col min="5642" max="5888" width="12.54296875" style="119"/>
    <col min="5889" max="5889" width="40.7265625" style="119" customWidth="1"/>
    <col min="5890" max="5897" width="12.7265625" style="119" customWidth="1"/>
    <col min="5898" max="6144" width="12.54296875" style="119"/>
    <col min="6145" max="6145" width="40.7265625" style="119" customWidth="1"/>
    <col min="6146" max="6153" width="12.7265625" style="119" customWidth="1"/>
    <col min="6154" max="6400" width="12.54296875" style="119"/>
    <col min="6401" max="6401" width="40.7265625" style="119" customWidth="1"/>
    <col min="6402" max="6409" width="12.7265625" style="119" customWidth="1"/>
    <col min="6410" max="6656" width="12.54296875" style="119"/>
    <col min="6657" max="6657" width="40.7265625" style="119" customWidth="1"/>
    <col min="6658" max="6665" width="12.7265625" style="119" customWidth="1"/>
    <col min="6666" max="6912" width="12.54296875" style="119"/>
    <col min="6913" max="6913" width="40.7265625" style="119" customWidth="1"/>
    <col min="6914" max="6921" width="12.7265625" style="119" customWidth="1"/>
    <col min="6922" max="7168" width="12.54296875" style="119"/>
    <col min="7169" max="7169" width="40.7265625" style="119" customWidth="1"/>
    <col min="7170" max="7177" width="12.7265625" style="119" customWidth="1"/>
    <col min="7178" max="7424" width="12.54296875" style="119"/>
    <col min="7425" max="7425" width="40.7265625" style="119" customWidth="1"/>
    <col min="7426" max="7433" width="12.7265625" style="119" customWidth="1"/>
    <col min="7434" max="7680" width="12.54296875" style="119"/>
    <col min="7681" max="7681" width="40.7265625" style="119" customWidth="1"/>
    <col min="7682" max="7689" width="12.7265625" style="119" customWidth="1"/>
    <col min="7690" max="7936" width="12.54296875" style="119"/>
    <col min="7937" max="7937" width="40.7265625" style="119" customWidth="1"/>
    <col min="7938" max="7945" width="12.7265625" style="119" customWidth="1"/>
    <col min="7946" max="8192" width="12.54296875" style="119"/>
    <col min="8193" max="8193" width="40.7265625" style="119" customWidth="1"/>
    <col min="8194" max="8201" width="12.7265625" style="119" customWidth="1"/>
    <col min="8202" max="8448" width="12.54296875" style="119"/>
    <col min="8449" max="8449" width="40.7265625" style="119" customWidth="1"/>
    <col min="8450" max="8457" width="12.7265625" style="119" customWidth="1"/>
    <col min="8458" max="8704" width="12.54296875" style="119"/>
    <col min="8705" max="8705" width="40.7265625" style="119" customWidth="1"/>
    <col min="8706" max="8713" width="12.7265625" style="119" customWidth="1"/>
    <col min="8714" max="8960" width="12.54296875" style="119"/>
    <col min="8961" max="8961" width="40.7265625" style="119" customWidth="1"/>
    <col min="8962" max="8969" width="12.7265625" style="119" customWidth="1"/>
    <col min="8970" max="9216" width="12.54296875" style="119"/>
    <col min="9217" max="9217" width="40.7265625" style="119" customWidth="1"/>
    <col min="9218" max="9225" width="12.7265625" style="119" customWidth="1"/>
    <col min="9226" max="9472" width="12.54296875" style="119"/>
    <col min="9473" max="9473" width="40.7265625" style="119" customWidth="1"/>
    <col min="9474" max="9481" width="12.7265625" style="119" customWidth="1"/>
    <col min="9482" max="9728" width="12.54296875" style="119"/>
    <col min="9729" max="9729" width="40.7265625" style="119" customWidth="1"/>
    <col min="9730" max="9737" width="12.7265625" style="119" customWidth="1"/>
    <col min="9738" max="9984" width="12.54296875" style="119"/>
    <col min="9985" max="9985" width="40.7265625" style="119" customWidth="1"/>
    <col min="9986" max="9993" width="12.7265625" style="119" customWidth="1"/>
    <col min="9994" max="10240" width="12.54296875" style="119"/>
    <col min="10241" max="10241" width="40.7265625" style="119" customWidth="1"/>
    <col min="10242" max="10249" width="12.7265625" style="119" customWidth="1"/>
    <col min="10250" max="10496" width="12.54296875" style="119"/>
    <col min="10497" max="10497" width="40.7265625" style="119" customWidth="1"/>
    <col min="10498" max="10505" width="12.7265625" style="119" customWidth="1"/>
    <col min="10506" max="10752" width="12.54296875" style="119"/>
    <col min="10753" max="10753" width="40.7265625" style="119" customWidth="1"/>
    <col min="10754" max="10761" width="12.7265625" style="119" customWidth="1"/>
    <col min="10762" max="11008" width="12.54296875" style="119"/>
    <col min="11009" max="11009" width="40.7265625" style="119" customWidth="1"/>
    <col min="11010" max="11017" width="12.7265625" style="119" customWidth="1"/>
    <col min="11018" max="11264" width="12.54296875" style="119"/>
    <col min="11265" max="11265" width="40.7265625" style="119" customWidth="1"/>
    <col min="11266" max="11273" width="12.7265625" style="119" customWidth="1"/>
    <col min="11274" max="11520" width="12.54296875" style="119"/>
    <col min="11521" max="11521" width="40.7265625" style="119" customWidth="1"/>
    <col min="11522" max="11529" width="12.7265625" style="119" customWidth="1"/>
    <col min="11530" max="11776" width="12.54296875" style="119"/>
    <col min="11777" max="11777" width="40.7265625" style="119" customWidth="1"/>
    <col min="11778" max="11785" width="12.7265625" style="119" customWidth="1"/>
    <col min="11786" max="12032" width="12.54296875" style="119"/>
    <col min="12033" max="12033" width="40.7265625" style="119" customWidth="1"/>
    <col min="12034" max="12041" width="12.7265625" style="119" customWidth="1"/>
    <col min="12042" max="12288" width="12.54296875" style="119"/>
    <col min="12289" max="12289" width="40.7265625" style="119" customWidth="1"/>
    <col min="12290" max="12297" width="12.7265625" style="119" customWidth="1"/>
    <col min="12298" max="12544" width="12.54296875" style="119"/>
    <col min="12545" max="12545" width="40.7265625" style="119" customWidth="1"/>
    <col min="12546" max="12553" width="12.7265625" style="119" customWidth="1"/>
    <col min="12554" max="12800" width="12.54296875" style="119"/>
    <col min="12801" max="12801" width="40.7265625" style="119" customWidth="1"/>
    <col min="12802" max="12809" width="12.7265625" style="119" customWidth="1"/>
    <col min="12810" max="13056" width="12.54296875" style="119"/>
    <col min="13057" max="13057" width="40.7265625" style="119" customWidth="1"/>
    <col min="13058" max="13065" width="12.7265625" style="119" customWidth="1"/>
    <col min="13066" max="13312" width="12.54296875" style="119"/>
    <col min="13313" max="13313" width="40.7265625" style="119" customWidth="1"/>
    <col min="13314" max="13321" width="12.7265625" style="119" customWidth="1"/>
    <col min="13322" max="13568" width="12.54296875" style="119"/>
    <col min="13569" max="13569" width="40.7265625" style="119" customWidth="1"/>
    <col min="13570" max="13577" width="12.7265625" style="119" customWidth="1"/>
    <col min="13578" max="13824" width="12.54296875" style="119"/>
    <col min="13825" max="13825" width="40.7265625" style="119" customWidth="1"/>
    <col min="13826" max="13833" width="12.7265625" style="119" customWidth="1"/>
    <col min="13834" max="14080" width="12.54296875" style="119"/>
    <col min="14081" max="14081" width="40.7265625" style="119" customWidth="1"/>
    <col min="14082" max="14089" width="12.7265625" style="119" customWidth="1"/>
    <col min="14090" max="14336" width="12.54296875" style="119"/>
    <col min="14337" max="14337" width="40.7265625" style="119" customWidth="1"/>
    <col min="14338" max="14345" width="12.7265625" style="119" customWidth="1"/>
    <col min="14346" max="14592" width="12.54296875" style="119"/>
    <col min="14593" max="14593" width="40.7265625" style="119" customWidth="1"/>
    <col min="14594" max="14601" width="12.7265625" style="119" customWidth="1"/>
    <col min="14602" max="14848" width="12.54296875" style="119"/>
    <col min="14849" max="14849" width="40.7265625" style="119" customWidth="1"/>
    <col min="14850" max="14857" width="12.7265625" style="119" customWidth="1"/>
    <col min="14858" max="15104" width="12.54296875" style="119"/>
    <col min="15105" max="15105" width="40.7265625" style="119" customWidth="1"/>
    <col min="15106" max="15113" width="12.7265625" style="119" customWidth="1"/>
    <col min="15114" max="15360" width="12.54296875" style="119"/>
    <col min="15361" max="15361" width="40.7265625" style="119" customWidth="1"/>
    <col min="15362" max="15369" width="12.7265625" style="119" customWidth="1"/>
    <col min="15370" max="15616" width="12.54296875" style="119"/>
    <col min="15617" max="15617" width="40.7265625" style="119" customWidth="1"/>
    <col min="15618" max="15625" width="12.7265625" style="119" customWidth="1"/>
    <col min="15626" max="15872" width="12.54296875" style="119"/>
    <col min="15873" max="15873" width="40.7265625" style="119" customWidth="1"/>
    <col min="15874" max="15881" width="12.7265625" style="119" customWidth="1"/>
    <col min="15882" max="16128" width="12.54296875" style="119"/>
    <col min="16129" max="16129" width="40.7265625" style="119" customWidth="1"/>
    <col min="16130" max="16137" width="12.7265625" style="119" customWidth="1"/>
    <col min="16138" max="16384" width="12.54296875" style="119"/>
  </cols>
  <sheetData>
    <row r="1" spans="1:12" ht="17">
      <c r="A1" s="59" t="str">
        <f>HLOOKUP(INDICE!$F$2,Nombres!$C$3:$D$636,322,FALSE)</f>
        <v>RORWA</v>
      </c>
      <c r="B1" s="118"/>
      <c r="C1" s="118"/>
      <c r="D1" s="118"/>
      <c r="E1" s="118"/>
      <c r="F1" s="118"/>
      <c r="G1" s="118"/>
      <c r="H1" s="118"/>
      <c r="I1" s="118"/>
    </row>
    <row r="2" spans="1:12">
      <c r="A2" s="120" t="str">
        <f>HLOOKUP(INDICE!$F$2,Nombres!$C$3:$D$636,84,FALSE)</f>
        <v>(Percentage)</v>
      </c>
      <c r="B2" s="121"/>
      <c r="C2" s="121"/>
      <c r="D2" s="121"/>
      <c r="E2" s="121"/>
      <c r="F2" s="121"/>
      <c r="G2" s="121"/>
      <c r="H2" s="121"/>
      <c r="I2" s="121"/>
    </row>
    <row r="3" spans="1:12" ht="13.5">
      <c r="A3" s="122"/>
      <c r="B3" s="123">
        <f>+España!B32</f>
        <v>45747</v>
      </c>
      <c r="C3" s="123">
        <f>+España!C32</f>
        <v>45838</v>
      </c>
      <c r="D3" s="123">
        <f>+España!D32</f>
        <v>45930</v>
      </c>
      <c r="E3" s="123">
        <f>+España!E32</f>
        <v>46022</v>
      </c>
      <c r="F3" s="123">
        <f>+España!F32</f>
        <v>46112</v>
      </c>
      <c r="G3" s="123">
        <f>+España!G32</f>
        <v>46203</v>
      </c>
      <c r="H3" s="123">
        <f>+España!H32</f>
        <v>46295</v>
      </c>
      <c r="I3" s="123">
        <f>+España!I32</f>
        <v>46387</v>
      </c>
    </row>
    <row r="4" spans="1:12">
      <c r="A4" s="121"/>
      <c r="B4" s="124"/>
      <c r="C4" s="124"/>
      <c r="D4" s="124"/>
      <c r="E4" s="125"/>
      <c r="F4" s="124"/>
      <c r="G4" s="124"/>
      <c r="H4" s="121"/>
      <c r="I4" s="121"/>
    </row>
    <row r="5" spans="1:12" customFormat="1" ht="14.5">
      <c r="A5" s="17" t="str">
        <f>HLOOKUP(INDICE!$F$2,Nombres!$C$3:$D$636,276,FALSE)</f>
        <v>BBVA Group  (**)</v>
      </c>
      <c r="B5" s="126">
        <v>2.9024135277848817</v>
      </c>
      <c r="C5" s="126">
        <v>2.9212317453520464</v>
      </c>
      <c r="D5" s="126">
        <v>2.8372276956120102</v>
      </c>
      <c r="E5" s="127">
        <v>2.7990826955328458</v>
      </c>
      <c r="F5" s="128">
        <v>3.1822274071396826</v>
      </c>
      <c r="G5" s="128">
        <v>3.159126997196033</v>
      </c>
      <c r="H5" s="128">
        <v>0</v>
      </c>
      <c r="I5" s="128">
        <v>0</v>
      </c>
      <c r="J5" s="68"/>
      <c r="K5" s="68"/>
    </row>
    <row r="6" spans="1:12">
      <c r="A6" s="121"/>
      <c r="B6" s="129"/>
      <c r="C6" s="129"/>
      <c r="D6" s="129"/>
      <c r="E6" s="130"/>
      <c r="F6" s="129"/>
      <c r="G6" s="129"/>
      <c r="H6" s="129"/>
      <c r="I6" s="129"/>
      <c r="J6" s="131"/>
      <c r="K6" s="131"/>
      <c r="L6" s="131"/>
    </row>
    <row r="7" spans="1:12" customFormat="1" ht="14.5">
      <c r="A7" s="7" t="str">
        <f>HLOOKUP(INDICE!$F$2,Nombres!$C$3:$D$636,7,FALSE)</f>
        <v>Spain</v>
      </c>
      <c r="B7" s="132">
        <v>3.3858937504566584</v>
      </c>
      <c r="C7" s="132">
        <v>3.5223255826987407</v>
      </c>
      <c r="D7" s="132">
        <v>3.4201248564497475</v>
      </c>
      <c r="E7" s="133">
        <v>3.4185139493462913</v>
      </c>
      <c r="F7" s="134">
        <v>3.698142223187276</v>
      </c>
      <c r="G7" s="134">
        <v>3.6539517736966292</v>
      </c>
      <c r="H7" s="134">
        <v>0</v>
      </c>
      <c r="I7" s="134">
        <v>0</v>
      </c>
      <c r="J7" s="68"/>
      <c r="K7" s="68"/>
    </row>
    <row r="8" spans="1:12" ht="14.25" customHeight="1">
      <c r="A8" s="121"/>
      <c r="B8" s="129"/>
      <c r="C8" s="129"/>
      <c r="D8" s="129"/>
      <c r="E8" s="130"/>
      <c r="F8" s="129"/>
      <c r="G8" s="129"/>
      <c r="H8" s="129"/>
      <c r="I8" s="129"/>
      <c r="J8" s="135"/>
      <c r="K8" s="131"/>
      <c r="L8" s="131"/>
    </row>
    <row r="9" spans="1:12" ht="14.25" customHeight="1">
      <c r="A9" s="7" t="str">
        <f>HLOOKUP(INDICE!$F$2,Nombres!$C$3:$D$636,11,FALSE)</f>
        <v>Mexico</v>
      </c>
      <c r="B9" s="132">
        <v>5.8522694318059001</v>
      </c>
      <c r="C9" s="132">
        <v>5.718417708075866</v>
      </c>
      <c r="D9" s="132">
        <v>5.6536647597190735</v>
      </c>
      <c r="E9" s="133">
        <v>5.8436533603418939</v>
      </c>
      <c r="F9" s="134">
        <v>6.7329837271246404</v>
      </c>
      <c r="G9" s="134">
        <v>6.8585711921996095</v>
      </c>
      <c r="H9" s="134">
        <v>0</v>
      </c>
      <c r="I9" s="134">
        <v>0</v>
      </c>
      <c r="J9" s="135"/>
      <c r="K9" s="131"/>
      <c r="L9" s="131"/>
    </row>
    <row r="10" spans="1:12" ht="14.25" customHeight="1">
      <c r="A10" s="121"/>
      <c r="B10" s="129"/>
      <c r="C10" s="129"/>
      <c r="D10" s="129"/>
      <c r="E10" s="130"/>
      <c r="F10" s="129"/>
      <c r="G10" s="129"/>
      <c r="H10" s="129"/>
      <c r="I10" s="129"/>
      <c r="J10" s="135"/>
      <c r="K10" s="131"/>
      <c r="L10" s="131"/>
    </row>
    <row r="11" spans="1:12" customFormat="1" ht="14.5">
      <c r="A11" s="7" t="str">
        <f>HLOOKUP(INDICE!$F$2,Nombres!$C$3:$D$636,12,FALSE)</f>
        <v xml:space="preserve">Turkey </v>
      </c>
      <c r="B11" s="132">
        <v>1.1138629201946098</v>
      </c>
      <c r="C11" s="132">
        <v>1.4363506555738668</v>
      </c>
      <c r="D11" s="132">
        <v>1.4871301934742451</v>
      </c>
      <c r="E11" s="133">
        <v>1.3637454543626732</v>
      </c>
      <c r="F11" s="134">
        <v>1.6942601859382287</v>
      </c>
      <c r="G11" s="134">
        <v>1.6718864734630832</v>
      </c>
      <c r="H11" s="134">
        <v>0</v>
      </c>
      <c r="I11" s="134">
        <v>0</v>
      </c>
      <c r="J11" s="68"/>
      <c r="K11" s="68"/>
    </row>
    <row r="12" spans="1:12" ht="14.25" customHeight="1">
      <c r="A12" s="121"/>
      <c r="B12" s="129"/>
      <c r="C12" s="129"/>
      <c r="D12" s="129"/>
      <c r="E12" s="130"/>
      <c r="F12" s="129"/>
      <c r="G12" s="129"/>
      <c r="H12" s="129"/>
      <c r="I12" s="129"/>
      <c r="J12" s="131"/>
      <c r="K12" s="131"/>
      <c r="L12" s="131"/>
    </row>
    <row r="13" spans="1:12" customFormat="1" ht="14.5">
      <c r="A13" s="7" t="str">
        <f>HLOOKUP(INDICE!$F$2,Nombres!$C$3:$D$636,13,FALSE)</f>
        <v>South America</v>
      </c>
      <c r="B13" s="132">
        <v>2.5415554031998142</v>
      </c>
      <c r="C13" s="132">
        <v>2.447478857878965</v>
      </c>
      <c r="D13" s="132">
        <v>2.2509191848534056</v>
      </c>
      <c r="E13" s="133">
        <v>2.1035603165123984</v>
      </c>
      <c r="F13" s="134">
        <v>2.7342448319724233</v>
      </c>
      <c r="G13" s="134">
        <v>2.9173692846617647</v>
      </c>
      <c r="H13" s="134">
        <v>0</v>
      </c>
      <c r="I13" s="134">
        <v>0</v>
      </c>
      <c r="J13" s="68"/>
      <c r="K13" s="68"/>
    </row>
    <row r="14" spans="1:12">
      <c r="A14" s="121"/>
      <c r="B14" s="129"/>
      <c r="C14" s="129"/>
      <c r="D14" s="129"/>
      <c r="E14" s="130"/>
      <c r="F14" s="129"/>
      <c r="G14" s="129"/>
      <c r="H14" s="129"/>
      <c r="I14" s="129"/>
      <c r="J14" s="131"/>
      <c r="K14" s="131"/>
      <c r="L14" s="131"/>
    </row>
    <row r="15" spans="1:12">
      <c r="A15" s="7" t="str">
        <f>HLOOKUP(INDICE!$F$2,Nombres!$C$3:$D$636,263,FALSE)</f>
        <v>Rest of Business</v>
      </c>
      <c r="B15" s="132">
        <v>1.9049333985228727</v>
      </c>
      <c r="C15" s="132">
        <v>1.72924262020713</v>
      </c>
      <c r="D15" s="132">
        <v>1.7693328780480813</v>
      </c>
      <c r="E15" s="133">
        <v>1.6789212011298478</v>
      </c>
      <c r="F15" s="134">
        <v>2.0131266256477112</v>
      </c>
      <c r="G15" s="134">
        <v>2.055549029180586</v>
      </c>
      <c r="H15" s="134">
        <v>0</v>
      </c>
      <c r="I15" s="134">
        <v>0</v>
      </c>
    </row>
    <row r="16" spans="1:12">
      <c r="A16" s="121"/>
      <c r="B16" s="136"/>
      <c r="C16" s="136"/>
      <c r="D16" s="136"/>
      <c r="E16" s="136"/>
      <c r="F16" s="136"/>
      <c r="G16" s="136"/>
      <c r="H16" s="121"/>
      <c r="I16" s="137"/>
      <c r="J16" s="131"/>
      <c r="K16" s="131"/>
      <c r="L16" s="131"/>
    </row>
    <row r="17" spans="1:12">
      <c r="A17" s="19" t="s">
        <v>551</v>
      </c>
      <c r="B17" s="121"/>
      <c r="C17" s="121"/>
      <c r="D17" s="121"/>
      <c r="E17" s="121"/>
      <c r="F17" s="121"/>
      <c r="G17" s="121"/>
      <c r="H17" s="121"/>
      <c r="I17" s="137"/>
      <c r="J17" s="131"/>
      <c r="K17" s="131"/>
      <c r="L17" s="131"/>
    </row>
    <row r="18" spans="1:12">
      <c r="A18" s="19" t="s">
        <v>553</v>
      </c>
      <c r="I18" s="131"/>
      <c r="J18" s="131"/>
      <c r="K18" s="131"/>
      <c r="L18" s="131"/>
    </row>
    <row r="19" spans="1:12">
      <c r="A19" s="19"/>
    </row>
    <row r="998" spans="1:1">
      <c r="A998" s="119" t="s">
        <v>557</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87FAB-61E6-4567-8A57-80C389F53145}">
  <sheetPr>
    <tabColor theme="8"/>
  </sheetPr>
  <dimension ref="A1:K994"/>
  <sheetViews>
    <sheetView showGridLines="0" workbookViewId="0">
      <selection activeCell="L20" sqref="L20:L21"/>
    </sheetView>
  </sheetViews>
  <sheetFormatPr baseColWidth="10" defaultColWidth="12.54296875" defaultRowHeight="12.5"/>
  <cols>
    <col min="1" max="1" width="45.7265625" style="178" customWidth="1"/>
    <col min="2" max="6" width="10.81640625" style="119" customWidth="1" collapsed="1"/>
    <col min="7" max="7" width="10.81640625" style="119" customWidth="1"/>
    <col min="8" max="9" width="10.81640625" style="139" hidden="1" customWidth="1"/>
    <col min="10" max="11" width="9.54296875" style="139" customWidth="1"/>
    <col min="12" max="256" width="12.54296875" style="139"/>
    <col min="257" max="257" width="45.7265625" style="139" customWidth="1"/>
    <col min="258" max="265" width="12.7265625" style="139" customWidth="1"/>
    <col min="266" max="267" width="9.54296875" style="139" customWidth="1"/>
    <col min="268" max="512" width="12.54296875" style="139"/>
    <col min="513" max="513" width="45.7265625" style="139" customWidth="1"/>
    <col min="514" max="521" width="12.7265625" style="139" customWidth="1"/>
    <col min="522" max="523" width="9.54296875" style="139" customWidth="1"/>
    <col min="524" max="768" width="12.54296875" style="139"/>
    <col min="769" max="769" width="45.7265625" style="139" customWidth="1"/>
    <col min="770" max="777" width="12.7265625" style="139" customWidth="1"/>
    <col min="778" max="779" width="9.54296875" style="139" customWidth="1"/>
    <col min="780" max="1024" width="12.54296875" style="139"/>
    <col min="1025" max="1025" width="45.7265625" style="139" customWidth="1"/>
    <col min="1026" max="1033" width="12.7265625" style="139" customWidth="1"/>
    <col min="1034" max="1035" width="9.54296875" style="139" customWidth="1"/>
    <col min="1036" max="1280" width="12.54296875" style="139"/>
    <col min="1281" max="1281" width="45.7265625" style="139" customWidth="1"/>
    <col min="1282" max="1289" width="12.7265625" style="139" customWidth="1"/>
    <col min="1290" max="1291" width="9.54296875" style="139" customWidth="1"/>
    <col min="1292" max="1536" width="12.54296875" style="139"/>
    <col min="1537" max="1537" width="45.7265625" style="139" customWidth="1"/>
    <col min="1538" max="1545" width="12.7265625" style="139" customWidth="1"/>
    <col min="1546" max="1547" width="9.54296875" style="139" customWidth="1"/>
    <col min="1548" max="1792" width="12.54296875" style="139"/>
    <col min="1793" max="1793" width="45.7265625" style="139" customWidth="1"/>
    <col min="1794" max="1801" width="12.7265625" style="139" customWidth="1"/>
    <col min="1802" max="1803" width="9.54296875" style="139" customWidth="1"/>
    <col min="1804" max="2048" width="12.54296875" style="139"/>
    <col min="2049" max="2049" width="45.7265625" style="139" customWidth="1"/>
    <col min="2050" max="2057" width="12.7265625" style="139" customWidth="1"/>
    <col min="2058" max="2059" width="9.54296875" style="139" customWidth="1"/>
    <col min="2060" max="2304" width="12.54296875" style="139"/>
    <col min="2305" max="2305" width="45.7265625" style="139" customWidth="1"/>
    <col min="2306" max="2313" width="12.7265625" style="139" customWidth="1"/>
    <col min="2314" max="2315" width="9.54296875" style="139" customWidth="1"/>
    <col min="2316" max="2560" width="12.54296875" style="139"/>
    <col min="2561" max="2561" width="45.7265625" style="139" customWidth="1"/>
    <col min="2562" max="2569" width="12.7265625" style="139" customWidth="1"/>
    <col min="2570" max="2571" width="9.54296875" style="139" customWidth="1"/>
    <col min="2572" max="2816" width="12.54296875" style="139"/>
    <col min="2817" max="2817" width="45.7265625" style="139" customWidth="1"/>
    <col min="2818" max="2825" width="12.7265625" style="139" customWidth="1"/>
    <col min="2826" max="2827" width="9.54296875" style="139" customWidth="1"/>
    <col min="2828" max="3072" width="12.54296875" style="139"/>
    <col min="3073" max="3073" width="45.7265625" style="139" customWidth="1"/>
    <col min="3074" max="3081" width="12.7265625" style="139" customWidth="1"/>
    <col min="3082" max="3083" width="9.54296875" style="139" customWidth="1"/>
    <col min="3084" max="3328" width="12.54296875" style="139"/>
    <col min="3329" max="3329" width="45.7265625" style="139" customWidth="1"/>
    <col min="3330" max="3337" width="12.7265625" style="139" customWidth="1"/>
    <col min="3338" max="3339" width="9.54296875" style="139" customWidth="1"/>
    <col min="3340" max="3584" width="12.54296875" style="139"/>
    <col min="3585" max="3585" width="45.7265625" style="139" customWidth="1"/>
    <col min="3586" max="3593" width="12.7265625" style="139" customWidth="1"/>
    <col min="3594" max="3595" width="9.54296875" style="139" customWidth="1"/>
    <col min="3596" max="3840" width="12.54296875" style="139"/>
    <col min="3841" max="3841" width="45.7265625" style="139" customWidth="1"/>
    <col min="3842" max="3849" width="12.7265625" style="139" customWidth="1"/>
    <col min="3850" max="3851" width="9.54296875" style="139" customWidth="1"/>
    <col min="3852" max="4096" width="12.54296875" style="139"/>
    <col min="4097" max="4097" width="45.7265625" style="139" customWidth="1"/>
    <col min="4098" max="4105" width="12.7265625" style="139" customWidth="1"/>
    <col min="4106" max="4107" width="9.54296875" style="139" customWidth="1"/>
    <col min="4108" max="4352" width="12.54296875" style="139"/>
    <col min="4353" max="4353" width="45.7265625" style="139" customWidth="1"/>
    <col min="4354" max="4361" width="12.7265625" style="139" customWidth="1"/>
    <col min="4362" max="4363" width="9.54296875" style="139" customWidth="1"/>
    <col min="4364" max="4608" width="12.54296875" style="139"/>
    <col min="4609" max="4609" width="45.7265625" style="139" customWidth="1"/>
    <col min="4610" max="4617" width="12.7265625" style="139" customWidth="1"/>
    <col min="4618" max="4619" width="9.54296875" style="139" customWidth="1"/>
    <col min="4620" max="4864" width="12.54296875" style="139"/>
    <col min="4865" max="4865" width="45.7265625" style="139" customWidth="1"/>
    <col min="4866" max="4873" width="12.7265625" style="139" customWidth="1"/>
    <col min="4874" max="4875" width="9.54296875" style="139" customWidth="1"/>
    <col min="4876" max="5120" width="12.54296875" style="139"/>
    <col min="5121" max="5121" width="45.7265625" style="139" customWidth="1"/>
    <col min="5122" max="5129" width="12.7265625" style="139" customWidth="1"/>
    <col min="5130" max="5131" width="9.54296875" style="139" customWidth="1"/>
    <col min="5132" max="5376" width="12.54296875" style="139"/>
    <col min="5377" max="5377" width="45.7265625" style="139" customWidth="1"/>
    <col min="5378" max="5385" width="12.7265625" style="139" customWidth="1"/>
    <col min="5386" max="5387" width="9.54296875" style="139" customWidth="1"/>
    <col min="5388" max="5632" width="12.54296875" style="139"/>
    <col min="5633" max="5633" width="45.7265625" style="139" customWidth="1"/>
    <col min="5634" max="5641" width="12.7265625" style="139" customWidth="1"/>
    <col min="5642" max="5643" width="9.54296875" style="139" customWidth="1"/>
    <col min="5644" max="5888" width="12.54296875" style="139"/>
    <col min="5889" max="5889" width="45.7265625" style="139" customWidth="1"/>
    <col min="5890" max="5897" width="12.7265625" style="139" customWidth="1"/>
    <col min="5898" max="5899" width="9.54296875" style="139" customWidth="1"/>
    <col min="5900" max="6144" width="12.54296875" style="139"/>
    <col min="6145" max="6145" width="45.7265625" style="139" customWidth="1"/>
    <col min="6146" max="6153" width="12.7265625" style="139" customWidth="1"/>
    <col min="6154" max="6155" width="9.54296875" style="139" customWidth="1"/>
    <col min="6156" max="6400" width="12.54296875" style="139"/>
    <col min="6401" max="6401" width="45.7265625" style="139" customWidth="1"/>
    <col min="6402" max="6409" width="12.7265625" style="139" customWidth="1"/>
    <col min="6410" max="6411" width="9.54296875" style="139" customWidth="1"/>
    <col min="6412" max="6656" width="12.54296875" style="139"/>
    <col min="6657" max="6657" width="45.7265625" style="139" customWidth="1"/>
    <col min="6658" max="6665" width="12.7265625" style="139" customWidth="1"/>
    <col min="6666" max="6667" width="9.54296875" style="139" customWidth="1"/>
    <col min="6668" max="6912" width="12.54296875" style="139"/>
    <col min="6913" max="6913" width="45.7265625" style="139" customWidth="1"/>
    <col min="6914" max="6921" width="12.7265625" style="139" customWidth="1"/>
    <col min="6922" max="6923" width="9.54296875" style="139" customWidth="1"/>
    <col min="6924" max="7168" width="12.54296875" style="139"/>
    <col min="7169" max="7169" width="45.7265625" style="139" customWidth="1"/>
    <col min="7170" max="7177" width="12.7265625" style="139" customWidth="1"/>
    <col min="7178" max="7179" width="9.54296875" style="139" customWidth="1"/>
    <col min="7180" max="7424" width="12.54296875" style="139"/>
    <col min="7425" max="7425" width="45.7265625" style="139" customWidth="1"/>
    <col min="7426" max="7433" width="12.7265625" style="139" customWidth="1"/>
    <col min="7434" max="7435" width="9.54296875" style="139" customWidth="1"/>
    <col min="7436" max="7680" width="12.54296875" style="139"/>
    <col min="7681" max="7681" width="45.7265625" style="139" customWidth="1"/>
    <col min="7682" max="7689" width="12.7265625" style="139" customWidth="1"/>
    <col min="7690" max="7691" width="9.54296875" style="139" customWidth="1"/>
    <col min="7692" max="7936" width="12.54296875" style="139"/>
    <col min="7937" max="7937" width="45.7265625" style="139" customWidth="1"/>
    <col min="7938" max="7945" width="12.7265625" style="139" customWidth="1"/>
    <col min="7946" max="7947" width="9.54296875" style="139" customWidth="1"/>
    <col min="7948" max="8192" width="12.54296875" style="139"/>
    <col min="8193" max="8193" width="45.7265625" style="139" customWidth="1"/>
    <col min="8194" max="8201" width="12.7265625" style="139" customWidth="1"/>
    <col min="8202" max="8203" width="9.54296875" style="139" customWidth="1"/>
    <col min="8204" max="8448" width="12.54296875" style="139"/>
    <col min="8449" max="8449" width="45.7265625" style="139" customWidth="1"/>
    <col min="8450" max="8457" width="12.7265625" style="139" customWidth="1"/>
    <col min="8458" max="8459" width="9.54296875" style="139" customWidth="1"/>
    <col min="8460" max="8704" width="12.54296875" style="139"/>
    <col min="8705" max="8705" width="45.7265625" style="139" customWidth="1"/>
    <col min="8706" max="8713" width="12.7265625" style="139" customWidth="1"/>
    <col min="8714" max="8715" width="9.54296875" style="139" customWidth="1"/>
    <col min="8716" max="8960" width="12.54296875" style="139"/>
    <col min="8961" max="8961" width="45.7265625" style="139" customWidth="1"/>
    <col min="8962" max="8969" width="12.7265625" style="139" customWidth="1"/>
    <col min="8970" max="8971" width="9.54296875" style="139" customWidth="1"/>
    <col min="8972" max="9216" width="12.54296875" style="139"/>
    <col min="9217" max="9217" width="45.7265625" style="139" customWidth="1"/>
    <col min="9218" max="9225" width="12.7265625" style="139" customWidth="1"/>
    <col min="9226" max="9227" width="9.54296875" style="139" customWidth="1"/>
    <col min="9228" max="9472" width="12.54296875" style="139"/>
    <col min="9473" max="9473" width="45.7265625" style="139" customWidth="1"/>
    <col min="9474" max="9481" width="12.7265625" style="139" customWidth="1"/>
    <col min="9482" max="9483" width="9.54296875" style="139" customWidth="1"/>
    <col min="9484" max="9728" width="12.54296875" style="139"/>
    <col min="9729" max="9729" width="45.7265625" style="139" customWidth="1"/>
    <col min="9730" max="9737" width="12.7265625" style="139" customWidth="1"/>
    <col min="9738" max="9739" width="9.54296875" style="139" customWidth="1"/>
    <col min="9740" max="9984" width="12.54296875" style="139"/>
    <col min="9985" max="9985" width="45.7265625" style="139" customWidth="1"/>
    <col min="9986" max="9993" width="12.7265625" style="139" customWidth="1"/>
    <col min="9994" max="9995" width="9.54296875" style="139" customWidth="1"/>
    <col min="9996" max="10240" width="12.54296875" style="139"/>
    <col min="10241" max="10241" width="45.7265625" style="139" customWidth="1"/>
    <col min="10242" max="10249" width="12.7265625" style="139" customWidth="1"/>
    <col min="10250" max="10251" width="9.54296875" style="139" customWidth="1"/>
    <col min="10252" max="10496" width="12.54296875" style="139"/>
    <col min="10497" max="10497" width="45.7265625" style="139" customWidth="1"/>
    <col min="10498" max="10505" width="12.7265625" style="139" customWidth="1"/>
    <col min="10506" max="10507" width="9.54296875" style="139" customWidth="1"/>
    <col min="10508" max="10752" width="12.54296875" style="139"/>
    <col min="10753" max="10753" width="45.7265625" style="139" customWidth="1"/>
    <col min="10754" max="10761" width="12.7265625" style="139" customWidth="1"/>
    <col min="10762" max="10763" width="9.54296875" style="139" customWidth="1"/>
    <col min="10764" max="11008" width="12.54296875" style="139"/>
    <col min="11009" max="11009" width="45.7265625" style="139" customWidth="1"/>
    <col min="11010" max="11017" width="12.7265625" style="139" customWidth="1"/>
    <col min="11018" max="11019" width="9.54296875" style="139" customWidth="1"/>
    <col min="11020" max="11264" width="12.54296875" style="139"/>
    <col min="11265" max="11265" width="45.7265625" style="139" customWidth="1"/>
    <col min="11266" max="11273" width="12.7265625" style="139" customWidth="1"/>
    <col min="11274" max="11275" width="9.54296875" style="139" customWidth="1"/>
    <col min="11276" max="11520" width="12.54296875" style="139"/>
    <col min="11521" max="11521" width="45.7265625" style="139" customWidth="1"/>
    <col min="11522" max="11529" width="12.7265625" style="139" customWidth="1"/>
    <col min="11530" max="11531" width="9.54296875" style="139" customWidth="1"/>
    <col min="11532" max="11776" width="12.54296875" style="139"/>
    <col min="11777" max="11777" width="45.7265625" style="139" customWidth="1"/>
    <col min="11778" max="11785" width="12.7265625" style="139" customWidth="1"/>
    <col min="11786" max="11787" width="9.54296875" style="139" customWidth="1"/>
    <col min="11788" max="12032" width="12.54296875" style="139"/>
    <col min="12033" max="12033" width="45.7265625" style="139" customWidth="1"/>
    <col min="12034" max="12041" width="12.7265625" style="139" customWidth="1"/>
    <col min="12042" max="12043" width="9.54296875" style="139" customWidth="1"/>
    <col min="12044" max="12288" width="12.54296875" style="139"/>
    <col min="12289" max="12289" width="45.7265625" style="139" customWidth="1"/>
    <col min="12290" max="12297" width="12.7265625" style="139" customWidth="1"/>
    <col min="12298" max="12299" width="9.54296875" style="139" customWidth="1"/>
    <col min="12300" max="12544" width="12.54296875" style="139"/>
    <col min="12545" max="12545" width="45.7265625" style="139" customWidth="1"/>
    <col min="12546" max="12553" width="12.7265625" style="139" customWidth="1"/>
    <col min="12554" max="12555" width="9.54296875" style="139" customWidth="1"/>
    <col min="12556" max="12800" width="12.54296875" style="139"/>
    <col min="12801" max="12801" width="45.7265625" style="139" customWidth="1"/>
    <col min="12802" max="12809" width="12.7265625" style="139" customWidth="1"/>
    <col min="12810" max="12811" width="9.54296875" style="139" customWidth="1"/>
    <col min="12812" max="13056" width="12.54296875" style="139"/>
    <col min="13057" max="13057" width="45.7265625" style="139" customWidth="1"/>
    <col min="13058" max="13065" width="12.7265625" style="139" customWidth="1"/>
    <col min="13066" max="13067" width="9.54296875" style="139" customWidth="1"/>
    <col min="13068" max="13312" width="12.54296875" style="139"/>
    <col min="13313" max="13313" width="45.7265625" style="139" customWidth="1"/>
    <col min="13314" max="13321" width="12.7265625" style="139" customWidth="1"/>
    <col min="13322" max="13323" width="9.54296875" style="139" customWidth="1"/>
    <col min="13324" max="13568" width="12.54296875" style="139"/>
    <col min="13569" max="13569" width="45.7265625" style="139" customWidth="1"/>
    <col min="13570" max="13577" width="12.7265625" style="139" customWidth="1"/>
    <col min="13578" max="13579" width="9.54296875" style="139" customWidth="1"/>
    <col min="13580" max="13824" width="12.54296875" style="139"/>
    <col min="13825" max="13825" width="45.7265625" style="139" customWidth="1"/>
    <col min="13826" max="13833" width="12.7265625" style="139" customWidth="1"/>
    <col min="13834" max="13835" width="9.54296875" style="139" customWidth="1"/>
    <col min="13836" max="14080" width="12.54296875" style="139"/>
    <col min="14081" max="14081" width="45.7265625" style="139" customWidth="1"/>
    <col min="14082" max="14089" width="12.7265625" style="139" customWidth="1"/>
    <col min="14090" max="14091" width="9.54296875" style="139" customWidth="1"/>
    <col min="14092" max="14336" width="12.54296875" style="139"/>
    <col min="14337" max="14337" width="45.7265625" style="139" customWidth="1"/>
    <col min="14338" max="14345" width="12.7265625" style="139" customWidth="1"/>
    <col min="14346" max="14347" width="9.54296875" style="139" customWidth="1"/>
    <col min="14348" max="14592" width="12.54296875" style="139"/>
    <col min="14593" max="14593" width="45.7265625" style="139" customWidth="1"/>
    <col min="14594" max="14601" width="12.7265625" style="139" customWidth="1"/>
    <col min="14602" max="14603" width="9.54296875" style="139" customWidth="1"/>
    <col min="14604" max="14848" width="12.54296875" style="139"/>
    <col min="14849" max="14849" width="45.7265625" style="139" customWidth="1"/>
    <col min="14850" max="14857" width="12.7265625" style="139" customWidth="1"/>
    <col min="14858" max="14859" width="9.54296875" style="139" customWidth="1"/>
    <col min="14860" max="15104" width="12.54296875" style="139"/>
    <col min="15105" max="15105" width="45.7265625" style="139" customWidth="1"/>
    <col min="15106" max="15113" width="12.7265625" style="139" customWidth="1"/>
    <col min="15114" max="15115" width="9.54296875" style="139" customWidth="1"/>
    <col min="15116" max="15360" width="12.54296875" style="139"/>
    <col min="15361" max="15361" width="45.7265625" style="139" customWidth="1"/>
    <col min="15362" max="15369" width="12.7265625" style="139" customWidth="1"/>
    <col min="15370" max="15371" width="9.54296875" style="139" customWidth="1"/>
    <col min="15372" max="15616" width="12.54296875" style="139"/>
    <col min="15617" max="15617" width="45.7265625" style="139" customWidth="1"/>
    <col min="15618" max="15625" width="12.7265625" style="139" customWidth="1"/>
    <col min="15626" max="15627" width="9.54296875" style="139" customWidth="1"/>
    <col min="15628" max="15872" width="12.54296875" style="139"/>
    <col min="15873" max="15873" width="45.7265625" style="139" customWidth="1"/>
    <col min="15874" max="15881" width="12.7265625" style="139" customWidth="1"/>
    <col min="15882" max="15883" width="9.54296875" style="139" customWidth="1"/>
    <col min="15884" max="16128" width="12.54296875" style="139"/>
    <col min="16129" max="16129" width="45.7265625" style="139" customWidth="1"/>
    <col min="16130" max="16137" width="12.7265625" style="139" customWidth="1"/>
    <col min="16138" max="16139" width="9.54296875" style="139" customWidth="1"/>
    <col min="16140" max="16384" width="12.54296875" style="139"/>
  </cols>
  <sheetData>
    <row r="1" spans="1:11" ht="19.5">
      <c r="A1" s="59" t="str">
        <f>HLOOKUP(INDICE!$F$2,Nombres!$C$3:$D$636,85,FALSE)</f>
        <v>NPL ratio</v>
      </c>
      <c r="B1" s="138"/>
      <c r="C1" s="138"/>
      <c r="D1" s="138"/>
      <c r="E1" s="138"/>
      <c r="F1" s="138"/>
      <c r="G1" s="118"/>
      <c r="H1" s="118"/>
      <c r="I1" s="118"/>
    </row>
    <row r="2" spans="1:11" ht="14.25" customHeight="1">
      <c r="A2" s="120" t="str">
        <f>HLOOKUP(INDICE!$F$2,Nombres!$C$3:$D$636,84,FALSE)</f>
        <v>(Percentage)</v>
      </c>
      <c r="B2" s="121"/>
      <c r="C2" s="121"/>
      <c r="D2" s="121"/>
      <c r="E2" s="121"/>
      <c r="F2" s="121"/>
      <c r="G2" s="121"/>
      <c r="H2" s="121"/>
      <c r="I2" s="121"/>
    </row>
    <row r="3" spans="1:11" ht="13.5">
      <c r="A3" s="121"/>
      <c r="B3" s="140">
        <f>+España!B$32</f>
        <v>45747</v>
      </c>
      <c r="C3" s="140">
        <f>+España!C$32</f>
        <v>45838</v>
      </c>
      <c r="D3" s="140">
        <f>+España!D$32</f>
        <v>45930</v>
      </c>
      <c r="E3" s="140">
        <f>+España!E$32</f>
        <v>46022</v>
      </c>
      <c r="F3" s="140">
        <f>+España!F$32</f>
        <v>46112</v>
      </c>
      <c r="G3" s="140">
        <f>+España!G$32</f>
        <v>46203</v>
      </c>
      <c r="H3" s="140">
        <f>+España!H$32</f>
        <v>46295</v>
      </c>
      <c r="I3" s="140">
        <f>+España!I$32</f>
        <v>46387</v>
      </c>
    </row>
    <row r="4" spans="1:11" ht="6.75" customHeight="1">
      <c r="A4" s="121"/>
      <c r="B4" s="124"/>
      <c r="C4" s="124"/>
      <c r="D4" s="121"/>
      <c r="E4" s="141"/>
      <c r="F4" s="124"/>
      <c r="G4" s="124"/>
      <c r="H4" s="121"/>
      <c r="I4" s="121"/>
    </row>
    <row r="5" spans="1:11" customFormat="1" ht="14.5">
      <c r="A5" s="17" t="str">
        <f>HLOOKUP(INDICE!$F$2,Nombres!$C$3:$D$636,275,FALSE)</f>
        <v>BBVA Group  (*)</v>
      </c>
      <c r="B5" s="126">
        <v>2.8897148429230972</v>
      </c>
      <c r="C5" s="126">
        <v>2.9024831815385972</v>
      </c>
      <c r="D5" s="126">
        <v>2.7732411132962977</v>
      </c>
      <c r="E5" s="127">
        <v>2.7114345259972459</v>
      </c>
      <c r="F5" s="126">
        <v>2.6496775595062729</v>
      </c>
      <c r="G5" s="128">
        <v>2.6243717681068799</v>
      </c>
      <c r="H5" s="128">
        <v>0</v>
      </c>
      <c r="I5" s="128">
        <v>0</v>
      </c>
      <c r="J5" s="142"/>
      <c r="K5" s="143"/>
    </row>
    <row r="6" spans="1:11" s="144" customFormat="1" ht="6.75" customHeight="1">
      <c r="A6" s="121"/>
      <c r="B6" s="129"/>
      <c r="C6" s="129"/>
      <c r="D6" s="129"/>
      <c r="E6" s="130"/>
      <c r="F6" s="129"/>
      <c r="G6" s="129"/>
      <c r="H6" s="129"/>
      <c r="I6" s="129"/>
      <c r="J6" s="142"/>
      <c r="K6" s="143"/>
    </row>
    <row r="7" spans="1:11" customFormat="1" ht="14.5">
      <c r="A7" s="7" t="str">
        <f>HLOOKUP(INDICE!$F$2,Nombres!$C$3:$D$636,7,FALSE)</f>
        <v>Spain</v>
      </c>
      <c r="B7" s="132">
        <v>3.5108696962889616</v>
      </c>
      <c r="C7" s="132">
        <v>3.4926563389345375</v>
      </c>
      <c r="D7" s="132">
        <v>3.1257432006001</v>
      </c>
      <c r="E7" s="133">
        <v>3.0479205729210439</v>
      </c>
      <c r="F7" s="132">
        <v>2.9428461236726702</v>
      </c>
      <c r="G7" s="134">
        <v>2.8583274995978796</v>
      </c>
      <c r="H7" s="134">
        <v>0</v>
      </c>
      <c r="I7" s="134">
        <v>0</v>
      </c>
      <c r="J7" s="142"/>
      <c r="K7" s="143"/>
    </row>
    <row r="8" spans="1:11" ht="6" customHeight="1">
      <c r="A8" s="121"/>
      <c r="B8" s="129"/>
      <c r="C8" s="129"/>
      <c r="D8" s="129"/>
      <c r="E8" s="130"/>
      <c r="F8" s="129"/>
      <c r="G8" s="129"/>
      <c r="H8" s="129"/>
      <c r="I8" s="129"/>
      <c r="J8" s="142"/>
      <c r="K8" s="145"/>
    </row>
    <row r="9" spans="1:11" ht="14.5">
      <c r="A9" s="7" t="str">
        <f>HLOOKUP(INDICE!$F$2,Nombres!$C$3:$D$636,11,FALSE)</f>
        <v>Mexico</v>
      </c>
      <c r="B9" s="132">
        <v>2.4135648647835914</v>
      </c>
      <c r="C9" s="132">
        <v>2.6742882350478605</v>
      </c>
      <c r="D9" s="132">
        <v>2.7840438349523922</v>
      </c>
      <c r="E9" s="133">
        <v>2.7328942361630966</v>
      </c>
      <c r="F9" s="132">
        <v>2.5824503991243528</v>
      </c>
      <c r="G9" s="134">
        <v>2.7682975240251837</v>
      </c>
      <c r="H9" s="134">
        <v>0</v>
      </c>
      <c r="I9" s="134">
        <v>0</v>
      </c>
      <c r="J9" s="142"/>
      <c r="K9" s="145"/>
    </row>
    <row r="10" spans="1:11" ht="6" customHeight="1">
      <c r="A10" s="121"/>
      <c r="B10" s="129"/>
      <c r="C10" s="129"/>
      <c r="D10" s="129"/>
      <c r="E10" s="130"/>
      <c r="F10" s="129"/>
      <c r="G10" s="129"/>
      <c r="H10" s="129"/>
      <c r="I10" s="129"/>
      <c r="J10" s="142"/>
      <c r="K10" s="145"/>
    </row>
    <row r="11" spans="1:11" customFormat="1" ht="14.5">
      <c r="A11" s="7" t="str">
        <f>HLOOKUP(INDICE!$F$2,Nombres!$C$3:$D$636,12,FALSE)</f>
        <v xml:space="preserve">Turkey </v>
      </c>
      <c r="B11" s="132">
        <v>3.1811470607217589</v>
      </c>
      <c r="C11" s="132">
        <v>3.4095495195003767</v>
      </c>
      <c r="D11" s="132">
        <v>3.689237850827392</v>
      </c>
      <c r="E11" s="133">
        <v>3.8873106806433273</v>
      </c>
      <c r="F11" s="132">
        <v>4.1395140922296898</v>
      </c>
      <c r="G11" s="134">
        <v>4.1203626630037116</v>
      </c>
      <c r="H11" s="134">
        <v>0</v>
      </c>
      <c r="I11" s="134">
        <v>0</v>
      </c>
      <c r="J11" s="142"/>
    </row>
    <row r="12" spans="1:11" ht="6" customHeight="1">
      <c r="A12" s="121"/>
      <c r="B12" s="129"/>
      <c r="C12" s="129"/>
      <c r="D12" s="129"/>
      <c r="E12" s="130"/>
      <c r="F12" s="129"/>
      <c r="G12" s="129"/>
      <c r="H12" s="129"/>
      <c r="I12" s="129"/>
      <c r="J12" s="142"/>
      <c r="K12" s="145"/>
    </row>
    <row r="13" spans="1:11" customFormat="1" ht="14.5">
      <c r="A13" s="7" t="str">
        <f>HLOOKUP(INDICE!$F$2,Nombres!$C$3:$D$636,13,FALSE)</f>
        <v>South America</v>
      </c>
      <c r="B13" s="132">
        <v>4.3129806052188178</v>
      </c>
      <c r="C13" s="132">
        <v>4.1956168653614982</v>
      </c>
      <c r="D13" s="132">
        <v>4.0837567082694708</v>
      </c>
      <c r="E13" s="133">
        <v>4.0371936430209221</v>
      </c>
      <c r="F13" s="132">
        <v>4.1591723659891091</v>
      </c>
      <c r="G13" s="134">
        <v>3.9784906546754977</v>
      </c>
      <c r="H13" s="134">
        <v>0</v>
      </c>
      <c r="I13" s="134">
        <v>0</v>
      </c>
      <c r="J13" s="142"/>
    </row>
    <row r="14" spans="1:11" s="144" customFormat="1" ht="6" customHeight="1">
      <c r="A14" s="121"/>
      <c r="B14" s="146"/>
      <c r="C14" s="146"/>
      <c r="D14" s="146"/>
      <c r="E14" s="147"/>
      <c r="F14" s="146"/>
      <c r="G14" s="148"/>
      <c r="H14" s="148"/>
      <c r="I14" s="148"/>
      <c r="J14" s="142"/>
      <c r="K14" s="145"/>
    </row>
    <row r="15" spans="1:11">
      <c r="A15" s="7" t="str">
        <f>HLOOKUP(INDICE!$F$2,Nombres!$C$3:$D$636,263,FALSE)</f>
        <v>Rest of Business</v>
      </c>
      <c r="B15" s="132">
        <v>0.27257810788294667</v>
      </c>
      <c r="C15" s="132">
        <v>0.20914772765344997</v>
      </c>
      <c r="D15" s="132">
        <v>0.17849786005357979</v>
      </c>
      <c r="E15" s="133">
        <v>0.1571983087271957</v>
      </c>
      <c r="F15" s="132">
        <v>0.13897737729640811</v>
      </c>
      <c r="G15" s="134">
        <v>0.31484328693600694</v>
      </c>
      <c r="H15" s="134">
        <v>0</v>
      </c>
      <c r="I15" s="134">
        <v>0</v>
      </c>
    </row>
    <row r="16" spans="1:11" s="144" customFormat="1" ht="13">
      <c r="A16" s="149"/>
      <c r="B16" s="146"/>
      <c r="C16" s="146"/>
      <c r="D16" s="137"/>
      <c r="E16" s="137"/>
      <c r="F16" s="146"/>
      <c r="G16" s="146"/>
      <c r="H16" s="137"/>
      <c r="I16" s="137"/>
      <c r="J16" s="145"/>
      <c r="K16" s="145"/>
    </row>
    <row r="17" spans="1:11">
      <c r="A17" s="121"/>
      <c r="B17" s="146"/>
      <c r="C17" s="146"/>
      <c r="D17" s="150"/>
      <c r="E17" s="150"/>
      <c r="F17" s="146"/>
      <c r="G17" s="146"/>
      <c r="H17" s="150"/>
      <c r="I17" s="150"/>
      <c r="J17" s="145"/>
      <c r="K17" s="145"/>
    </row>
    <row r="18" spans="1:11" s="144" customFormat="1" ht="17">
      <c r="A18" s="59" t="str">
        <f>HLOOKUP(INDICE!$F$2,Nombres!$C$3:$D$636,86,FALSE)</f>
        <v>NPL coverage ratio</v>
      </c>
      <c r="B18" s="118"/>
      <c r="C18" s="118"/>
      <c r="D18" s="151"/>
      <c r="E18" s="151"/>
      <c r="F18" s="118"/>
      <c r="G18" s="118"/>
      <c r="H18" s="151"/>
      <c r="I18" s="151"/>
      <c r="J18" s="145"/>
      <c r="K18" s="145"/>
    </row>
    <row r="19" spans="1:11" ht="13.5" customHeight="1">
      <c r="A19" s="120" t="str">
        <f>HLOOKUP(INDICE!$F$2,Nombres!$C$3:$D$636,84,FALSE)</f>
        <v>(Percentage)</v>
      </c>
      <c r="B19" s="136"/>
      <c r="C19" s="136"/>
      <c r="D19" s="150"/>
      <c r="E19" s="150"/>
      <c r="F19" s="136"/>
      <c r="G19" s="136"/>
      <c r="H19" s="150"/>
      <c r="I19" s="150"/>
      <c r="J19" s="145"/>
      <c r="K19" s="145"/>
    </row>
    <row r="20" spans="1:11" ht="13.5">
      <c r="A20" s="121"/>
      <c r="B20" s="140">
        <f>+B$3</f>
        <v>45747</v>
      </c>
      <c r="C20" s="140">
        <f t="shared" ref="C20:I20" si="0">+C$3</f>
        <v>45838</v>
      </c>
      <c r="D20" s="140">
        <f t="shared" si="0"/>
        <v>45930</v>
      </c>
      <c r="E20" s="140">
        <f t="shared" si="0"/>
        <v>46022</v>
      </c>
      <c r="F20" s="140">
        <f t="shared" si="0"/>
        <v>46112</v>
      </c>
      <c r="G20" s="140">
        <f t="shared" si="0"/>
        <v>46203</v>
      </c>
      <c r="H20" s="140">
        <f t="shared" si="0"/>
        <v>46295</v>
      </c>
      <c r="I20" s="140">
        <f t="shared" si="0"/>
        <v>46387</v>
      </c>
      <c r="J20" s="145"/>
      <c r="K20" s="145"/>
    </row>
    <row r="21" spans="1:11" ht="6.75" customHeight="1">
      <c r="A21" s="121"/>
      <c r="B21" s="152"/>
      <c r="C21" s="152"/>
      <c r="D21" s="150"/>
      <c r="E21" s="150"/>
      <c r="F21" s="152"/>
      <c r="G21" s="152"/>
      <c r="H21" s="150"/>
      <c r="I21" s="150"/>
      <c r="J21" s="145"/>
      <c r="K21" s="145"/>
    </row>
    <row r="22" spans="1:11" customFormat="1" ht="14.5">
      <c r="A22" s="17" t="str">
        <f>HLOOKUP(INDICE!$F$2,Nombres!$C$3:$D$636,275,FALSE)</f>
        <v>BBVA Group  (*)</v>
      </c>
      <c r="B22" s="153">
        <v>81.681448037357512</v>
      </c>
      <c r="C22" s="153">
        <v>81.110483920775394</v>
      </c>
      <c r="D22" s="153">
        <v>83.929403820221737</v>
      </c>
      <c r="E22" s="154">
        <v>84.955164032334835</v>
      </c>
      <c r="F22" s="153">
        <v>86.241895112844887</v>
      </c>
      <c r="G22" s="155">
        <v>84.671337800410896</v>
      </c>
      <c r="H22" s="155">
        <v>0</v>
      </c>
      <c r="I22" s="155">
        <v>0</v>
      </c>
      <c r="J22" s="156"/>
    </row>
    <row r="23" spans="1:11" s="144" customFormat="1" ht="6.75" customHeight="1">
      <c r="A23" s="121"/>
      <c r="B23" s="157"/>
      <c r="C23" s="157"/>
      <c r="D23" s="157"/>
      <c r="E23" s="158"/>
      <c r="F23" s="157"/>
      <c r="G23" s="157"/>
      <c r="H23" s="157"/>
      <c r="I23" s="157"/>
      <c r="J23" s="156"/>
      <c r="K23" s="145"/>
    </row>
    <row r="24" spans="1:11" customFormat="1" ht="14.5">
      <c r="A24" s="7" t="str">
        <f>HLOOKUP(INDICE!$F$2,Nombres!$C$3:$D$636,7,FALSE)</f>
        <v>Spain</v>
      </c>
      <c r="B24" s="159">
        <v>60.588093077771767</v>
      </c>
      <c r="C24" s="159">
        <v>61.336895072233588</v>
      </c>
      <c r="D24" s="159">
        <v>65.227823848879908</v>
      </c>
      <c r="E24" s="160">
        <v>67.449915271254937</v>
      </c>
      <c r="F24" s="159">
        <v>69.345788394529464</v>
      </c>
      <c r="G24" s="161">
        <v>71.264733925940604</v>
      </c>
      <c r="H24" s="161">
        <v>0</v>
      </c>
      <c r="I24" s="161">
        <v>0</v>
      </c>
      <c r="J24" s="156"/>
      <c r="K24" s="162"/>
    </row>
    <row r="25" spans="1:11" ht="6" customHeight="1">
      <c r="A25" s="121"/>
      <c r="B25" s="157"/>
      <c r="C25" s="157"/>
      <c r="D25" s="157"/>
      <c r="E25" s="158"/>
      <c r="F25" s="157"/>
      <c r="G25" s="157"/>
      <c r="H25" s="157"/>
      <c r="I25" s="157"/>
      <c r="J25" s="156"/>
      <c r="K25" s="145"/>
    </row>
    <row r="26" spans="1:11" customFormat="1" ht="14.5">
      <c r="A26" s="7" t="str">
        <f>HLOOKUP(INDICE!$F$2,Nombres!$C$3:$D$636,11,FALSE)</f>
        <v>Mexico</v>
      </c>
      <c r="B26" s="159">
        <v>128.93178953430754</v>
      </c>
      <c r="C26" s="159">
        <v>124.62919409570468</v>
      </c>
      <c r="D26" s="159">
        <v>123.15631259579956</v>
      </c>
      <c r="E26" s="160">
        <v>123.65684027896108</v>
      </c>
      <c r="F26" s="159">
        <v>128.79349352752905</v>
      </c>
      <c r="G26" s="161">
        <v>117.99747391080473</v>
      </c>
      <c r="H26" s="161">
        <v>0</v>
      </c>
      <c r="I26" s="161">
        <v>0</v>
      </c>
      <c r="J26" s="156"/>
    </row>
    <row r="27" spans="1:11" customFormat="1" ht="5.25" customHeight="1">
      <c r="A27" s="121"/>
      <c r="B27" s="157"/>
      <c r="C27" s="157"/>
      <c r="D27" s="157"/>
      <c r="E27" s="158"/>
      <c r="F27" s="157"/>
      <c r="G27" s="157"/>
      <c r="H27" s="157"/>
      <c r="I27" s="157"/>
      <c r="J27" s="156"/>
    </row>
    <row r="28" spans="1:11" customFormat="1" ht="14.5">
      <c r="A28" s="7" t="str">
        <f>HLOOKUP(INDICE!$F$2,Nombres!$C$3:$D$636,12,FALSE)</f>
        <v xml:space="preserve">Turkey </v>
      </c>
      <c r="B28" s="159">
        <v>93.182284677483381</v>
      </c>
      <c r="C28" s="159">
        <v>86.192313916077026</v>
      </c>
      <c r="D28" s="159">
        <v>78.140787044575674</v>
      </c>
      <c r="E28" s="160">
        <v>76.095916328278918</v>
      </c>
      <c r="F28" s="159">
        <v>73.632381100268034</v>
      </c>
      <c r="G28" s="161">
        <v>74.99118099436447</v>
      </c>
      <c r="H28" s="161">
        <v>0</v>
      </c>
      <c r="I28" s="161">
        <v>0</v>
      </c>
      <c r="J28" s="156"/>
    </row>
    <row r="29" spans="1:11" ht="6.75" customHeight="1">
      <c r="A29" s="121"/>
      <c r="B29" s="157"/>
      <c r="C29" s="157"/>
      <c r="D29" s="157"/>
      <c r="E29" s="158"/>
      <c r="F29" s="157"/>
      <c r="G29" s="157"/>
      <c r="H29" s="157"/>
      <c r="I29" s="157"/>
      <c r="J29" s="156"/>
      <c r="K29" s="145"/>
    </row>
    <row r="30" spans="1:11" customFormat="1" ht="14.5">
      <c r="A30" s="7" t="str">
        <f>HLOOKUP(INDICE!$F$2,Nombres!$C$3:$D$636,13,FALSE)</f>
        <v>South America</v>
      </c>
      <c r="B30" s="159">
        <v>90.221681271748665</v>
      </c>
      <c r="C30" s="159">
        <v>89.469756496988083</v>
      </c>
      <c r="D30" s="159">
        <v>93.046672680120693</v>
      </c>
      <c r="E30" s="160">
        <v>92.237060110300334</v>
      </c>
      <c r="F30" s="159">
        <v>90.174896810281084</v>
      </c>
      <c r="G30" s="161">
        <v>89.431337878491235</v>
      </c>
      <c r="H30" s="161">
        <v>0</v>
      </c>
      <c r="I30" s="161">
        <v>0</v>
      </c>
      <c r="J30" s="156"/>
    </row>
    <row r="31" spans="1:11" s="144" customFormat="1" ht="6" customHeight="1">
      <c r="A31" s="121"/>
      <c r="B31" s="163"/>
      <c r="C31" s="163"/>
      <c r="D31" s="163"/>
      <c r="E31" s="164"/>
      <c r="F31" s="163"/>
      <c r="G31" s="165"/>
      <c r="H31" s="165"/>
      <c r="I31" s="165"/>
      <c r="J31" s="156"/>
      <c r="K31" s="145"/>
    </row>
    <row r="32" spans="1:11">
      <c r="A32" s="7" t="str">
        <f>HLOOKUP(INDICE!$F$2,Nombres!$C$3:$D$636,263,FALSE)</f>
        <v>Rest of Business</v>
      </c>
      <c r="B32" s="159">
        <v>109.28570066052825</v>
      </c>
      <c r="C32" s="159">
        <v>139.85236122999086</v>
      </c>
      <c r="D32" s="159">
        <v>175.89311906588847</v>
      </c>
      <c r="E32" s="160">
        <v>172.30447865948946</v>
      </c>
      <c r="F32" s="159">
        <v>197.13347508722879</v>
      </c>
      <c r="G32" s="161">
        <v>88.806179299901189</v>
      </c>
      <c r="H32" s="161">
        <v>0</v>
      </c>
      <c r="I32" s="161">
        <v>0</v>
      </c>
    </row>
    <row r="33" spans="1:11" s="144" customFormat="1" ht="13">
      <c r="A33" s="149"/>
      <c r="B33" s="121"/>
      <c r="C33" s="121"/>
      <c r="D33" s="150"/>
      <c r="E33" s="150"/>
      <c r="F33" s="121"/>
      <c r="G33" s="121"/>
      <c r="H33" s="150"/>
      <c r="I33" s="150"/>
      <c r="J33" s="145"/>
      <c r="K33" s="145"/>
    </row>
    <row r="34" spans="1:11" ht="12" customHeight="1">
      <c r="A34" s="121"/>
      <c r="B34" s="121"/>
      <c r="C34" s="121"/>
      <c r="D34" s="150"/>
      <c r="E34" s="150"/>
      <c r="F34" s="121"/>
      <c r="G34" s="121"/>
      <c r="H34" s="150"/>
      <c r="I34" s="150"/>
      <c r="J34" s="145"/>
      <c r="K34" s="145"/>
    </row>
    <row r="35" spans="1:11" ht="17">
      <c r="A35" s="59" t="str">
        <f>HLOOKUP(INDICE!$F$2,Nombres!$C$3:$D$636,87,FALSE)</f>
        <v>Cost of risk YTD</v>
      </c>
      <c r="B35" s="118"/>
      <c r="C35" s="118"/>
      <c r="D35" s="151"/>
      <c r="E35" s="151"/>
      <c r="F35" s="118"/>
      <c r="G35" s="118"/>
      <c r="H35" s="151"/>
      <c r="I35" s="151"/>
      <c r="J35" s="145"/>
      <c r="K35" s="145"/>
    </row>
    <row r="36" spans="1:11" ht="12.75" customHeight="1">
      <c r="A36" s="120" t="str">
        <f>HLOOKUP(INDICE!$F$2,Nombres!$C$3:$D$636,84,FALSE)</f>
        <v>(Percentage)</v>
      </c>
      <c r="B36" s="121"/>
      <c r="C36" s="121"/>
      <c r="D36" s="150"/>
      <c r="E36" s="150"/>
      <c r="F36" s="121"/>
      <c r="G36" s="121"/>
      <c r="H36" s="150"/>
      <c r="I36" s="150"/>
      <c r="J36" s="145"/>
      <c r="K36" s="145"/>
    </row>
    <row r="37" spans="1:11" ht="13.5">
      <c r="A37" s="121"/>
      <c r="B37" s="140">
        <f>+B$3</f>
        <v>45747</v>
      </c>
      <c r="C37" s="140">
        <f t="shared" ref="C37:I37" si="1">+C$3</f>
        <v>45838</v>
      </c>
      <c r="D37" s="140">
        <f t="shared" si="1"/>
        <v>45930</v>
      </c>
      <c r="E37" s="140">
        <f t="shared" si="1"/>
        <v>46022</v>
      </c>
      <c r="F37" s="140">
        <f t="shared" si="1"/>
        <v>46112</v>
      </c>
      <c r="G37" s="140">
        <f t="shared" si="1"/>
        <v>46203</v>
      </c>
      <c r="H37" s="140">
        <f t="shared" si="1"/>
        <v>46295</v>
      </c>
      <c r="I37" s="140">
        <f t="shared" si="1"/>
        <v>46387</v>
      </c>
      <c r="J37" s="145"/>
      <c r="K37" s="145"/>
    </row>
    <row r="38" spans="1:11">
      <c r="A38" s="121"/>
      <c r="B38" s="152"/>
      <c r="C38" s="152"/>
      <c r="D38" s="150"/>
      <c r="E38" s="150"/>
      <c r="F38" s="152"/>
      <c r="G38" s="152"/>
      <c r="H38" s="150"/>
      <c r="I38" s="150"/>
      <c r="J38" s="145"/>
      <c r="K38" s="145"/>
    </row>
    <row r="39" spans="1:11" customFormat="1" ht="14.5">
      <c r="A39" s="17" t="str">
        <f>HLOOKUP(INDICE!$F$2,Nombres!$C$3:$D$636,275,FALSE)</f>
        <v>BBVA Group  (*)</v>
      </c>
      <c r="B39" s="166">
        <v>1.3043825777334452</v>
      </c>
      <c r="C39" s="166">
        <v>1.3167554321896211</v>
      </c>
      <c r="D39" s="166">
        <v>1.347781198280501</v>
      </c>
      <c r="E39" s="167">
        <v>1.3913684899849093</v>
      </c>
      <c r="F39" s="166">
        <v>1.5402058618521393</v>
      </c>
      <c r="G39" s="166">
        <v>1.4297132026334847</v>
      </c>
      <c r="H39" s="168">
        <v>0</v>
      </c>
      <c r="I39" s="168">
        <v>0</v>
      </c>
      <c r="J39" s="68"/>
    </row>
    <row r="40" spans="1:11" s="144" customFormat="1" ht="6.75" customHeight="1">
      <c r="A40" s="121"/>
      <c r="B40" s="169"/>
      <c r="C40" s="169"/>
      <c r="D40" s="169"/>
      <c r="E40" s="170"/>
      <c r="F40" s="169"/>
      <c r="G40" s="169"/>
      <c r="H40" s="169"/>
      <c r="I40" s="169"/>
      <c r="J40" s="145"/>
      <c r="K40" s="145"/>
    </row>
    <row r="41" spans="1:11" customFormat="1" ht="14.5">
      <c r="A41" s="7" t="str">
        <f>HLOOKUP(INDICE!$F$2,Nombres!$C$3:$D$636,7,FALSE)</f>
        <v>Spain</v>
      </c>
      <c r="B41" s="171">
        <v>0.30222327596269272</v>
      </c>
      <c r="C41" s="171">
        <v>0.32355655768387159</v>
      </c>
      <c r="D41" s="171">
        <v>0.33795623939580205</v>
      </c>
      <c r="E41" s="172">
        <v>0.34141426858803564</v>
      </c>
      <c r="F41" s="171">
        <v>0.34017555716775322</v>
      </c>
      <c r="G41" s="173">
        <v>0.30756659240719103</v>
      </c>
      <c r="H41" s="173">
        <v>0</v>
      </c>
      <c r="I41" s="173">
        <v>0</v>
      </c>
      <c r="J41" s="68"/>
    </row>
    <row r="42" spans="1:11" customFormat="1" ht="8.25" customHeight="1">
      <c r="A42" s="121"/>
      <c r="B42" s="169"/>
      <c r="C42" s="169"/>
      <c r="D42" s="169"/>
      <c r="E42" s="170"/>
      <c r="F42" s="169"/>
      <c r="G42" s="169"/>
      <c r="H42" s="169"/>
      <c r="I42" s="169"/>
      <c r="J42" s="68"/>
    </row>
    <row r="43" spans="1:11" customFormat="1" ht="14.5">
      <c r="A43" s="7" t="str">
        <f>HLOOKUP(INDICE!$F$2,Nombres!$C$3:$D$636,11,FALSE)</f>
        <v>Mexico</v>
      </c>
      <c r="B43" s="171">
        <v>3.047776955971413</v>
      </c>
      <c r="C43" s="171">
        <v>3.2413629038736644</v>
      </c>
      <c r="D43" s="171">
        <v>3.2688662954603442</v>
      </c>
      <c r="E43" s="172">
        <v>3.3129139167005097</v>
      </c>
      <c r="F43" s="171">
        <v>3.4513999004042031</v>
      </c>
      <c r="G43" s="173">
        <v>3.2601206220535008</v>
      </c>
      <c r="H43" s="173">
        <v>0</v>
      </c>
      <c r="I43" s="173">
        <v>0</v>
      </c>
      <c r="J43" s="68"/>
    </row>
    <row r="44" spans="1:11" ht="6" customHeight="1">
      <c r="A44" s="121"/>
      <c r="B44" s="169"/>
      <c r="C44" s="169"/>
      <c r="D44" s="169"/>
      <c r="E44" s="170"/>
      <c r="F44" s="169"/>
      <c r="G44" s="169"/>
      <c r="H44" s="169"/>
      <c r="I44" s="169"/>
      <c r="J44" s="145"/>
      <c r="K44" s="145"/>
    </row>
    <row r="45" spans="1:11" customFormat="1" ht="14.5">
      <c r="A45" s="7" t="str">
        <f>HLOOKUP(INDICE!$F$2,Nombres!$C$3:$D$636,12,FALSE)</f>
        <v xml:space="preserve">Turkey </v>
      </c>
      <c r="B45" s="171">
        <v>1.8909550544224853</v>
      </c>
      <c r="C45" s="171">
        <v>1.6355782784331538</v>
      </c>
      <c r="D45" s="171">
        <v>1.7598091573797674</v>
      </c>
      <c r="E45" s="172">
        <v>1.9416191167229944</v>
      </c>
      <c r="F45" s="171">
        <v>2.5253935550950546</v>
      </c>
      <c r="G45" s="173">
        <v>2.3645401177187724</v>
      </c>
      <c r="H45" s="173">
        <v>0</v>
      </c>
      <c r="I45" s="173">
        <v>0</v>
      </c>
      <c r="J45" s="68"/>
    </row>
    <row r="46" spans="1:11" ht="6.75" customHeight="1">
      <c r="A46" s="121"/>
      <c r="B46" s="169"/>
      <c r="C46" s="169"/>
      <c r="D46" s="169"/>
      <c r="E46" s="170"/>
      <c r="F46" s="169"/>
      <c r="G46" s="169"/>
      <c r="H46" s="169"/>
      <c r="I46" s="169"/>
      <c r="J46" s="145"/>
      <c r="K46" s="145"/>
    </row>
    <row r="47" spans="1:11" customFormat="1" ht="14.5">
      <c r="A47" s="7" t="str">
        <f>HLOOKUP(INDICE!$F$2,Nombres!$C$3:$D$636,13,FALSE)</f>
        <v>South America</v>
      </c>
      <c r="B47" s="171">
        <v>2.2985953283551734</v>
      </c>
      <c r="C47" s="171">
        <v>2.3303242976320147</v>
      </c>
      <c r="D47" s="171">
        <v>2.4350918235504437</v>
      </c>
      <c r="E47" s="172">
        <v>2.504544186460294</v>
      </c>
      <c r="F47" s="171">
        <v>2.7639276895164393</v>
      </c>
      <c r="G47" s="173">
        <v>2.6929491983652003</v>
      </c>
      <c r="H47" s="173">
        <v>0</v>
      </c>
      <c r="I47" s="173">
        <v>0</v>
      </c>
      <c r="J47" s="68"/>
    </row>
    <row r="48" spans="1:11" s="144" customFormat="1" ht="6" customHeight="1">
      <c r="A48" s="121"/>
      <c r="B48" s="174"/>
      <c r="C48" s="174"/>
      <c r="D48" s="174"/>
      <c r="E48" s="175"/>
      <c r="F48" s="174"/>
      <c r="G48" s="176"/>
      <c r="H48" s="176"/>
      <c r="I48" s="176"/>
      <c r="J48" s="145"/>
      <c r="K48" s="145"/>
    </row>
    <row r="49" spans="1:9">
      <c r="A49" s="7" t="str">
        <f>HLOOKUP(INDICE!$F$2,Nombres!$C$3:$D$636,263,FALSE)</f>
        <v>Rest of Business</v>
      </c>
      <c r="B49" s="171">
        <v>0.15855526548717555</v>
      </c>
      <c r="C49" s="171">
        <v>0.14715271109686748</v>
      </c>
      <c r="D49" s="171">
        <v>0.1170200830253942</v>
      </c>
      <c r="E49" s="172">
        <v>0.15343544690052735</v>
      </c>
      <c r="F49" s="171">
        <v>0.30185993059895827</v>
      </c>
      <c r="G49" s="173">
        <v>0.13747630501936225</v>
      </c>
      <c r="H49" s="173">
        <v>0</v>
      </c>
      <c r="I49" s="173">
        <v>0</v>
      </c>
    </row>
    <row r="50" spans="1:9">
      <c r="A50" s="149"/>
      <c r="B50" s="121"/>
      <c r="C50" s="121"/>
      <c r="D50" s="121"/>
      <c r="E50" s="121"/>
      <c r="F50" s="121"/>
      <c r="G50" s="177"/>
      <c r="H50" s="177"/>
      <c r="I50" s="177"/>
    </row>
    <row r="51" spans="1:9">
      <c r="A51" s="19"/>
      <c r="B51" s="121"/>
      <c r="C51" s="121"/>
      <c r="D51" s="121"/>
      <c r="E51" s="121"/>
      <c r="F51" s="121"/>
      <c r="G51" s="121"/>
      <c r="H51" s="121"/>
      <c r="I51" s="121"/>
    </row>
    <row r="52" spans="1:9">
      <c r="A52" s="121"/>
      <c r="B52" s="121"/>
      <c r="C52" s="121"/>
      <c r="D52" s="121"/>
      <c r="E52" s="121"/>
      <c r="F52" s="121"/>
      <c r="G52" s="121"/>
      <c r="H52" s="121"/>
      <c r="I52" s="121"/>
    </row>
    <row r="53" spans="1:9">
      <c r="A53" s="139"/>
    </row>
    <row r="994" spans="1:1">
      <c r="A994" s="178" t="s">
        <v>557</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42273-2E0C-478B-9CEC-8BFE8DBA9B6D}">
  <sheetPr>
    <tabColor rgb="FFD8BE75"/>
  </sheetPr>
  <dimension ref="A1:N997"/>
  <sheetViews>
    <sheetView showGridLines="0" workbookViewId="0">
      <selection activeCell="L20" sqref="L20:L21"/>
    </sheetView>
  </sheetViews>
  <sheetFormatPr baseColWidth="10" defaultColWidth="11.453125" defaultRowHeight="14.5"/>
  <cols>
    <col min="1" max="1" width="23.81640625" customWidth="1"/>
    <col min="8" max="9" width="0" hidden="1" customWidth="1"/>
  </cols>
  <sheetData>
    <row r="1" spans="1:14" ht="17">
      <c r="A1" s="106" t="str">
        <f>HLOOKUP(INDICE!$F$2,Nombres!$C$3:$D$636,123,FALSE)</f>
        <v>Branches</v>
      </c>
      <c r="B1" s="179"/>
      <c r="C1" s="179"/>
      <c r="D1" s="60"/>
      <c r="E1" s="60"/>
      <c r="F1" s="60"/>
      <c r="G1" s="60"/>
      <c r="H1" s="60"/>
      <c r="I1" s="60"/>
    </row>
    <row r="2" spans="1:14" ht="33.75" customHeight="1">
      <c r="A2" s="180"/>
      <c r="B2" s="123">
        <f>+España!B32</f>
        <v>45747</v>
      </c>
      <c r="C2" s="123">
        <f>+España!C32</f>
        <v>45838</v>
      </c>
      <c r="D2" s="123">
        <f>+España!D32</f>
        <v>45930</v>
      </c>
      <c r="E2" s="123">
        <f>+España!E32</f>
        <v>46022</v>
      </c>
      <c r="F2" s="123">
        <f>+España!F32</f>
        <v>46112</v>
      </c>
      <c r="G2" s="123">
        <f>+España!G32</f>
        <v>46203</v>
      </c>
      <c r="H2" s="123">
        <f>+España!H32</f>
        <v>46295</v>
      </c>
      <c r="I2" s="123">
        <f>+España!I32</f>
        <v>46387</v>
      </c>
    </row>
    <row r="3" spans="1:14">
      <c r="A3" s="113" t="str">
        <f>HLOOKUP(INDICE!$F$2,Nombres!$C$3:$D$636,7,FALSE)</f>
        <v>Spain</v>
      </c>
      <c r="B3" s="17">
        <v>1880</v>
      </c>
      <c r="C3" s="17">
        <v>1879</v>
      </c>
      <c r="D3" s="17">
        <v>1879</v>
      </c>
      <c r="E3" s="17">
        <v>1871</v>
      </c>
      <c r="F3" s="17">
        <v>1871</v>
      </c>
      <c r="G3" s="17">
        <v>1865</v>
      </c>
      <c r="H3" s="17">
        <v>0</v>
      </c>
      <c r="I3" s="17">
        <v>0</v>
      </c>
      <c r="J3" s="68"/>
      <c r="L3" s="119"/>
      <c r="M3" s="119"/>
    </row>
    <row r="4" spans="1:14">
      <c r="A4" s="113" t="str">
        <f>HLOOKUP(INDICE!$F$2,Nombres!$C$3:$D$636,11,FALSE)</f>
        <v>Mexico</v>
      </c>
      <c r="B4" s="17">
        <v>1693</v>
      </c>
      <c r="C4" s="17">
        <v>1627</v>
      </c>
      <c r="D4" s="17">
        <v>1632</v>
      </c>
      <c r="E4" s="17">
        <v>1635</v>
      </c>
      <c r="F4" s="17">
        <v>1601</v>
      </c>
      <c r="G4" s="17">
        <v>1604</v>
      </c>
      <c r="H4" s="17">
        <v>0</v>
      </c>
      <c r="I4" s="17">
        <v>0</v>
      </c>
      <c r="J4" s="68"/>
      <c r="L4" s="119"/>
      <c r="M4" s="119"/>
    </row>
    <row r="5" spans="1:14">
      <c r="A5" s="113" t="str">
        <f>HLOOKUP(INDICE!$F$2,Nombres!$C$3:$D$636,12,FALSE)</f>
        <v xml:space="preserve">Turkey </v>
      </c>
      <c r="B5" s="17">
        <v>925</v>
      </c>
      <c r="C5" s="17">
        <v>929</v>
      </c>
      <c r="D5" s="17">
        <v>918</v>
      </c>
      <c r="E5" s="17">
        <v>913</v>
      </c>
      <c r="F5" s="17">
        <v>913</v>
      </c>
      <c r="G5" s="17">
        <v>914</v>
      </c>
      <c r="H5" s="17">
        <v>0</v>
      </c>
      <c r="I5" s="17">
        <v>0</v>
      </c>
      <c r="J5" s="68"/>
      <c r="L5" s="119"/>
      <c r="M5" s="119"/>
    </row>
    <row r="6" spans="1:14">
      <c r="A6" s="113" t="str">
        <f>HLOOKUP(INDICE!$F$2,Nombres!$C$3:$D$636,13,FALSE)</f>
        <v>South America</v>
      </c>
      <c r="B6" s="17">
        <v>1204</v>
      </c>
      <c r="C6" s="17">
        <v>1202</v>
      </c>
      <c r="D6" s="17">
        <v>1196</v>
      </c>
      <c r="E6" s="17">
        <v>1192</v>
      </c>
      <c r="F6" s="17">
        <v>1149</v>
      </c>
      <c r="G6" s="17">
        <v>1141</v>
      </c>
      <c r="H6" s="17">
        <v>0</v>
      </c>
      <c r="I6" s="17">
        <v>0</v>
      </c>
      <c r="J6" s="68"/>
    </row>
    <row r="7" spans="1:14">
      <c r="A7" s="72" t="str">
        <f>HLOOKUP(INDICE!$F$2,Nombres!$C$3:$D$636,14,FALSE)</f>
        <v>Argentina</v>
      </c>
      <c r="B7" s="181">
        <v>235</v>
      </c>
      <c r="C7" s="181">
        <v>234</v>
      </c>
      <c r="D7" s="181">
        <v>234</v>
      </c>
      <c r="E7" s="181">
        <v>234</v>
      </c>
      <c r="F7" s="181">
        <v>234</v>
      </c>
      <c r="G7" s="181">
        <v>229</v>
      </c>
      <c r="H7" s="181">
        <v>0</v>
      </c>
      <c r="I7" s="181">
        <v>0</v>
      </c>
      <c r="J7" s="68"/>
      <c r="L7" s="119"/>
      <c r="M7" s="119"/>
      <c r="N7" s="182"/>
    </row>
    <row r="8" spans="1:14">
      <c r="A8" s="72" t="str">
        <f>HLOOKUP(INDICE!$F$2,Nombres!$C$3:$D$636,15,FALSE)</f>
        <v>Chile</v>
      </c>
      <c r="B8" s="70">
        <v>8</v>
      </c>
      <c r="C8" s="70">
        <v>8</v>
      </c>
      <c r="D8" s="70">
        <v>8</v>
      </c>
      <c r="E8" s="70">
        <v>8</v>
      </c>
      <c r="F8" s="70">
        <v>8</v>
      </c>
      <c r="G8" s="70">
        <v>8</v>
      </c>
      <c r="H8" s="70">
        <v>0</v>
      </c>
      <c r="I8" s="70">
        <v>0</v>
      </c>
      <c r="J8" s="68"/>
      <c r="L8" s="119"/>
      <c r="M8" s="119"/>
      <c r="N8" s="182"/>
    </row>
    <row r="9" spans="1:14">
      <c r="A9" s="112" t="str">
        <f>HLOOKUP(INDICE!$F$2,Nombres!$C$3:$D$636,16,FALSE)</f>
        <v>Colombia</v>
      </c>
      <c r="B9" s="70">
        <v>450</v>
      </c>
      <c r="C9" s="70">
        <v>450</v>
      </c>
      <c r="D9" s="70">
        <v>444</v>
      </c>
      <c r="E9" s="70">
        <v>443</v>
      </c>
      <c r="F9" s="70">
        <v>403</v>
      </c>
      <c r="G9" s="70">
        <v>403</v>
      </c>
      <c r="H9" s="70">
        <v>0</v>
      </c>
      <c r="I9" s="70">
        <v>0</v>
      </c>
      <c r="J9" s="68"/>
      <c r="K9" s="119"/>
      <c r="L9" s="119"/>
      <c r="M9" s="119"/>
      <c r="N9" s="182"/>
    </row>
    <row r="10" spans="1:14">
      <c r="A10" s="112" t="str">
        <f>HLOOKUP(INDICE!$F$2,Nombres!$C$3:$D$636,17,FALSE)</f>
        <v>Peru</v>
      </c>
      <c r="B10" s="70">
        <v>277</v>
      </c>
      <c r="C10" s="70">
        <v>277</v>
      </c>
      <c r="D10" s="70">
        <v>278</v>
      </c>
      <c r="E10" s="70">
        <v>277</v>
      </c>
      <c r="F10" s="70">
        <v>274</v>
      </c>
      <c r="G10" s="70">
        <v>271</v>
      </c>
      <c r="H10" s="70">
        <v>0</v>
      </c>
      <c r="I10" s="70">
        <v>0</v>
      </c>
      <c r="J10" s="68"/>
      <c r="K10" s="119"/>
      <c r="L10" s="119"/>
      <c r="M10" s="119"/>
      <c r="N10" s="182"/>
    </row>
    <row r="11" spans="1:14">
      <c r="A11" s="112" t="str">
        <f>HLOOKUP(INDICE!$F$2,Nombres!$C$3:$D$636,89,FALSE)</f>
        <v>Resto of South América</v>
      </c>
      <c r="B11" s="70">
        <v>234</v>
      </c>
      <c r="C11" s="70">
        <v>233</v>
      </c>
      <c r="D11" s="70">
        <v>232</v>
      </c>
      <c r="E11" s="70">
        <v>230</v>
      </c>
      <c r="F11" s="70">
        <v>230</v>
      </c>
      <c r="G11" s="70">
        <v>230</v>
      </c>
      <c r="H11" s="70">
        <v>0</v>
      </c>
      <c r="I11" s="70">
        <v>0</v>
      </c>
      <c r="J11" s="68"/>
      <c r="K11" s="119"/>
      <c r="L11" s="119"/>
      <c r="M11" s="119"/>
      <c r="N11" s="182"/>
    </row>
    <row r="12" spans="1:14">
      <c r="A12" s="113" t="str">
        <f>HLOOKUP(INDICE!$F$2,Nombres!$C$3:$D$636,279,FALSE)</f>
        <v>Rest of geographies</v>
      </c>
      <c r="B12" s="17">
        <v>31</v>
      </c>
      <c r="C12" s="17">
        <v>31</v>
      </c>
      <c r="D12" s="17">
        <v>32</v>
      </c>
      <c r="E12" s="17">
        <v>31</v>
      </c>
      <c r="F12" s="17">
        <v>31</v>
      </c>
      <c r="G12" s="17">
        <v>31</v>
      </c>
      <c r="H12" s="17">
        <v>0</v>
      </c>
      <c r="I12" s="17">
        <v>0</v>
      </c>
      <c r="J12" s="68"/>
      <c r="K12" s="119"/>
      <c r="L12" s="119"/>
      <c r="M12" s="119"/>
    </row>
    <row r="13" spans="1:14">
      <c r="A13" s="113" t="s">
        <v>560</v>
      </c>
      <c r="B13" s="17">
        <f t="shared" ref="B13:I13" si="0">+SUM(B3:B5,B7:B12)</f>
        <v>5733</v>
      </c>
      <c r="C13" s="17">
        <f t="shared" si="0"/>
        <v>5668</v>
      </c>
      <c r="D13" s="17">
        <f t="shared" si="0"/>
        <v>5657</v>
      </c>
      <c r="E13" s="17">
        <f t="shared" si="0"/>
        <v>5642</v>
      </c>
      <c r="F13" s="17">
        <f t="shared" si="0"/>
        <v>5565</v>
      </c>
      <c r="G13" s="17">
        <f t="shared" si="0"/>
        <v>5555</v>
      </c>
      <c r="H13" s="17">
        <f t="shared" si="0"/>
        <v>0</v>
      </c>
      <c r="I13" s="17">
        <f t="shared" si="0"/>
        <v>0</v>
      </c>
      <c r="J13" s="68"/>
      <c r="K13" s="119"/>
    </row>
    <row r="14" spans="1:14">
      <c r="A14" s="57"/>
      <c r="B14" s="85">
        <v>0</v>
      </c>
      <c r="C14" s="85">
        <v>0</v>
      </c>
      <c r="D14" s="85">
        <v>0</v>
      </c>
      <c r="E14" s="85">
        <v>0</v>
      </c>
      <c r="F14" s="85">
        <v>0</v>
      </c>
      <c r="G14" s="85">
        <v>0</v>
      </c>
      <c r="H14" s="85">
        <v>0</v>
      </c>
      <c r="I14" s="85">
        <v>0</v>
      </c>
      <c r="K14" s="119"/>
    </row>
    <row r="15" spans="1:14">
      <c r="A15" s="57"/>
      <c r="B15" s="85"/>
      <c r="C15" s="85"/>
      <c r="D15" s="85"/>
      <c r="E15" s="85"/>
      <c r="F15" s="85"/>
      <c r="G15" s="85"/>
      <c r="H15" s="85"/>
      <c r="I15" s="85"/>
      <c r="K15" s="119"/>
    </row>
    <row r="16" spans="1:14" ht="17">
      <c r="A16" s="106" t="str">
        <f>HLOOKUP(INDICE!$F$2,Nombres!$C$3:$D$636,124,FALSE)</f>
        <v>Employees</v>
      </c>
      <c r="B16" s="179"/>
      <c r="C16" s="179"/>
      <c r="D16" s="60"/>
      <c r="E16" s="60"/>
      <c r="F16" s="60"/>
      <c r="G16" s="60"/>
      <c r="H16" s="60"/>
      <c r="I16" s="60"/>
      <c r="J16" s="183"/>
    </row>
    <row r="17" spans="1:14" ht="33.75" customHeight="1">
      <c r="A17" s="180"/>
      <c r="B17" s="123">
        <f t="shared" ref="B17:I17" si="1">+B$2</f>
        <v>45747</v>
      </c>
      <c r="C17" s="123">
        <f t="shared" si="1"/>
        <v>45838</v>
      </c>
      <c r="D17" s="123">
        <f t="shared" si="1"/>
        <v>45930</v>
      </c>
      <c r="E17" s="123">
        <f t="shared" si="1"/>
        <v>46022</v>
      </c>
      <c r="F17" s="123">
        <f t="shared" si="1"/>
        <v>46112</v>
      </c>
      <c r="G17" s="123">
        <f t="shared" si="1"/>
        <v>46203</v>
      </c>
      <c r="H17" s="123">
        <f t="shared" si="1"/>
        <v>46295</v>
      </c>
      <c r="I17" s="123">
        <f t="shared" si="1"/>
        <v>46387</v>
      </c>
      <c r="J17" s="183"/>
    </row>
    <row r="18" spans="1:14">
      <c r="A18" s="113" t="str">
        <f>HLOOKUP(INDICE!$F$2,Nombres!$C$3:$D$636,7,FALSE)</f>
        <v>Spain</v>
      </c>
      <c r="B18" s="17">
        <v>29085</v>
      </c>
      <c r="C18" s="17">
        <v>29265</v>
      </c>
      <c r="D18" s="17">
        <v>29417</v>
      </c>
      <c r="E18" s="17">
        <v>29479</v>
      </c>
      <c r="F18" s="17">
        <v>29456</v>
      </c>
      <c r="G18" s="17">
        <v>29206</v>
      </c>
      <c r="H18" s="17">
        <v>0</v>
      </c>
      <c r="I18" s="17">
        <v>0</v>
      </c>
      <c r="J18" s="119"/>
      <c r="K18" s="17"/>
      <c r="M18" s="68"/>
    </row>
    <row r="19" spans="1:14">
      <c r="A19" s="113" t="str">
        <f>HLOOKUP(INDICE!$F$2,Nombres!$C$3:$D$636,11,FALSE)</f>
        <v>Mexico</v>
      </c>
      <c r="B19" s="17">
        <v>47329</v>
      </c>
      <c r="C19" s="17">
        <v>47564</v>
      </c>
      <c r="D19" s="17">
        <v>47682</v>
      </c>
      <c r="E19" s="17">
        <v>47745</v>
      </c>
      <c r="F19" s="17">
        <v>47667</v>
      </c>
      <c r="G19" s="17">
        <v>48123</v>
      </c>
      <c r="H19" s="17">
        <v>0</v>
      </c>
      <c r="I19" s="17">
        <v>0</v>
      </c>
      <c r="J19" s="119"/>
      <c r="K19" s="17"/>
      <c r="M19" s="68"/>
    </row>
    <row r="20" spans="1:14">
      <c r="A20" s="113" t="str">
        <f>HLOOKUP(INDICE!$F$2,Nombres!$C$3:$D$636,12,FALSE)</f>
        <v xml:space="preserve">Turkey </v>
      </c>
      <c r="B20" s="17">
        <v>22724</v>
      </c>
      <c r="C20" s="17">
        <v>22985</v>
      </c>
      <c r="D20" s="17">
        <v>23418</v>
      </c>
      <c r="E20" s="17">
        <v>23311</v>
      </c>
      <c r="F20" s="17">
        <v>23376</v>
      </c>
      <c r="G20" s="17">
        <v>23288</v>
      </c>
      <c r="H20" s="17">
        <v>0</v>
      </c>
      <c r="I20" s="17">
        <v>0</v>
      </c>
      <c r="J20" s="119"/>
      <c r="K20" s="17"/>
      <c r="M20" s="68"/>
    </row>
    <row r="21" spans="1:14">
      <c r="A21" s="113" t="str">
        <f>HLOOKUP(INDICE!$F$2,Nombres!$C$3:$D$636,13,FALSE)</f>
        <v>South America</v>
      </c>
      <c r="B21" s="17">
        <v>23769</v>
      </c>
      <c r="C21" s="17">
        <v>24114</v>
      </c>
      <c r="D21" s="17">
        <v>24390</v>
      </c>
      <c r="E21" s="17">
        <v>24511</v>
      </c>
      <c r="F21" s="17">
        <v>24152</v>
      </c>
      <c r="G21" s="17">
        <v>24065</v>
      </c>
      <c r="H21" s="17">
        <v>0</v>
      </c>
      <c r="I21" s="17">
        <v>0</v>
      </c>
      <c r="J21" s="68"/>
      <c r="K21" s="70"/>
      <c r="M21" s="68"/>
    </row>
    <row r="22" spans="1:14">
      <c r="A22" s="72" t="str">
        <f>HLOOKUP(INDICE!$F$2,Nombres!$C$3:$D$636,14,FALSE)</f>
        <v>Argentina</v>
      </c>
      <c r="B22" s="70">
        <v>6286</v>
      </c>
      <c r="C22" s="70">
        <v>6432</v>
      </c>
      <c r="D22" s="70">
        <v>6596</v>
      </c>
      <c r="E22" s="70">
        <v>6739</v>
      </c>
      <c r="F22" s="70">
        <v>6567</v>
      </c>
      <c r="G22" s="70">
        <v>6482</v>
      </c>
      <c r="H22" s="70">
        <v>0</v>
      </c>
      <c r="I22" s="70">
        <v>0</v>
      </c>
      <c r="J22" s="68"/>
      <c r="K22" s="70"/>
      <c r="L22" s="119"/>
      <c r="M22" s="68"/>
      <c r="N22" s="184"/>
    </row>
    <row r="23" spans="1:14">
      <c r="A23" s="72" t="str">
        <f>HLOOKUP(INDICE!$F$2,Nombres!$C$3:$D$636,15,FALSE)</f>
        <v>Chile</v>
      </c>
      <c r="B23" s="70">
        <v>816</v>
      </c>
      <c r="C23" s="70">
        <v>839</v>
      </c>
      <c r="D23" s="70">
        <v>874</v>
      </c>
      <c r="E23" s="70">
        <v>862</v>
      </c>
      <c r="F23" s="70">
        <v>853</v>
      </c>
      <c r="G23" s="70">
        <v>845</v>
      </c>
      <c r="H23" s="70">
        <v>0</v>
      </c>
      <c r="I23" s="70">
        <v>0</v>
      </c>
      <c r="J23" s="68"/>
      <c r="K23" s="70"/>
      <c r="L23" s="119"/>
      <c r="M23" s="68"/>
    </row>
    <row r="24" spans="1:14">
      <c r="A24" s="112" t="str">
        <f>HLOOKUP(INDICE!$F$2,Nombres!$C$3:$D$636,16,FALSE)</f>
        <v>Colombia</v>
      </c>
      <c r="B24" s="70">
        <v>6512</v>
      </c>
      <c r="C24" s="70">
        <v>6575</v>
      </c>
      <c r="D24" s="70">
        <v>6574</v>
      </c>
      <c r="E24" s="70">
        <v>6516</v>
      </c>
      <c r="F24" s="70">
        <v>6409</v>
      </c>
      <c r="G24" s="70">
        <v>6322</v>
      </c>
      <c r="H24" s="70">
        <v>0</v>
      </c>
      <c r="I24" s="70">
        <v>0</v>
      </c>
      <c r="J24" s="68"/>
      <c r="K24" s="70"/>
      <c r="L24" s="119"/>
      <c r="M24" s="68"/>
    </row>
    <row r="25" spans="1:14">
      <c r="A25" s="112" t="str">
        <f>HLOOKUP(INDICE!$F$2,Nombres!$C$3:$D$636,17,FALSE)</f>
        <v>Peru</v>
      </c>
      <c r="B25" s="70">
        <v>7679</v>
      </c>
      <c r="C25" s="70">
        <v>7765</v>
      </c>
      <c r="D25" s="70">
        <v>7825</v>
      </c>
      <c r="E25" s="70">
        <v>7864</v>
      </c>
      <c r="F25" s="70">
        <v>7772</v>
      </c>
      <c r="G25" s="70">
        <v>7816</v>
      </c>
      <c r="H25" s="70">
        <v>0</v>
      </c>
      <c r="I25" s="70">
        <v>0</v>
      </c>
      <c r="J25" s="68"/>
      <c r="K25" s="70"/>
      <c r="L25" s="119"/>
      <c r="M25" s="68"/>
    </row>
    <row r="26" spans="1:14">
      <c r="A26" s="112" t="str">
        <f>HLOOKUP(INDICE!$F$2,Nombres!$C$3:$D$636,89,FALSE)</f>
        <v>Resto of South América</v>
      </c>
      <c r="B26" s="70">
        <v>2476</v>
      </c>
      <c r="C26" s="70">
        <v>2503</v>
      </c>
      <c r="D26" s="70">
        <v>2521</v>
      </c>
      <c r="E26" s="70">
        <v>2530</v>
      </c>
      <c r="F26" s="70">
        <v>2551</v>
      </c>
      <c r="G26" s="70">
        <v>2600</v>
      </c>
      <c r="H26" s="70">
        <v>0</v>
      </c>
      <c r="I26" s="70">
        <v>0</v>
      </c>
      <c r="J26" s="68"/>
      <c r="K26" s="70"/>
      <c r="L26" s="119"/>
      <c r="M26" s="68"/>
    </row>
    <row r="27" spans="1:14">
      <c r="A27" s="113" t="str">
        <f>HLOOKUP(INDICE!$F$2,Nombres!$C$3:$D$636,279,FALSE)</f>
        <v>Rest of geographies</v>
      </c>
      <c r="B27" s="17">
        <v>1834</v>
      </c>
      <c r="C27" s="17">
        <v>1936</v>
      </c>
      <c r="D27" s="17">
        <v>2090</v>
      </c>
      <c r="E27" s="17">
        <v>2128</v>
      </c>
      <c r="F27" s="17">
        <v>2226</v>
      </c>
      <c r="G27" s="17">
        <v>2312</v>
      </c>
      <c r="H27" s="17">
        <v>0</v>
      </c>
      <c r="I27" s="17">
        <v>0</v>
      </c>
      <c r="J27" s="119"/>
      <c r="K27" s="70"/>
      <c r="M27" s="68"/>
    </row>
    <row r="28" spans="1:14">
      <c r="A28" s="113" t="s">
        <v>560</v>
      </c>
      <c r="B28" s="17">
        <f t="shared" ref="B28:I28" si="2">+SUM(B18:B20,B22:B27)</f>
        <v>124741</v>
      </c>
      <c r="C28" s="17">
        <f t="shared" si="2"/>
        <v>125864</v>
      </c>
      <c r="D28" s="17">
        <f t="shared" si="2"/>
        <v>126997</v>
      </c>
      <c r="E28" s="17">
        <f t="shared" si="2"/>
        <v>127174</v>
      </c>
      <c r="F28" s="17">
        <f t="shared" si="2"/>
        <v>126877</v>
      </c>
      <c r="G28" s="17">
        <f t="shared" si="2"/>
        <v>126994</v>
      </c>
      <c r="H28" s="17">
        <f t="shared" si="2"/>
        <v>0</v>
      </c>
      <c r="I28" s="17">
        <f t="shared" si="2"/>
        <v>0</v>
      </c>
      <c r="J28" s="68"/>
      <c r="M28" s="68"/>
    </row>
    <row r="29" spans="1:14">
      <c r="A29" s="57"/>
      <c r="B29" s="85">
        <v>0</v>
      </c>
      <c r="C29" s="85">
        <v>0</v>
      </c>
      <c r="D29" s="85">
        <v>0</v>
      </c>
      <c r="E29" s="85">
        <v>0</v>
      </c>
      <c r="F29" s="85">
        <v>0</v>
      </c>
      <c r="G29" s="85">
        <v>0</v>
      </c>
      <c r="H29" s="85">
        <v>0</v>
      </c>
      <c r="I29" s="85">
        <v>0</v>
      </c>
    </row>
    <row r="30" spans="1:14">
      <c r="A30" s="57"/>
      <c r="B30" s="85"/>
      <c r="C30" s="85"/>
      <c r="D30" s="85"/>
      <c r="E30" s="85"/>
      <c r="F30" s="85"/>
      <c r="G30" s="85"/>
      <c r="H30" s="85"/>
      <c r="I30" s="85"/>
    </row>
    <row r="31" spans="1:14" ht="17">
      <c r="A31" s="106" t="str">
        <f>HLOOKUP(INDICE!$F$2,Nombres!$C$3:$D$636,125,FALSE)</f>
        <v>ATM´s</v>
      </c>
      <c r="B31" s="179"/>
      <c r="C31" s="179"/>
      <c r="D31" s="60"/>
      <c r="E31" s="60"/>
      <c r="F31" s="60"/>
      <c r="G31" s="60"/>
      <c r="H31" s="60"/>
      <c r="I31" s="60"/>
    </row>
    <row r="32" spans="1:14" ht="30" customHeight="1">
      <c r="A32" s="121"/>
      <c r="B32" s="123">
        <f t="shared" ref="B32:I32" si="3">+B$2</f>
        <v>45747</v>
      </c>
      <c r="C32" s="123">
        <f t="shared" si="3"/>
        <v>45838</v>
      </c>
      <c r="D32" s="123">
        <f t="shared" si="3"/>
        <v>45930</v>
      </c>
      <c r="E32" s="123">
        <f t="shared" si="3"/>
        <v>46022</v>
      </c>
      <c r="F32" s="123">
        <f t="shared" si="3"/>
        <v>46112</v>
      </c>
      <c r="G32" s="123">
        <f t="shared" si="3"/>
        <v>46203</v>
      </c>
      <c r="H32" s="123">
        <f t="shared" si="3"/>
        <v>46295</v>
      </c>
      <c r="I32" s="123">
        <f t="shared" si="3"/>
        <v>46387</v>
      </c>
    </row>
    <row r="33" spans="1:12">
      <c r="A33" s="113" t="str">
        <f>HLOOKUP(INDICE!$F$2,Nombres!$C$3:$D$636,7,FALSE)</f>
        <v>Spain</v>
      </c>
      <c r="B33" s="17">
        <v>4642</v>
      </c>
      <c r="C33" s="17">
        <v>4633</v>
      </c>
      <c r="D33" s="17">
        <v>4634</v>
      </c>
      <c r="E33" s="17">
        <v>4620</v>
      </c>
      <c r="F33" s="17">
        <v>4618</v>
      </c>
      <c r="G33" s="17">
        <v>4602</v>
      </c>
      <c r="H33" s="17">
        <v>0</v>
      </c>
      <c r="I33" s="17">
        <v>0</v>
      </c>
    </row>
    <row r="34" spans="1:12">
      <c r="A34" s="113" t="str">
        <f>HLOOKUP(INDICE!$F$2,Nombres!$C$3:$D$636,11,FALSE)</f>
        <v>Mexico</v>
      </c>
      <c r="B34" s="17">
        <v>14508</v>
      </c>
      <c r="C34" s="17">
        <v>14277</v>
      </c>
      <c r="D34" s="17">
        <v>14330</v>
      </c>
      <c r="E34" s="17">
        <v>14381</v>
      </c>
      <c r="F34" s="17">
        <v>14222</v>
      </c>
      <c r="G34" s="17">
        <v>14434</v>
      </c>
      <c r="H34" s="17">
        <v>0</v>
      </c>
      <c r="I34" s="17">
        <v>0</v>
      </c>
    </row>
    <row r="35" spans="1:12">
      <c r="A35" s="113" t="str">
        <f>HLOOKUP(INDICE!$F$2,Nombres!$C$3:$D$636,12,FALSE)</f>
        <v xml:space="preserve">Turkey </v>
      </c>
      <c r="B35" s="17">
        <v>6120</v>
      </c>
      <c r="C35" s="17">
        <v>6238</v>
      </c>
      <c r="D35" s="17">
        <v>6388</v>
      </c>
      <c r="E35" s="17">
        <v>6766</v>
      </c>
      <c r="F35" s="17">
        <v>6745</v>
      </c>
      <c r="G35" s="17">
        <v>6767</v>
      </c>
      <c r="H35" s="17">
        <v>0</v>
      </c>
      <c r="I35" s="17">
        <v>0</v>
      </c>
    </row>
    <row r="36" spans="1:12">
      <c r="A36" s="113" t="str">
        <f>HLOOKUP(INDICE!$F$2,Nombres!$C$3:$D$636,13,FALSE)</f>
        <v>South America</v>
      </c>
      <c r="B36" s="17">
        <v>5192</v>
      </c>
      <c r="C36" s="17">
        <v>5159</v>
      </c>
      <c r="D36" s="17">
        <v>5228</v>
      </c>
      <c r="E36" s="17">
        <v>5227</v>
      </c>
      <c r="F36" s="17">
        <v>5161</v>
      </c>
      <c r="G36" s="17">
        <v>4969</v>
      </c>
      <c r="H36" s="17">
        <v>0</v>
      </c>
      <c r="I36" s="17">
        <v>0</v>
      </c>
    </row>
    <row r="37" spans="1:12">
      <c r="A37" s="72" t="str">
        <f>HLOOKUP(INDICE!$F$2,Nombres!$C$3:$D$636,14,FALSE)</f>
        <v>Argentina</v>
      </c>
      <c r="B37" s="70">
        <v>1648</v>
      </c>
      <c r="C37" s="70">
        <v>1643</v>
      </c>
      <c r="D37" s="70">
        <v>1651</v>
      </c>
      <c r="E37" s="70">
        <v>1651</v>
      </c>
      <c r="F37" s="70">
        <v>1650</v>
      </c>
      <c r="G37" s="70">
        <v>1590</v>
      </c>
      <c r="H37" s="70">
        <v>0</v>
      </c>
      <c r="I37" s="70">
        <v>0</v>
      </c>
    </row>
    <row r="38" spans="1:12" hidden="1">
      <c r="A38" s="72" t="str">
        <f>HLOOKUP(INDICE!$F$2,Nombres!$C$3:$D$636,15,FALSE)</f>
        <v>Chile</v>
      </c>
      <c r="B38" s="70">
        <v>0</v>
      </c>
      <c r="C38" s="70">
        <v>0</v>
      </c>
      <c r="D38" s="70">
        <v>0</v>
      </c>
      <c r="E38" s="70">
        <v>0</v>
      </c>
      <c r="F38" s="70">
        <v>0</v>
      </c>
      <c r="G38" s="70">
        <v>0</v>
      </c>
      <c r="H38" s="70">
        <v>0</v>
      </c>
      <c r="I38" s="70">
        <v>0</v>
      </c>
    </row>
    <row r="39" spans="1:12">
      <c r="A39" s="112" t="str">
        <f>HLOOKUP(INDICE!$F$2,Nombres!$C$3:$D$636,16,FALSE)</f>
        <v>Colombia</v>
      </c>
      <c r="B39" s="70">
        <v>1462</v>
      </c>
      <c r="C39" s="70">
        <v>1466</v>
      </c>
      <c r="D39" s="70">
        <v>1473</v>
      </c>
      <c r="E39" s="70">
        <v>1411</v>
      </c>
      <c r="F39" s="70">
        <v>1371</v>
      </c>
      <c r="G39" s="70">
        <v>1328</v>
      </c>
      <c r="H39" s="70">
        <v>0</v>
      </c>
      <c r="I39" s="70">
        <v>0</v>
      </c>
    </row>
    <row r="40" spans="1:12">
      <c r="A40" s="112" t="str">
        <f>HLOOKUP(INDICE!$F$2,Nombres!$C$3:$D$636,17,FALSE)</f>
        <v>Peru</v>
      </c>
      <c r="B40" s="70">
        <v>1949</v>
      </c>
      <c r="C40" s="70">
        <v>1939</v>
      </c>
      <c r="D40" s="70">
        <v>1962</v>
      </c>
      <c r="E40" s="70">
        <v>1992</v>
      </c>
      <c r="F40" s="70">
        <v>1927</v>
      </c>
      <c r="G40" s="70">
        <v>1848</v>
      </c>
      <c r="H40" s="70">
        <v>0</v>
      </c>
      <c r="I40" s="70">
        <v>0</v>
      </c>
      <c r="L40" s="183"/>
    </row>
    <row r="41" spans="1:12">
      <c r="A41" s="112" t="str">
        <f>HLOOKUP(INDICE!$F$2,Nombres!$C$3:$D$636,89,FALSE)</f>
        <v>Resto of South América</v>
      </c>
      <c r="B41" s="70">
        <v>133</v>
      </c>
      <c r="C41" s="70">
        <v>111</v>
      </c>
      <c r="D41" s="70">
        <v>142</v>
      </c>
      <c r="E41" s="70">
        <v>173</v>
      </c>
      <c r="F41" s="70">
        <v>213</v>
      </c>
      <c r="G41" s="70">
        <v>203</v>
      </c>
      <c r="H41" s="70">
        <v>0</v>
      </c>
      <c r="I41" s="70">
        <v>0</v>
      </c>
      <c r="L41" s="183"/>
    </row>
    <row r="42" spans="1:12">
      <c r="A42" s="113" t="str">
        <f>HLOOKUP(INDICE!$F$2,Nombres!$C$3:$D$636,279,FALSE)</f>
        <v>Rest of geographies</v>
      </c>
      <c r="B42" s="17">
        <v>22</v>
      </c>
      <c r="C42" s="17">
        <v>21</v>
      </c>
      <c r="D42" s="17">
        <v>20</v>
      </c>
      <c r="E42" s="17">
        <v>21</v>
      </c>
      <c r="F42" s="17">
        <v>22</v>
      </c>
      <c r="G42" s="17">
        <v>22</v>
      </c>
      <c r="H42" s="17">
        <v>0</v>
      </c>
      <c r="I42" s="17">
        <v>0</v>
      </c>
    </row>
    <row r="43" spans="1:12">
      <c r="A43" s="113" t="s">
        <v>560</v>
      </c>
      <c r="B43" s="17">
        <f t="shared" ref="B43:I43" si="4">+SUM(B33:B35,B37:B42)</f>
        <v>30484</v>
      </c>
      <c r="C43" s="17">
        <f t="shared" si="4"/>
        <v>30328</v>
      </c>
      <c r="D43" s="17">
        <f t="shared" si="4"/>
        <v>30600</v>
      </c>
      <c r="E43" s="17">
        <f t="shared" si="4"/>
        <v>31015</v>
      </c>
      <c r="F43" s="17">
        <f t="shared" si="4"/>
        <v>30768</v>
      </c>
      <c r="G43" s="17">
        <f t="shared" si="4"/>
        <v>30794</v>
      </c>
      <c r="H43" s="17">
        <f t="shared" si="4"/>
        <v>0</v>
      </c>
      <c r="I43" s="17">
        <f t="shared" si="4"/>
        <v>0</v>
      </c>
    </row>
    <row r="44" spans="1:12">
      <c r="A44" s="121"/>
      <c r="B44" s="85">
        <v>0</v>
      </c>
      <c r="C44" s="85">
        <v>0</v>
      </c>
      <c r="D44" s="85">
        <v>0</v>
      </c>
      <c r="E44" s="85">
        <v>0</v>
      </c>
      <c r="F44" s="85">
        <v>0</v>
      </c>
      <c r="G44" s="85">
        <v>0</v>
      </c>
      <c r="H44" s="85">
        <v>0</v>
      </c>
      <c r="I44" s="85">
        <v>0</v>
      </c>
    </row>
    <row r="45" spans="1:12">
      <c r="A45" s="115"/>
      <c r="B45" s="121"/>
      <c r="C45" s="121"/>
      <c r="D45" s="121"/>
      <c r="E45" s="121"/>
      <c r="F45" s="121"/>
      <c r="G45" s="121"/>
      <c r="H45" s="121"/>
      <c r="I45" s="121"/>
    </row>
    <row r="46" spans="1:12">
      <c r="A46" s="115"/>
      <c r="B46" s="121"/>
      <c r="C46" s="121"/>
      <c r="D46" s="121"/>
      <c r="E46" s="121"/>
      <c r="F46" s="121"/>
      <c r="G46" s="121"/>
      <c r="H46" s="121"/>
      <c r="I46" s="121"/>
    </row>
    <row r="47" spans="1:12">
      <c r="A47" s="121"/>
      <c r="B47" s="121"/>
      <c r="C47" s="121"/>
      <c r="D47" s="121"/>
      <c r="E47" s="121"/>
      <c r="F47" s="121"/>
      <c r="G47" s="121"/>
      <c r="H47" s="121"/>
      <c r="I47" s="121"/>
    </row>
    <row r="48" spans="1:12">
      <c r="A48" s="121"/>
      <c r="B48" s="121"/>
      <c r="C48" s="121"/>
      <c r="D48" s="121"/>
      <c r="E48" s="121"/>
      <c r="F48" s="121"/>
      <c r="G48" s="121"/>
      <c r="H48" s="121"/>
      <c r="I48" s="121"/>
    </row>
    <row r="49" spans="1:9">
      <c r="A49" s="121"/>
      <c r="B49" s="121"/>
      <c r="C49" s="121"/>
      <c r="D49" s="121"/>
      <c r="E49" s="121"/>
      <c r="F49" s="121"/>
      <c r="G49" s="121"/>
      <c r="H49" s="121"/>
      <c r="I49" s="121"/>
    </row>
    <row r="50" spans="1:9">
      <c r="A50" s="121"/>
      <c r="B50" s="121"/>
      <c r="C50" s="121"/>
      <c r="D50" s="121"/>
      <c r="E50" s="121"/>
      <c r="F50" s="121"/>
      <c r="G50" s="121"/>
      <c r="H50" s="121"/>
      <c r="I50" s="121"/>
    </row>
    <row r="51" spans="1:9">
      <c r="A51" s="121"/>
      <c r="B51" s="121"/>
      <c r="C51" s="121"/>
      <c r="D51" s="121"/>
      <c r="E51" s="121"/>
      <c r="F51" s="121"/>
      <c r="G51" s="121"/>
      <c r="H51" s="121"/>
      <c r="I51" s="121"/>
    </row>
    <row r="52" spans="1:9">
      <c r="A52" s="121"/>
      <c r="B52" s="121"/>
      <c r="C52" s="121"/>
      <c r="D52" s="121"/>
      <c r="E52" s="121"/>
      <c r="F52" s="121"/>
      <c r="G52" s="121"/>
      <c r="H52" s="121"/>
      <c r="I52" s="121"/>
    </row>
    <row r="53" spans="1:9">
      <c r="A53" s="121"/>
      <c r="B53" s="121"/>
      <c r="C53" s="121"/>
      <c r="D53" s="121"/>
      <c r="E53" s="121"/>
      <c r="F53" s="121"/>
      <c r="G53" s="121"/>
      <c r="H53" s="121"/>
      <c r="I53" s="121"/>
    </row>
    <row r="54" spans="1:9">
      <c r="A54" s="121"/>
      <c r="B54" s="121"/>
      <c r="C54" s="121"/>
      <c r="D54" s="121"/>
      <c r="E54" s="121"/>
      <c r="F54" s="121"/>
      <c r="G54" s="121"/>
      <c r="H54" s="121"/>
      <c r="I54" s="121"/>
    </row>
    <row r="55" spans="1:9">
      <c r="A55" s="121"/>
      <c r="B55" s="121"/>
      <c r="C55" s="121"/>
      <c r="D55" s="121"/>
      <c r="E55" s="121"/>
      <c r="F55" s="121"/>
      <c r="G55" s="121"/>
      <c r="H55" s="121"/>
      <c r="I55" s="121"/>
    </row>
    <row r="56" spans="1:9">
      <c r="A56" s="121"/>
      <c r="B56" s="121"/>
      <c r="C56" s="121"/>
      <c r="D56" s="121"/>
      <c r="E56" s="121"/>
      <c r="F56" s="121"/>
      <c r="G56" s="121"/>
      <c r="H56" s="121"/>
      <c r="I56" s="121"/>
    </row>
    <row r="57" spans="1:9">
      <c r="A57" s="121"/>
      <c r="B57" s="121"/>
      <c r="C57" s="121"/>
      <c r="D57" s="121"/>
      <c r="E57" s="121"/>
      <c r="F57" s="121"/>
      <c r="G57" s="121"/>
      <c r="H57" s="121"/>
      <c r="I57" s="121"/>
    </row>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997" spans="1:1">
      <c r="A997" t="s">
        <v>557</v>
      </c>
    </row>
  </sheetData>
  <conditionalFormatting sqref="B14:I15">
    <cfRule type="cellIs" dxfId="15" priority="3" operator="notEqual">
      <formula>0</formula>
    </cfRule>
  </conditionalFormatting>
  <conditionalFormatting sqref="B29:I30">
    <cfRule type="cellIs" dxfId="14" priority="2" operator="notEqual">
      <formula>0</formula>
    </cfRule>
  </conditionalFormatting>
  <conditionalFormatting sqref="B44:I44">
    <cfRule type="cellIs" dxfId="13" priority="1" operator="notEqual">
      <formula>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D5437-448C-49C8-A161-A1B6C88A95DE}">
  <dimension ref="A1:H1001"/>
  <sheetViews>
    <sheetView showGridLines="0" tabSelected="1" zoomScale="80" zoomScaleNormal="80" workbookViewId="0">
      <selection activeCell="J10" sqref="J10"/>
    </sheetView>
  </sheetViews>
  <sheetFormatPr baseColWidth="10" defaultColWidth="12.54296875" defaultRowHeight="23.25" customHeight="1"/>
  <cols>
    <col min="1" max="1" width="40.453125" style="30" customWidth="1"/>
    <col min="2" max="2" width="21.81640625" style="30" customWidth="1"/>
    <col min="3" max="3" width="115.7265625" style="54" customWidth="1"/>
    <col min="4" max="4" width="13.26953125" style="30" customWidth="1"/>
    <col min="5" max="5" width="18.1796875" style="30" hidden="1" customWidth="1"/>
    <col min="6" max="6" width="6.81640625" style="30" hidden="1" customWidth="1"/>
    <col min="7" max="256" width="12.54296875" style="30"/>
    <col min="257" max="257" width="40.453125" style="30" customWidth="1"/>
    <col min="258" max="258" width="21.81640625" style="30" customWidth="1"/>
    <col min="259" max="259" width="115.7265625" style="30" customWidth="1"/>
    <col min="260" max="260" width="13.26953125" style="30" customWidth="1"/>
    <col min="261" max="262" width="0" style="30" hidden="1" customWidth="1"/>
    <col min="263" max="512" width="12.54296875" style="30"/>
    <col min="513" max="513" width="40.453125" style="30" customWidth="1"/>
    <col min="514" max="514" width="21.81640625" style="30" customWidth="1"/>
    <col min="515" max="515" width="115.7265625" style="30" customWidth="1"/>
    <col min="516" max="516" width="13.26953125" style="30" customWidth="1"/>
    <col min="517" max="518" width="0" style="30" hidden="1" customWidth="1"/>
    <col min="519" max="768" width="12.54296875" style="30"/>
    <col min="769" max="769" width="40.453125" style="30" customWidth="1"/>
    <col min="770" max="770" width="21.81640625" style="30" customWidth="1"/>
    <col min="771" max="771" width="115.7265625" style="30" customWidth="1"/>
    <col min="772" max="772" width="13.26953125" style="30" customWidth="1"/>
    <col min="773" max="774" width="0" style="30" hidden="1" customWidth="1"/>
    <col min="775" max="1024" width="12.54296875" style="30"/>
    <col min="1025" max="1025" width="40.453125" style="30" customWidth="1"/>
    <col min="1026" max="1026" width="21.81640625" style="30" customWidth="1"/>
    <col min="1027" max="1027" width="115.7265625" style="30" customWidth="1"/>
    <col min="1028" max="1028" width="13.26953125" style="30" customWidth="1"/>
    <col min="1029" max="1030" width="0" style="30" hidden="1" customWidth="1"/>
    <col min="1031" max="1280" width="12.54296875" style="30"/>
    <col min="1281" max="1281" width="40.453125" style="30" customWidth="1"/>
    <col min="1282" max="1282" width="21.81640625" style="30" customWidth="1"/>
    <col min="1283" max="1283" width="115.7265625" style="30" customWidth="1"/>
    <col min="1284" max="1284" width="13.26953125" style="30" customWidth="1"/>
    <col min="1285" max="1286" width="0" style="30" hidden="1" customWidth="1"/>
    <col min="1287" max="1536" width="12.54296875" style="30"/>
    <col min="1537" max="1537" width="40.453125" style="30" customWidth="1"/>
    <col min="1538" max="1538" width="21.81640625" style="30" customWidth="1"/>
    <col min="1539" max="1539" width="115.7265625" style="30" customWidth="1"/>
    <col min="1540" max="1540" width="13.26953125" style="30" customWidth="1"/>
    <col min="1541" max="1542" width="0" style="30" hidden="1" customWidth="1"/>
    <col min="1543" max="1792" width="12.54296875" style="30"/>
    <col min="1793" max="1793" width="40.453125" style="30" customWidth="1"/>
    <col min="1794" max="1794" width="21.81640625" style="30" customWidth="1"/>
    <col min="1795" max="1795" width="115.7265625" style="30" customWidth="1"/>
    <col min="1796" max="1796" width="13.26953125" style="30" customWidth="1"/>
    <col min="1797" max="1798" width="0" style="30" hidden="1" customWidth="1"/>
    <col min="1799" max="2048" width="12.54296875" style="30"/>
    <col min="2049" max="2049" width="40.453125" style="30" customWidth="1"/>
    <col min="2050" max="2050" width="21.81640625" style="30" customWidth="1"/>
    <col min="2051" max="2051" width="115.7265625" style="30" customWidth="1"/>
    <col min="2052" max="2052" width="13.26953125" style="30" customWidth="1"/>
    <col min="2053" max="2054" width="0" style="30" hidden="1" customWidth="1"/>
    <col min="2055" max="2304" width="12.54296875" style="30"/>
    <col min="2305" max="2305" width="40.453125" style="30" customWidth="1"/>
    <col min="2306" max="2306" width="21.81640625" style="30" customWidth="1"/>
    <col min="2307" max="2307" width="115.7265625" style="30" customWidth="1"/>
    <col min="2308" max="2308" width="13.26953125" style="30" customWidth="1"/>
    <col min="2309" max="2310" width="0" style="30" hidden="1" customWidth="1"/>
    <col min="2311" max="2560" width="12.54296875" style="30"/>
    <col min="2561" max="2561" width="40.453125" style="30" customWidth="1"/>
    <col min="2562" max="2562" width="21.81640625" style="30" customWidth="1"/>
    <col min="2563" max="2563" width="115.7265625" style="30" customWidth="1"/>
    <col min="2564" max="2564" width="13.26953125" style="30" customWidth="1"/>
    <col min="2565" max="2566" width="0" style="30" hidden="1" customWidth="1"/>
    <col min="2567" max="2816" width="12.54296875" style="30"/>
    <col min="2817" max="2817" width="40.453125" style="30" customWidth="1"/>
    <col min="2818" max="2818" width="21.81640625" style="30" customWidth="1"/>
    <col min="2819" max="2819" width="115.7265625" style="30" customWidth="1"/>
    <col min="2820" max="2820" width="13.26953125" style="30" customWidth="1"/>
    <col min="2821" max="2822" width="0" style="30" hidden="1" customWidth="1"/>
    <col min="2823" max="3072" width="12.54296875" style="30"/>
    <col min="3073" max="3073" width="40.453125" style="30" customWidth="1"/>
    <col min="3074" max="3074" width="21.81640625" style="30" customWidth="1"/>
    <col min="3075" max="3075" width="115.7265625" style="30" customWidth="1"/>
    <col min="3076" max="3076" width="13.26953125" style="30" customWidth="1"/>
    <col min="3077" max="3078" width="0" style="30" hidden="1" customWidth="1"/>
    <col min="3079" max="3328" width="12.54296875" style="30"/>
    <col min="3329" max="3329" width="40.453125" style="30" customWidth="1"/>
    <col min="3330" max="3330" width="21.81640625" style="30" customWidth="1"/>
    <col min="3331" max="3331" width="115.7265625" style="30" customWidth="1"/>
    <col min="3332" max="3332" width="13.26953125" style="30" customWidth="1"/>
    <col min="3333" max="3334" width="0" style="30" hidden="1" customWidth="1"/>
    <col min="3335" max="3584" width="12.54296875" style="30"/>
    <col min="3585" max="3585" width="40.453125" style="30" customWidth="1"/>
    <col min="3586" max="3586" width="21.81640625" style="30" customWidth="1"/>
    <col min="3587" max="3587" width="115.7265625" style="30" customWidth="1"/>
    <col min="3588" max="3588" width="13.26953125" style="30" customWidth="1"/>
    <col min="3589" max="3590" width="0" style="30" hidden="1" customWidth="1"/>
    <col min="3591" max="3840" width="12.54296875" style="30"/>
    <col min="3841" max="3841" width="40.453125" style="30" customWidth="1"/>
    <col min="3842" max="3842" width="21.81640625" style="30" customWidth="1"/>
    <col min="3843" max="3843" width="115.7265625" style="30" customWidth="1"/>
    <col min="3844" max="3844" width="13.26953125" style="30" customWidth="1"/>
    <col min="3845" max="3846" width="0" style="30" hidden="1" customWidth="1"/>
    <col min="3847" max="4096" width="12.54296875" style="30"/>
    <col min="4097" max="4097" width="40.453125" style="30" customWidth="1"/>
    <col min="4098" max="4098" width="21.81640625" style="30" customWidth="1"/>
    <col min="4099" max="4099" width="115.7265625" style="30" customWidth="1"/>
    <col min="4100" max="4100" width="13.26953125" style="30" customWidth="1"/>
    <col min="4101" max="4102" width="0" style="30" hidden="1" customWidth="1"/>
    <col min="4103" max="4352" width="12.54296875" style="30"/>
    <col min="4353" max="4353" width="40.453125" style="30" customWidth="1"/>
    <col min="4354" max="4354" width="21.81640625" style="30" customWidth="1"/>
    <col min="4355" max="4355" width="115.7265625" style="30" customWidth="1"/>
    <col min="4356" max="4356" width="13.26953125" style="30" customWidth="1"/>
    <col min="4357" max="4358" width="0" style="30" hidden="1" customWidth="1"/>
    <col min="4359" max="4608" width="12.54296875" style="30"/>
    <col min="4609" max="4609" width="40.453125" style="30" customWidth="1"/>
    <col min="4610" max="4610" width="21.81640625" style="30" customWidth="1"/>
    <col min="4611" max="4611" width="115.7265625" style="30" customWidth="1"/>
    <col min="4612" max="4612" width="13.26953125" style="30" customWidth="1"/>
    <col min="4613" max="4614" width="0" style="30" hidden="1" customWidth="1"/>
    <col min="4615" max="4864" width="12.54296875" style="30"/>
    <col min="4865" max="4865" width="40.453125" style="30" customWidth="1"/>
    <col min="4866" max="4866" width="21.81640625" style="30" customWidth="1"/>
    <col min="4867" max="4867" width="115.7265625" style="30" customWidth="1"/>
    <col min="4868" max="4868" width="13.26953125" style="30" customWidth="1"/>
    <col min="4869" max="4870" width="0" style="30" hidden="1" customWidth="1"/>
    <col min="4871" max="5120" width="12.54296875" style="30"/>
    <col min="5121" max="5121" width="40.453125" style="30" customWidth="1"/>
    <col min="5122" max="5122" width="21.81640625" style="30" customWidth="1"/>
    <col min="5123" max="5123" width="115.7265625" style="30" customWidth="1"/>
    <col min="5124" max="5124" width="13.26953125" style="30" customWidth="1"/>
    <col min="5125" max="5126" width="0" style="30" hidden="1" customWidth="1"/>
    <col min="5127" max="5376" width="12.54296875" style="30"/>
    <col min="5377" max="5377" width="40.453125" style="30" customWidth="1"/>
    <col min="5378" max="5378" width="21.81640625" style="30" customWidth="1"/>
    <col min="5379" max="5379" width="115.7265625" style="30" customWidth="1"/>
    <col min="5380" max="5380" width="13.26953125" style="30" customWidth="1"/>
    <col min="5381" max="5382" width="0" style="30" hidden="1" customWidth="1"/>
    <col min="5383" max="5632" width="12.54296875" style="30"/>
    <col min="5633" max="5633" width="40.453125" style="30" customWidth="1"/>
    <col min="5634" max="5634" width="21.81640625" style="30" customWidth="1"/>
    <col min="5635" max="5635" width="115.7265625" style="30" customWidth="1"/>
    <col min="5636" max="5636" width="13.26953125" style="30" customWidth="1"/>
    <col min="5637" max="5638" width="0" style="30" hidden="1" customWidth="1"/>
    <col min="5639" max="5888" width="12.54296875" style="30"/>
    <col min="5889" max="5889" width="40.453125" style="30" customWidth="1"/>
    <col min="5890" max="5890" width="21.81640625" style="30" customWidth="1"/>
    <col min="5891" max="5891" width="115.7265625" style="30" customWidth="1"/>
    <col min="5892" max="5892" width="13.26953125" style="30" customWidth="1"/>
    <col min="5893" max="5894" width="0" style="30" hidden="1" customWidth="1"/>
    <col min="5895" max="6144" width="12.54296875" style="30"/>
    <col min="6145" max="6145" width="40.453125" style="30" customWidth="1"/>
    <col min="6146" max="6146" width="21.81640625" style="30" customWidth="1"/>
    <col min="6147" max="6147" width="115.7265625" style="30" customWidth="1"/>
    <col min="6148" max="6148" width="13.26953125" style="30" customWidth="1"/>
    <col min="6149" max="6150" width="0" style="30" hidden="1" customWidth="1"/>
    <col min="6151" max="6400" width="12.54296875" style="30"/>
    <col min="6401" max="6401" width="40.453125" style="30" customWidth="1"/>
    <col min="6402" max="6402" width="21.81640625" style="30" customWidth="1"/>
    <col min="6403" max="6403" width="115.7265625" style="30" customWidth="1"/>
    <col min="6404" max="6404" width="13.26953125" style="30" customWidth="1"/>
    <col min="6405" max="6406" width="0" style="30" hidden="1" customWidth="1"/>
    <col min="6407" max="6656" width="12.54296875" style="30"/>
    <col min="6657" max="6657" width="40.453125" style="30" customWidth="1"/>
    <col min="6658" max="6658" width="21.81640625" style="30" customWidth="1"/>
    <col min="6659" max="6659" width="115.7265625" style="30" customWidth="1"/>
    <col min="6660" max="6660" width="13.26953125" style="30" customWidth="1"/>
    <col min="6661" max="6662" width="0" style="30" hidden="1" customWidth="1"/>
    <col min="6663" max="6912" width="12.54296875" style="30"/>
    <col min="6913" max="6913" width="40.453125" style="30" customWidth="1"/>
    <col min="6914" max="6914" width="21.81640625" style="30" customWidth="1"/>
    <col min="6915" max="6915" width="115.7265625" style="30" customWidth="1"/>
    <col min="6916" max="6916" width="13.26953125" style="30" customWidth="1"/>
    <col min="6917" max="6918" width="0" style="30" hidden="1" customWidth="1"/>
    <col min="6919" max="7168" width="12.54296875" style="30"/>
    <col min="7169" max="7169" width="40.453125" style="30" customWidth="1"/>
    <col min="7170" max="7170" width="21.81640625" style="30" customWidth="1"/>
    <col min="7171" max="7171" width="115.7265625" style="30" customWidth="1"/>
    <col min="7172" max="7172" width="13.26953125" style="30" customWidth="1"/>
    <col min="7173" max="7174" width="0" style="30" hidden="1" customWidth="1"/>
    <col min="7175" max="7424" width="12.54296875" style="30"/>
    <col min="7425" max="7425" width="40.453125" style="30" customWidth="1"/>
    <col min="7426" max="7426" width="21.81640625" style="30" customWidth="1"/>
    <col min="7427" max="7427" width="115.7265625" style="30" customWidth="1"/>
    <col min="7428" max="7428" width="13.26953125" style="30" customWidth="1"/>
    <col min="7429" max="7430" width="0" style="30" hidden="1" customWidth="1"/>
    <col min="7431" max="7680" width="12.54296875" style="30"/>
    <col min="7681" max="7681" width="40.453125" style="30" customWidth="1"/>
    <col min="7682" max="7682" width="21.81640625" style="30" customWidth="1"/>
    <col min="7683" max="7683" width="115.7265625" style="30" customWidth="1"/>
    <col min="7684" max="7684" width="13.26953125" style="30" customWidth="1"/>
    <col min="7685" max="7686" width="0" style="30" hidden="1" customWidth="1"/>
    <col min="7687" max="7936" width="12.54296875" style="30"/>
    <col min="7937" max="7937" width="40.453125" style="30" customWidth="1"/>
    <col min="7938" max="7938" width="21.81640625" style="30" customWidth="1"/>
    <col min="7939" max="7939" width="115.7265625" style="30" customWidth="1"/>
    <col min="7940" max="7940" width="13.26953125" style="30" customWidth="1"/>
    <col min="7941" max="7942" width="0" style="30" hidden="1" customWidth="1"/>
    <col min="7943" max="8192" width="12.54296875" style="30"/>
    <col min="8193" max="8193" width="40.453125" style="30" customWidth="1"/>
    <col min="8194" max="8194" width="21.81640625" style="30" customWidth="1"/>
    <col min="8195" max="8195" width="115.7265625" style="30" customWidth="1"/>
    <col min="8196" max="8196" width="13.26953125" style="30" customWidth="1"/>
    <col min="8197" max="8198" width="0" style="30" hidden="1" customWidth="1"/>
    <col min="8199" max="8448" width="12.54296875" style="30"/>
    <col min="8449" max="8449" width="40.453125" style="30" customWidth="1"/>
    <col min="8450" max="8450" width="21.81640625" style="30" customWidth="1"/>
    <col min="8451" max="8451" width="115.7265625" style="30" customWidth="1"/>
    <col min="8452" max="8452" width="13.26953125" style="30" customWidth="1"/>
    <col min="8453" max="8454" width="0" style="30" hidden="1" customWidth="1"/>
    <col min="8455" max="8704" width="12.54296875" style="30"/>
    <col min="8705" max="8705" width="40.453125" style="30" customWidth="1"/>
    <col min="8706" max="8706" width="21.81640625" style="30" customWidth="1"/>
    <col min="8707" max="8707" width="115.7265625" style="30" customWidth="1"/>
    <col min="8708" max="8708" width="13.26953125" style="30" customWidth="1"/>
    <col min="8709" max="8710" width="0" style="30" hidden="1" customWidth="1"/>
    <col min="8711" max="8960" width="12.54296875" style="30"/>
    <col min="8961" max="8961" width="40.453125" style="30" customWidth="1"/>
    <col min="8962" max="8962" width="21.81640625" style="30" customWidth="1"/>
    <col min="8963" max="8963" width="115.7265625" style="30" customWidth="1"/>
    <col min="8964" max="8964" width="13.26953125" style="30" customWidth="1"/>
    <col min="8965" max="8966" width="0" style="30" hidden="1" customWidth="1"/>
    <col min="8967" max="9216" width="12.54296875" style="30"/>
    <col min="9217" max="9217" width="40.453125" style="30" customWidth="1"/>
    <col min="9218" max="9218" width="21.81640625" style="30" customWidth="1"/>
    <col min="9219" max="9219" width="115.7265625" style="30" customWidth="1"/>
    <col min="9220" max="9220" width="13.26953125" style="30" customWidth="1"/>
    <col min="9221" max="9222" width="0" style="30" hidden="1" customWidth="1"/>
    <col min="9223" max="9472" width="12.54296875" style="30"/>
    <col min="9473" max="9473" width="40.453125" style="30" customWidth="1"/>
    <col min="9474" max="9474" width="21.81640625" style="30" customWidth="1"/>
    <col min="9475" max="9475" width="115.7265625" style="30" customWidth="1"/>
    <col min="9476" max="9476" width="13.26953125" style="30" customWidth="1"/>
    <col min="9477" max="9478" width="0" style="30" hidden="1" customWidth="1"/>
    <col min="9479" max="9728" width="12.54296875" style="30"/>
    <col min="9729" max="9729" width="40.453125" style="30" customWidth="1"/>
    <col min="9730" max="9730" width="21.81640625" style="30" customWidth="1"/>
    <col min="9731" max="9731" width="115.7265625" style="30" customWidth="1"/>
    <col min="9732" max="9732" width="13.26953125" style="30" customWidth="1"/>
    <col min="9733" max="9734" width="0" style="30" hidden="1" customWidth="1"/>
    <col min="9735" max="9984" width="12.54296875" style="30"/>
    <col min="9985" max="9985" width="40.453125" style="30" customWidth="1"/>
    <col min="9986" max="9986" width="21.81640625" style="30" customWidth="1"/>
    <col min="9987" max="9987" width="115.7265625" style="30" customWidth="1"/>
    <col min="9988" max="9988" width="13.26953125" style="30" customWidth="1"/>
    <col min="9989" max="9990" width="0" style="30" hidden="1" customWidth="1"/>
    <col min="9991" max="10240" width="12.54296875" style="30"/>
    <col min="10241" max="10241" width="40.453125" style="30" customWidth="1"/>
    <col min="10242" max="10242" width="21.81640625" style="30" customWidth="1"/>
    <col min="10243" max="10243" width="115.7265625" style="30" customWidth="1"/>
    <col min="10244" max="10244" width="13.26953125" style="30" customWidth="1"/>
    <col min="10245" max="10246" width="0" style="30" hidden="1" customWidth="1"/>
    <col min="10247" max="10496" width="12.54296875" style="30"/>
    <col min="10497" max="10497" width="40.453125" style="30" customWidth="1"/>
    <col min="10498" max="10498" width="21.81640625" style="30" customWidth="1"/>
    <col min="10499" max="10499" width="115.7265625" style="30" customWidth="1"/>
    <col min="10500" max="10500" width="13.26953125" style="30" customWidth="1"/>
    <col min="10501" max="10502" width="0" style="30" hidden="1" customWidth="1"/>
    <col min="10503" max="10752" width="12.54296875" style="30"/>
    <col min="10753" max="10753" width="40.453125" style="30" customWidth="1"/>
    <col min="10754" max="10754" width="21.81640625" style="30" customWidth="1"/>
    <col min="10755" max="10755" width="115.7265625" style="30" customWidth="1"/>
    <col min="10756" max="10756" width="13.26953125" style="30" customWidth="1"/>
    <col min="10757" max="10758" width="0" style="30" hidden="1" customWidth="1"/>
    <col min="10759" max="11008" width="12.54296875" style="30"/>
    <col min="11009" max="11009" width="40.453125" style="30" customWidth="1"/>
    <col min="11010" max="11010" width="21.81640625" style="30" customWidth="1"/>
    <col min="11011" max="11011" width="115.7265625" style="30" customWidth="1"/>
    <col min="11012" max="11012" width="13.26953125" style="30" customWidth="1"/>
    <col min="11013" max="11014" width="0" style="30" hidden="1" customWidth="1"/>
    <col min="11015" max="11264" width="12.54296875" style="30"/>
    <col min="11265" max="11265" width="40.453125" style="30" customWidth="1"/>
    <col min="11266" max="11266" width="21.81640625" style="30" customWidth="1"/>
    <col min="11267" max="11267" width="115.7265625" style="30" customWidth="1"/>
    <col min="11268" max="11268" width="13.26953125" style="30" customWidth="1"/>
    <col min="11269" max="11270" width="0" style="30" hidden="1" customWidth="1"/>
    <col min="11271" max="11520" width="12.54296875" style="30"/>
    <col min="11521" max="11521" width="40.453125" style="30" customWidth="1"/>
    <col min="11522" max="11522" width="21.81640625" style="30" customWidth="1"/>
    <col min="11523" max="11523" width="115.7265625" style="30" customWidth="1"/>
    <col min="11524" max="11524" width="13.26953125" style="30" customWidth="1"/>
    <col min="11525" max="11526" width="0" style="30" hidden="1" customWidth="1"/>
    <col min="11527" max="11776" width="12.54296875" style="30"/>
    <col min="11777" max="11777" width="40.453125" style="30" customWidth="1"/>
    <col min="11778" max="11778" width="21.81640625" style="30" customWidth="1"/>
    <col min="11779" max="11779" width="115.7265625" style="30" customWidth="1"/>
    <col min="11780" max="11780" width="13.26953125" style="30" customWidth="1"/>
    <col min="11781" max="11782" width="0" style="30" hidden="1" customWidth="1"/>
    <col min="11783" max="12032" width="12.54296875" style="30"/>
    <col min="12033" max="12033" width="40.453125" style="30" customWidth="1"/>
    <col min="12034" max="12034" width="21.81640625" style="30" customWidth="1"/>
    <col min="12035" max="12035" width="115.7265625" style="30" customWidth="1"/>
    <col min="12036" max="12036" width="13.26953125" style="30" customWidth="1"/>
    <col min="12037" max="12038" width="0" style="30" hidden="1" customWidth="1"/>
    <col min="12039" max="12288" width="12.54296875" style="30"/>
    <col min="12289" max="12289" width="40.453125" style="30" customWidth="1"/>
    <col min="12290" max="12290" width="21.81640625" style="30" customWidth="1"/>
    <col min="12291" max="12291" width="115.7265625" style="30" customWidth="1"/>
    <col min="12292" max="12292" width="13.26953125" style="30" customWidth="1"/>
    <col min="12293" max="12294" width="0" style="30" hidden="1" customWidth="1"/>
    <col min="12295" max="12544" width="12.54296875" style="30"/>
    <col min="12545" max="12545" width="40.453125" style="30" customWidth="1"/>
    <col min="12546" max="12546" width="21.81640625" style="30" customWidth="1"/>
    <col min="12547" max="12547" width="115.7265625" style="30" customWidth="1"/>
    <col min="12548" max="12548" width="13.26953125" style="30" customWidth="1"/>
    <col min="12549" max="12550" width="0" style="30" hidden="1" customWidth="1"/>
    <col min="12551" max="12800" width="12.54296875" style="30"/>
    <col min="12801" max="12801" width="40.453125" style="30" customWidth="1"/>
    <col min="12802" max="12802" width="21.81640625" style="30" customWidth="1"/>
    <col min="12803" max="12803" width="115.7265625" style="30" customWidth="1"/>
    <col min="12804" max="12804" width="13.26953125" style="30" customWidth="1"/>
    <col min="12805" max="12806" width="0" style="30" hidden="1" customWidth="1"/>
    <col min="12807" max="13056" width="12.54296875" style="30"/>
    <col min="13057" max="13057" width="40.453125" style="30" customWidth="1"/>
    <col min="13058" max="13058" width="21.81640625" style="30" customWidth="1"/>
    <col min="13059" max="13059" width="115.7265625" style="30" customWidth="1"/>
    <col min="13060" max="13060" width="13.26953125" style="30" customWidth="1"/>
    <col min="13061" max="13062" width="0" style="30" hidden="1" customWidth="1"/>
    <col min="13063" max="13312" width="12.54296875" style="30"/>
    <col min="13313" max="13313" width="40.453125" style="30" customWidth="1"/>
    <col min="13314" max="13314" width="21.81640625" style="30" customWidth="1"/>
    <col min="13315" max="13315" width="115.7265625" style="30" customWidth="1"/>
    <col min="13316" max="13316" width="13.26953125" style="30" customWidth="1"/>
    <col min="13317" max="13318" width="0" style="30" hidden="1" customWidth="1"/>
    <col min="13319" max="13568" width="12.54296875" style="30"/>
    <col min="13569" max="13569" width="40.453125" style="30" customWidth="1"/>
    <col min="13570" max="13570" width="21.81640625" style="30" customWidth="1"/>
    <col min="13571" max="13571" width="115.7265625" style="30" customWidth="1"/>
    <col min="13572" max="13572" width="13.26953125" style="30" customWidth="1"/>
    <col min="13573" max="13574" width="0" style="30" hidden="1" customWidth="1"/>
    <col min="13575" max="13824" width="12.54296875" style="30"/>
    <col min="13825" max="13825" width="40.453125" style="30" customWidth="1"/>
    <col min="13826" max="13826" width="21.81640625" style="30" customWidth="1"/>
    <col min="13827" max="13827" width="115.7265625" style="30" customWidth="1"/>
    <col min="13828" max="13828" width="13.26953125" style="30" customWidth="1"/>
    <col min="13829" max="13830" width="0" style="30" hidden="1" customWidth="1"/>
    <col min="13831" max="14080" width="12.54296875" style="30"/>
    <col min="14081" max="14081" width="40.453125" style="30" customWidth="1"/>
    <col min="14082" max="14082" width="21.81640625" style="30" customWidth="1"/>
    <col min="14083" max="14083" width="115.7265625" style="30" customWidth="1"/>
    <col min="14084" max="14084" width="13.26953125" style="30" customWidth="1"/>
    <col min="14085" max="14086" width="0" style="30" hidden="1" customWidth="1"/>
    <col min="14087" max="14336" width="12.54296875" style="30"/>
    <col min="14337" max="14337" width="40.453125" style="30" customWidth="1"/>
    <col min="14338" max="14338" width="21.81640625" style="30" customWidth="1"/>
    <col min="14339" max="14339" width="115.7265625" style="30" customWidth="1"/>
    <col min="14340" max="14340" width="13.26953125" style="30" customWidth="1"/>
    <col min="14341" max="14342" width="0" style="30" hidden="1" customWidth="1"/>
    <col min="14343" max="14592" width="12.54296875" style="30"/>
    <col min="14593" max="14593" width="40.453125" style="30" customWidth="1"/>
    <col min="14594" max="14594" width="21.81640625" style="30" customWidth="1"/>
    <col min="14595" max="14595" width="115.7265625" style="30" customWidth="1"/>
    <col min="14596" max="14596" width="13.26953125" style="30" customWidth="1"/>
    <col min="14597" max="14598" width="0" style="30" hidden="1" customWidth="1"/>
    <col min="14599" max="14848" width="12.54296875" style="30"/>
    <col min="14849" max="14849" width="40.453125" style="30" customWidth="1"/>
    <col min="14850" max="14850" width="21.81640625" style="30" customWidth="1"/>
    <col min="14851" max="14851" width="115.7265625" style="30" customWidth="1"/>
    <col min="14852" max="14852" width="13.26953125" style="30" customWidth="1"/>
    <col min="14853" max="14854" width="0" style="30" hidden="1" customWidth="1"/>
    <col min="14855" max="15104" width="12.54296875" style="30"/>
    <col min="15105" max="15105" width="40.453125" style="30" customWidth="1"/>
    <col min="15106" max="15106" width="21.81640625" style="30" customWidth="1"/>
    <col min="15107" max="15107" width="115.7265625" style="30" customWidth="1"/>
    <col min="15108" max="15108" width="13.26953125" style="30" customWidth="1"/>
    <col min="15109" max="15110" width="0" style="30" hidden="1" customWidth="1"/>
    <col min="15111" max="15360" width="12.54296875" style="30"/>
    <col min="15361" max="15361" width="40.453125" style="30" customWidth="1"/>
    <col min="15362" max="15362" width="21.81640625" style="30" customWidth="1"/>
    <col min="15363" max="15363" width="115.7265625" style="30" customWidth="1"/>
    <col min="15364" max="15364" width="13.26953125" style="30" customWidth="1"/>
    <col min="15365" max="15366" width="0" style="30" hidden="1" customWidth="1"/>
    <col min="15367" max="15616" width="12.54296875" style="30"/>
    <col min="15617" max="15617" width="40.453125" style="30" customWidth="1"/>
    <col min="15618" max="15618" width="21.81640625" style="30" customWidth="1"/>
    <col min="15619" max="15619" width="115.7265625" style="30" customWidth="1"/>
    <col min="15620" max="15620" width="13.26953125" style="30" customWidth="1"/>
    <col min="15621" max="15622" width="0" style="30" hidden="1" customWidth="1"/>
    <col min="15623" max="15872" width="12.54296875" style="30"/>
    <col min="15873" max="15873" width="40.453125" style="30" customWidth="1"/>
    <col min="15874" max="15874" width="21.81640625" style="30" customWidth="1"/>
    <col min="15875" max="15875" width="115.7265625" style="30" customWidth="1"/>
    <col min="15876" max="15876" width="13.26953125" style="30" customWidth="1"/>
    <col min="15877" max="15878" width="0" style="30" hidden="1" customWidth="1"/>
    <col min="15879" max="16128" width="12.54296875" style="30"/>
    <col min="16129" max="16129" width="40.453125" style="30" customWidth="1"/>
    <col min="16130" max="16130" width="21.81640625" style="30" customWidth="1"/>
    <col min="16131" max="16131" width="115.7265625" style="30" customWidth="1"/>
    <col min="16132" max="16132" width="13.26953125" style="30" customWidth="1"/>
    <col min="16133" max="16134" width="0" style="30" hidden="1" customWidth="1"/>
    <col min="16135" max="16384" width="12.54296875" style="30"/>
  </cols>
  <sheetData>
    <row r="1" spans="1:7" ht="23.25" customHeight="1">
      <c r="B1" s="31"/>
      <c r="C1" s="32"/>
      <c r="D1" s="31"/>
      <c r="E1" s="31"/>
    </row>
    <row r="2" spans="1:7" ht="23.25" customHeight="1">
      <c r="B2" s="31"/>
      <c r="C2" s="33" t="str">
        <f>HLOOKUP($F$2,Nombres!$C$3:$D$636,2,FALSE)</f>
        <v>Quarterly series 2025-2026</v>
      </c>
      <c r="D2" s="31"/>
      <c r="E2" s="31"/>
      <c r="F2" s="34">
        <v>8</v>
      </c>
    </row>
    <row r="3" spans="1:7" ht="23.25" customHeight="1">
      <c r="B3" s="31"/>
      <c r="C3" s="32"/>
      <c r="D3" s="31"/>
      <c r="E3" s="31"/>
    </row>
    <row r="4" spans="1:7" ht="23.25" customHeight="1">
      <c r="A4" s="35"/>
      <c r="B4" s="31"/>
      <c r="C4" s="36" t="str">
        <f>HLOOKUP($F$2,Nombres!$C$3:$D$636,3,FALSE)</f>
        <v>BBVA Group</v>
      </c>
      <c r="D4" s="37"/>
      <c r="E4" s="31" t="b">
        <v>0</v>
      </c>
      <c r="G4" s="38"/>
    </row>
    <row r="5" spans="1:7" ht="23.25" customHeight="1">
      <c r="B5" s="31"/>
      <c r="C5" s="39" t="str">
        <f>HLOOKUP($F$2,Nombres!$C$3:$D$636,4,FALSE)</f>
        <v>Consolidated income statement</v>
      </c>
      <c r="D5" s="31"/>
      <c r="E5" s="31" t="b">
        <v>0</v>
      </c>
      <c r="F5" s="30" t="b">
        <f>OR($E$4,E5)</f>
        <v>0</v>
      </c>
      <c r="G5" s="38"/>
    </row>
    <row r="6" spans="1:7" ht="23.25" hidden="1" customHeight="1">
      <c r="B6" s="31"/>
      <c r="C6" s="39"/>
      <c r="D6" s="31"/>
      <c r="E6" s="31" t="b">
        <v>0</v>
      </c>
      <c r="F6" s="30" t="b">
        <f>OR($E$4,E6)</f>
        <v>0</v>
      </c>
      <c r="G6" s="38"/>
    </row>
    <row r="7" spans="1:7" ht="23.25" customHeight="1">
      <c r="B7" s="31"/>
      <c r="C7" s="39" t="str">
        <f>HLOOKUP($F$2,Nombres!$C$3:$D$636,5,FALSE)</f>
        <v>Consolidated balance sheet</v>
      </c>
      <c r="D7" s="31"/>
      <c r="E7" s="31"/>
      <c r="G7" s="38"/>
    </row>
    <row r="8" spans="1:7" ht="23.25" customHeight="1">
      <c r="B8" s="40"/>
      <c r="C8" s="36" t="str">
        <f>HLOOKUP($F$2,Nombres!$C$3:$D$636,6,FALSE)</f>
        <v>Business areas</v>
      </c>
      <c r="D8" s="40"/>
      <c r="E8" s="40" t="b">
        <v>0</v>
      </c>
      <c r="F8" s="41"/>
      <c r="G8" s="42"/>
    </row>
    <row r="9" spans="1:7" ht="23.25" customHeight="1">
      <c r="B9" s="31"/>
      <c r="C9" s="43" t="str">
        <f>HLOOKUP($F$2,Nombres!$C$3:$D$636,7,FALSE)</f>
        <v>Spain</v>
      </c>
      <c r="D9" s="31"/>
      <c r="E9" s="31" t="b">
        <v>1</v>
      </c>
      <c r="F9" s="30" t="b">
        <f t="shared" ref="F9:F19" si="0">OR($E$8,E9)</f>
        <v>1</v>
      </c>
      <c r="G9" s="38"/>
    </row>
    <row r="10" spans="1:7" ht="23.25" customHeight="1">
      <c r="A10" s="44"/>
      <c r="B10" s="31"/>
      <c r="C10" s="39" t="str">
        <f>HLOOKUP($F$2,Nombres!$C$3:$D$636,11,FALSE)</f>
        <v>Mexico</v>
      </c>
      <c r="D10" s="31"/>
      <c r="E10" s="31" t="b">
        <v>1</v>
      </c>
      <c r="F10" s="30" t="b">
        <f t="shared" si="0"/>
        <v>1</v>
      </c>
      <c r="G10" s="38"/>
    </row>
    <row r="11" spans="1:7" ht="23.25" customHeight="1">
      <c r="B11" s="31"/>
      <c r="C11" s="39" t="str">
        <f>HLOOKUP($F$2,Nombres!$C$3:$D$636,12,FALSE)</f>
        <v xml:space="preserve">Turkey </v>
      </c>
      <c r="D11" s="31"/>
      <c r="E11" s="31" t="b">
        <v>1</v>
      </c>
      <c r="F11" s="30" t="b">
        <f t="shared" si="0"/>
        <v>1</v>
      </c>
      <c r="G11" s="38"/>
    </row>
    <row r="12" spans="1:7" ht="23.25" customHeight="1">
      <c r="A12" s="44"/>
      <c r="B12" s="31"/>
      <c r="C12" s="39" t="str">
        <f>HLOOKUP($F$2,Nombres!$C$3:$D$636,13,FALSE)</f>
        <v>South America</v>
      </c>
      <c r="D12" s="31"/>
      <c r="E12" s="31" t="b">
        <v>1</v>
      </c>
      <c r="F12" s="30" t="b">
        <f t="shared" si="0"/>
        <v>1</v>
      </c>
      <c r="G12" s="38"/>
    </row>
    <row r="13" spans="1:7" s="44" customFormat="1" ht="23.25" customHeight="1">
      <c r="B13" s="45"/>
      <c r="C13" s="39" t="str">
        <f>HLOOKUP($F$2,Nombres!$C$3:$D$636,14,FALSE)</f>
        <v>Argentina</v>
      </c>
      <c r="D13" s="31"/>
      <c r="E13" s="31" t="b">
        <v>1</v>
      </c>
      <c r="F13" s="46" t="b">
        <f>OR($E$8,E13)</f>
        <v>1</v>
      </c>
      <c r="G13" s="47"/>
    </row>
    <row r="14" spans="1:7" ht="23.25" customHeight="1">
      <c r="B14" s="31"/>
      <c r="C14" s="39" t="str">
        <f>HLOOKUP($F$2,Nombres!$C$3:$D$636,15,FALSE)</f>
        <v>Chile</v>
      </c>
      <c r="D14" s="31"/>
      <c r="E14" s="31" t="b">
        <v>0</v>
      </c>
      <c r="F14" s="30" t="b">
        <f t="shared" si="0"/>
        <v>0</v>
      </c>
      <c r="G14" s="38"/>
    </row>
    <row r="15" spans="1:7" s="44" customFormat="1" ht="23.25" customHeight="1">
      <c r="A15" s="30"/>
      <c r="B15" s="45"/>
      <c r="C15" s="39" t="str">
        <f>HLOOKUP($F$2,Nombres!$C$3:$D$636,16,FALSE)</f>
        <v>Colombia</v>
      </c>
      <c r="D15" s="45"/>
      <c r="E15" s="31" t="b">
        <v>0</v>
      </c>
      <c r="F15" s="46" t="b">
        <f t="shared" si="0"/>
        <v>0</v>
      </c>
      <c r="G15" s="47"/>
    </row>
    <row r="16" spans="1:7" s="44" customFormat="1" ht="23.25" customHeight="1">
      <c r="A16" s="35"/>
      <c r="B16" s="45"/>
      <c r="C16" s="39" t="str">
        <f>HLOOKUP($F$2,Nombres!$C$3:$D$636,17,FALSE)</f>
        <v>Peru</v>
      </c>
      <c r="D16" s="45"/>
      <c r="E16" s="31" t="b">
        <v>1</v>
      </c>
      <c r="F16" s="46" t="b">
        <f t="shared" si="0"/>
        <v>1</v>
      </c>
      <c r="G16" s="47"/>
    </row>
    <row r="17" spans="1:7" ht="23.25" customHeight="1">
      <c r="B17" s="31"/>
      <c r="C17" s="39" t="str">
        <f>HLOOKUP($F$2,Nombres!$C$3:$D$636,263,FALSE)</f>
        <v>Rest of Business</v>
      </c>
      <c r="D17" s="45"/>
      <c r="E17" s="31" t="b">
        <v>0</v>
      </c>
      <c r="F17" s="30" t="b">
        <f t="shared" si="0"/>
        <v>0</v>
      </c>
      <c r="G17" s="38"/>
    </row>
    <row r="18" spans="1:7" ht="21.75" customHeight="1">
      <c r="B18" s="31"/>
      <c r="C18" s="39" t="str">
        <f>HLOOKUP($F$2,Nombres!$C$3:$D$636,19,FALSE)</f>
        <v xml:space="preserve">Corporate Center </v>
      </c>
      <c r="D18" s="45"/>
      <c r="E18" s="31" t="b">
        <v>0</v>
      </c>
      <c r="F18" s="30" t="b">
        <f t="shared" si="0"/>
        <v>0</v>
      </c>
      <c r="G18" s="38"/>
    </row>
    <row r="19" spans="1:7" ht="23.25" customHeight="1">
      <c r="B19" s="31"/>
      <c r="C19" s="48"/>
      <c r="D19" s="45"/>
      <c r="E19" s="31" t="b">
        <v>0</v>
      </c>
      <c r="F19" s="30" t="b">
        <f t="shared" si="0"/>
        <v>0</v>
      </c>
      <c r="G19" s="38"/>
    </row>
    <row r="20" spans="1:7" ht="23.25" customHeight="1">
      <c r="B20" s="31"/>
      <c r="C20" s="36" t="str">
        <f>HLOOKUP($F$2,Nombres!$C$3:$D$636,20,FALSE)</f>
        <v>Additional information:</v>
      </c>
      <c r="D20" s="31"/>
      <c r="E20" s="31"/>
      <c r="G20" s="38"/>
    </row>
    <row r="21" spans="1:7" ht="23.25" customHeight="1">
      <c r="B21" s="31"/>
      <c r="C21" s="39" t="str">
        <f>HLOOKUP($F$2,Nombres!$C$3:$D$636,21,FALSE)</f>
        <v>Corporate &amp; Investment Banking</v>
      </c>
      <c r="D21" s="31"/>
      <c r="E21" s="31"/>
      <c r="G21" s="38"/>
    </row>
    <row r="22" spans="1:7" ht="23.25" customHeight="1">
      <c r="A22" s="49"/>
      <c r="B22" s="31"/>
      <c r="C22" s="36" t="str">
        <f>HLOOKUP($F$2,Nombres!$C$3:$D$636,22,FALSE)</f>
        <v>Annex:</v>
      </c>
      <c r="D22" s="31"/>
      <c r="E22" s="31" t="b">
        <v>0</v>
      </c>
      <c r="F22" s="30" t="b">
        <f>OR($E$8,E22)</f>
        <v>0</v>
      </c>
      <c r="G22" s="38"/>
    </row>
    <row r="23" spans="1:7" ht="24.75" customHeight="1">
      <c r="B23" s="31"/>
      <c r="C23" s="50" t="str">
        <f>HLOOKUP($F$2,Nombres!$C$3:$D$636,23,FALSE)</f>
        <v>Efficiency</v>
      </c>
      <c r="D23" s="31"/>
      <c r="E23" s="31"/>
      <c r="G23" s="38"/>
    </row>
    <row r="24" spans="1:7" ht="24.75" customHeight="1">
      <c r="B24" s="31"/>
      <c r="C24" s="50" t="str">
        <f>HLOOKUP($F$2,Nombres!$C$3:$D$636,322,FALSE)</f>
        <v>RORWA</v>
      </c>
      <c r="D24" s="31"/>
      <c r="E24" s="31"/>
      <c r="G24" s="38"/>
    </row>
    <row r="25" spans="1:7" ht="23.25" customHeight="1">
      <c r="B25" s="31"/>
      <c r="C25" s="50" t="str">
        <f>HLOOKUP($F$2,Nombres!$C$3:$D$636,24,FALSE)</f>
        <v>NPL, coverage ratios and cost of risk</v>
      </c>
      <c r="D25" s="31"/>
      <c r="E25" s="31" t="b">
        <v>0</v>
      </c>
      <c r="F25" s="30" t="b">
        <f t="shared" ref="F25:F32" si="1">OR($E$23,E25)</f>
        <v>0</v>
      </c>
      <c r="G25" s="38"/>
    </row>
    <row r="26" spans="1:7" s="49" customFormat="1" ht="23.25" customHeight="1">
      <c r="A26" s="30"/>
      <c r="B26" s="51"/>
      <c r="C26" s="50" t="str">
        <f>HLOOKUP($F$2,Nombres!$C$3:$D$636,25,FALSE)</f>
        <v>Branches, employees and atm´s</v>
      </c>
      <c r="D26" s="31"/>
      <c r="E26" s="51" t="b">
        <v>0</v>
      </c>
      <c r="F26" s="49" t="b">
        <f t="shared" si="1"/>
        <v>0</v>
      </c>
      <c r="G26" s="52"/>
    </row>
    <row r="27" spans="1:7" ht="23.25" customHeight="1">
      <c r="B27" s="31"/>
      <c r="C27" s="50" t="str">
        <f>HLOOKUP($F$2,Nombres!$C$3:$D$636,26,FALSE)</f>
        <v>Exchange rates</v>
      </c>
      <c r="D27" s="31"/>
      <c r="E27" s="31" t="b">
        <v>0</v>
      </c>
      <c r="F27" s="30" t="b">
        <f t="shared" si="1"/>
        <v>0</v>
      </c>
      <c r="G27" s="38"/>
    </row>
    <row r="28" spans="1:7" ht="22.5" customHeight="1">
      <c r="B28" s="31"/>
      <c r="C28" s="50" t="str">
        <f>HLOOKUP($F$2,Nombres!$C$3:$D$636,27,FALSE)</f>
        <v>Customer Spreads</v>
      </c>
      <c r="D28" s="31"/>
      <c r="E28" s="31" t="b">
        <v>0</v>
      </c>
      <c r="F28" s="30" t="b">
        <f t="shared" si="1"/>
        <v>0</v>
      </c>
      <c r="G28" s="38"/>
    </row>
    <row r="29" spans="1:7" ht="22.5" customHeight="1">
      <c r="B29" s="31"/>
      <c r="C29" s="50" t="str">
        <f>HLOOKUP($F$2,Nombres!$C$3:$D$636,28,FALSE)</f>
        <v>Risk-weighted assets. Breakdown by business areas and main countries</v>
      </c>
      <c r="D29" s="31"/>
      <c r="E29" s="31" t="b">
        <v>1</v>
      </c>
      <c r="F29" s="30" t="b">
        <f t="shared" si="1"/>
        <v>1</v>
      </c>
    </row>
    <row r="30" spans="1:7" ht="23.25" customHeight="1">
      <c r="B30" s="31"/>
      <c r="C30" s="50" t="str">
        <f>HLOOKUP($F$2,Nombres!$C$3:$D$636,29,FALSE)</f>
        <v>Breakdown of performing loans under management</v>
      </c>
      <c r="D30" s="51"/>
      <c r="E30" s="31" t="b">
        <v>0</v>
      </c>
      <c r="F30" s="30" t="b">
        <f t="shared" si="1"/>
        <v>0</v>
      </c>
    </row>
    <row r="31" spans="1:7" ht="23.25" customHeight="1">
      <c r="B31" s="31"/>
      <c r="C31" s="50" t="str">
        <f>HLOOKUP($F$2,Nombres!$C$3:$D$636,120,FALSE)</f>
        <v>Breakdown of customer funds under management</v>
      </c>
      <c r="D31" s="31"/>
      <c r="E31" s="31" t="b">
        <v>0</v>
      </c>
      <c r="F31" s="30" t="b">
        <f t="shared" si="1"/>
        <v>0</v>
      </c>
    </row>
    <row r="32" spans="1:7" ht="23.25" customHeight="1">
      <c r="B32" s="31"/>
      <c r="C32" s="50" t="str">
        <f>HLOOKUP($F$2,Nombres!$C$3:$D$636,242,FALSE)</f>
        <v>ALCO Portfolio</v>
      </c>
      <c r="D32" s="31"/>
      <c r="E32" s="31" t="b">
        <v>0</v>
      </c>
      <c r="F32" s="30" t="b">
        <f t="shared" si="1"/>
        <v>0</v>
      </c>
    </row>
    <row r="33" spans="2:8" ht="23.25" customHeight="1">
      <c r="B33" s="31"/>
      <c r="C33" s="32"/>
      <c r="D33" s="31"/>
      <c r="E33" s="31"/>
    </row>
    <row r="34" spans="2:8" ht="23.25" customHeight="1">
      <c r="B34" s="31"/>
      <c r="C34" s="53"/>
      <c r="D34" s="31"/>
      <c r="E34" s="31"/>
    </row>
    <row r="35" spans="2:8" ht="23.25" customHeight="1">
      <c r="B35" s="31"/>
      <c r="C35" s="32"/>
      <c r="D35" s="53"/>
      <c r="E35" s="53"/>
      <c r="F35" s="53"/>
      <c r="G35" s="53"/>
      <c r="H35" s="53"/>
    </row>
    <row r="36" spans="2:8" ht="23.25" customHeight="1">
      <c r="B36" s="31"/>
      <c r="C36" s="32"/>
      <c r="D36" s="31"/>
      <c r="E36" s="31"/>
    </row>
    <row r="37" spans="2:8" ht="23.25" customHeight="1">
      <c r="B37" s="31"/>
      <c r="C37" s="32"/>
      <c r="D37" s="31"/>
      <c r="E37" s="31"/>
    </row>
    <row r="38" spans="2:8" ht="23.25" customHeight="1">
      <c r="B38" s="31"/>
      <c r="C38" s="32"/>
      <c r="D38" s="31"/>
      <c r="E38" s="31"/>
    </row>
    <row r="39" spans="2:8" ht="23.25" customHeight="1">
      <c r="B39" s="31"/>
      <c r="D39" s="31"/>
      <c r="E39" s="31"/>
    </row>
    <row r="44" spans="2:8" ht="23.25" customHeight="1">
      <c r="G44" s="55"/>
    </row>
    <row r="1001" spans="1:1" ht="23.25" customHeight="1">
      <c r="A1001" s="30" t="s">
        <v>557</v>
      </c>
    </row>
  </sheetData>
  <hyperlinks>
    <hyperlink ref="C5" location="'Cuenta de Resultados'!A1" display="'Cuenta de Resultados'!A1" xr:uid="{7DD17B67-CDA6-411C-82AE-65FF163DF71A}"/>
    <hyperlink ref="C9" location="España!A1" display="España!A1" xr:uid="{D12699E6-F403-4FC7-ABE7-9EDA5CC0C02C}"/>
    <hyperlink ref="C10" location="Mexico!A1" display="Mexico!A1" xr:uid="{CB2BCE2F-033F-4641-8C99-117D7A6A9DC1}"/>
    <hyperlink ref="C11" location="Turquia!A1" display="Turquia!A1" xr:uid="{D91AB617-BCF5-4EE2-8867-9BED03BC5BC8}"/>
    <hyperlink ref="C12" location="AdS!A1" display="AdS!A1" xr:uid="{C4D1EAB1-4886-46D8-A42B-8909BAEB396B}"/>
    <hyperlink ref="C13" location="Argentina!A1" display="Argentina!A1" xr:uid="{46FF9C9D-E65B-45C5-A3E6-18AFBB08F62C}"/>
    <hyperlink ref="C14" location="Chile!A1" display="Chile!A1" xr:uid="{DAD4D8BB-665C-46CF-9989-7F9F99D67D26}"/>
    <hyperlink ref="C15" location="Colombia!A1" display="Colombia!A1" xr:uid="{76154F20-AA39-4C2F-BA03-DE76D26B16A5}"/>
    <hyperlink ref="C16" location="Peru!A1" display="Peru!A1" xr:uid="{A665FC48-BAD7-4B84-A285-029B480657B5}"/>
    <hyperlink ref="C17" location="'Resto de Negocios'!A1" display="'Resto de Negocios'!A1" xr:uid="{8CDC0F48-70C4-424C-887C-BAF6CF8CFB04}"/>
    <hyperlink ref="C18" location="'Centro Corporativo'!A1" display="'Centro Corporativo'!A1" xr:uid="{0F7780E0-8244-4D3E-808F-D2DA7EB06657}"/>
    <hyperlink ref="C21" location="'Corporate &amp; Investment Banking'!A1" display="'Corporate &amp; Investment Banking'!A1" xr:uid="{C903900C-E7F4-45F4-A790-53810F5CC5E5}"/>
    <hyperlink ref="C23" location="Eficiencia!A1" display="Eficiencia!A1" xr:uid="{922461C6-4FC5-4B0A-8E2B-079240445FFF}"/>
    <hyperlink ref="C25" location="'Mora,cobertura,coste de riesgo'!A1" display="'Mora,cobertura,coste de riesgo'!A1" xr:uid="{023BA863-9301-40F2-9D24-C0B1B6867595}"/>
    <hyperlink ref="C26" location="'Empleados, oficinas y cajeros'!A1" display="'Empleados, oficinas y cajeros'!A1" xr:uid="{F71EAF12-F8D6-41C7-AEEE-81636597EAC6}"/>
    <hyperlink ref="C27" location="'Tipos de Cambio'!A1" display="'Tipos de Cambio'!A1" xr:uid="{E83FA077-84F9-4A68-8B69-5064EA8786AE}"/>
    <hyperlink ref="C29" location="APRs!A1" display="APRs!A1" xr:uid="{06FBF695-BEA4-4F85-9B70-18D3F1181391}"/>
    <hyperlink ref="C30" location="Inversion!A1" display="Inversion!A1" xr:uid="{F80A128E-9BAE-4666-9BDD-8529C7E60B94}"/>
    <hyperlink ref="C28" location="Diferenciales!A1" display="Diferenciales!A1" xr:uid="{3A89C2AB-4380-4E95-AFDE-8A04C98B982B}"/>
    <hyperlink ref="C31" location="Recursos!A1" display="Recursos!A1" xr:uid="{454E151F-5096-4486-88A3-A0A93C3E58D9}"/>
    <hyperlink ref="C7" location="Balance!A1" display="Balance!A1" xr:uid="{3DA6017B-8AA8-48AE-BD00-CB6948A4605C}"/>
    <hyperlink ref="C32" location="ALCO!A1" display="ALCO!A1" xr:uid="{F2E72185-1B80-44C6-BB9F-18BD472DA7A9}"/>
    <hyperlink ref="C24" location="RORWA!A1" display="RORWA!A1" xr:uid="{E00B1E08-B422-4D91-8BCB-74093165B90B}"/>
  </hyperlinks>
  <pageMargins left="0.75" right="0.75" top="1" bottom="1" header="0" footer="0"/>
  <pageSetup scale="5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0</xdr:col>
                    <xdr:colOff>88900</xdr:colOff>
                    <xdr:row>6</xdr:row>
                    <xdr:rowOff>0</xdr:rowOff>
                  </from>
                  <to>
                    <xdr:col>0</xdr:col>
                    <xdr:colOff>419100</xdr:colOff>
                    <xdr:row>6</xdr:row>
                    <xdr:rowOff>266700</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0</xdr:col>
                    <xdr:colOff>88900</xdr:colOff>
                    <xdr:row>6</xdr:row>
                    <xdr:rowOff>0</xdr:rowOff>
                  </from>
                  <to>
                    <xdr:col>0</xdr:col>
                    <xdr:colOff>412750</xdr:colOff>
                    <xdr:row>6</xdr:row>
                    <xdr:rowOff>228600</xdr:rowOff>
                  </to>
                </anchor>
              </controlPr>
            </control>
          </mc:Choice>
        </mc:AlternateContent>
        <mc:AlternateContent xmlns:mc="http://schemas.openxmlformats.org/markup-compatibility/2006">
          <mc:Choice Requires="x14">
            <control shapeId="2051" r:id="rId6" name="Option Button 3">
              <controlPr defaultSize="0" autoFill="0" autoLine="0" autoPict="0">
                <anchor moveWithCells="1">
                  <from>
                    <xdr:col>0</xdr:col>
                    <xdr:colOff>88900</xdr:colOff>
                    <xdr:row>6</xdr:row>
                    <xdr:rowOff>0</xdr:rowOff>
                  </from>
                  <to>
                    <xdr:col>0</xdr:col>
                    <xdr:colOff>419100</xdr:colOff>
                    <xdr:row>6</xdr:row>
                    <xdr:rowOff>266700</xdr:rowOff>
                  </to>
                </anchor>
              </controlPr>
            </control>
          </mc:Choice>
        </mc:AlternateContent>
        <mc:AlternateContent xmlns:mc="http://schemas.openxmlformats.org/markup-compatibility/2006">
          <mc:Choice Requires="x14">
            <control shapeId="2052" r:id="rId7" name="Option Button 4">
              <controlPr defaultSize="0" autoFill="0" autoLine="0" autoPict="0">
                <anchor moveWithCells="1">
                  <from>
                    <xdr:col>0</xdr:col>
                    <xdr:colOff>88900</xdr:colOff>
                    <xdr:row>6</xdr:row>
                    <xdr:rowOff>0</xdr:rowOff>
                  </from>
                  <to>
                    <xdr:col>0</xdr:col>
                    <xdr:colOff>412750</xdr:colOff>
                    <xdr:row>6</xdr:row>
                    <xdr:rowOff>228600</xdr:rowOff>
                  </to>
                </anchor>
              </controlPr>
            </control>
          </mc:Choice>
        </mc:AlternateContent>
        <mc:AlternateContent xmlns:mc="http://schemas.openxmlformats.org/markup-compatibility/2006">
          <mc:Choice Requires="x14">
            <control shapeId="2053" r:id="rId8" name="Option Button 5">
              <controlPr defaultSize="0" autoFill="0" autoLine="0" autoPict="0">
                <anchor moveWithCells="1">
                  <from>
                    <xdr:col>0</xdr:col>
                    <xdr:colOff>88900</xdr:colOff>
                    <xdr:row>6</xdr:row>
                    <xdr:rowOff>0</xdr:rowOff>
                  </from>
                  <to>
                    <xdr:col>0</xdr:col>
                    <xdr:colOff>412750</xdr:colOff>
                    <xdr:row>6</xdr:row>
                    <xdr:rowOff>228600</xdr:rowOff>
                  </to>
                </anchor>
              </controlPr>
            </control>
          </mc:Choice>
        </mc:AlternateContent>
        <mc:AlternateContent xmlns:mc="http://schemas.openxmlformats.org/markup-compatibility/2006">
          <mc:Choice Requires="x14">
            <control shapeId="2054" r:id="rId9" name="Option Button 6">
              <controlPr defaultSize="0" autoFill="0" autoLine="0" autoPict="0">
                <anchor moveWithCells="1">
                  <from>
                    <xdr:col>0</xdr:col>
                    <xdr:colOff>88900</xdr:colOff>
                    <xdr:row>6</xdr:row>
                    <xdr:rowOff>0</xdr:rowOff>
                  </from>
                  <to>
                    <xdr:col>0</xdr:col>
                    <xdr:colOff>412750</xdr:colOff>
                    <xdr:row>6</xdr:row>
                    <xdr:rowOff>228600</xdr:rowOff>
                  </to>
                </anchor>
              </controlPr>
            </control>
          </mc:Choice>
        </mc:AlternateContent>
        <mc:AlternateContent xmlns:mc="http://schemas.openxmlformats.org/markup-compatibility/2006">
          <mc:Choice Requires="x14">
            <control shapeId="2055" r:id="rId10" name="Option Button 7">
              <controlPr defaultSize="0" autoFill="0" autoLine="0" autoPict="0">
                <anchor moveWithCells="1">
                  <from>
                    <xdr:col>0</xdr:col>
                    <xdr:colOff>285750</xdr:colOff>
                    <xdr:row>5</xdr:row>
                    <xdr:rowOff>209550</xdr:rowOff>
                  </from>
                  <to>
                    <xdr:col>1</xdr:col>
                    <xdr:colOff>266700</xdr:colOff>
                    <xdr:row>7</xdr:row>
                    <xdr:rowOff>247650</xdr:rowOff>
                  </to>
                </anchor>
              </controlPr>
            </control>
          </mc:Choice>
        </mc:AlternateContent>
        <mc:AlternateContent xmlns:mc="http://schemas.openxmlformats.org/markup-compatibility/2006">
          <mc:Choice Requires="x14">
            <control shapeId="2056" r:id="rId11" name="Option Button 8">
              <controlPr defaultSize="0" autoFill="0" autoLine="0" autoPict="0">
                <anchor moveWithCells="1">
                  <from>
                    <xdr:col>0</xdr:col>
                    <xdr:colOff>285750</xdr:colOff>
                    <xdr:row>7</xdr:row>
                    <xdr:rowOff>190500</xdr:rowOff>
                  </from>
                  <to>
                    <xdr:col>1</xdr:col>
                    <xdr:colOff>266700</xdr:colOff>
                    <xdr:row>9</xdr:row>
                    <xdr:rowOff>171450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D3C97-FCB6-4BA0-B907-FFB1747F9224}">
  <sheetPr>
    <tabColor theme="8"/>
  </sheetPr>
  <dimension ref="A1:X1000"/>
  <sheetViews>
    <sheetView showGridLines="0" workbookViewId="0"/>
  </sheetViews>
  <sheetFormatPr baseColWidth="10" defaultColWidth="11.453125" defaultRowHeight="14.5"/>
  <cols>
    <col min="1" max="1" width="13.453125" customWidth="1"/>
    <col min="2" max="2" width="32.1796875" customWidth="1"/>
    <col min="6" max="6" width="8.1796875" customWidth="1"/>
    <col min="7" max="7" width="7.453125" customWidth="1"/>
    <col min="8" max="9" width="14.1796875" customWidth="1"/>
  </cols>
  <sheetData>
    <row r="1" spans="1:24" ht="17">
      <c r="A1" s="59" t="str">
        <f>HLOOKUP(INDICE!$F$2,Nombres!$C$3:$D$636,161,FALSE)</f>
        <v>Exchange rates</v>
      </c>
      <c r="B1" s="59"/>
      <c r="C1" s="118"/>
      <c r="D1" s="118"/>
      <c r="E1" s="118"/>
      <c r="F1" s="118"/>
      <c r="G1" s="118"/>
      <c r="H1" s="118"/>
      <c r="I1" s="118"/>
      <c r="J1" s="119"/>
      <c r="K1" s="119"/>
      <c r="L1" s="119"/>
      <c r="M1" s="119"/>
      <c r="N1" s="185"/>
      <c r="O1" s="185"/>
      <c r="P1" s="185"/>
      <c r="Q1" s="185"/>
      <c r="R1" s="185"/>
      <c r="S1" s="185"/>
      <c r="T1" s="185"/>
      <c r="U1" s="185"/>
      <c r="V1" s="185"/>
      <c r="W1" s="185"/>
      <c r="X1" s="185"/>
    </row>
    <row r="2" spans="1:24">
      <c r="A2" s="9" t="str">
        <f>HLOOKUP(INDICE!$F$2,Nombres!$C$3:$D$636,162,FALSE)</f>
        <v>(Expressed in currency/euro)</v>
      </c>
      <c r="B2" s="9"/>
      <c r="C2" s="121"/>
      <c r="D2" s="121"/>
      <c r="E2" s="121"/>
      <c r="F2" s="121"/>
      <c r="G2" s="121"/>
      <c r="H2" s="121"/>
      <c r="I2" s="121"/>
      <c r="J2" s="119"/>
      <c r="K2" s="119"/>
      <c r="L2" s="119"/>
      <c r="M2" s="119"/>
    </row>
    <row r="3" spans="1:24" ht="19.5">
      <c r="A3" s="186"/>
      <c r="B3" s="186"/>
      <c r="C3" s="261" t="str">
        <f>HLOOKUP(INDICE!$F$2,Nombres!$C$3:$D$636,163,FALSE)</f>
        <v>Year-end exchange rates (*)</v>
      </c>
      <c r="D3" s="261"/>
      <c r="E3" s="261"/>
      <c r="F3" s="187"/>
      <c r="G3" s="188"/>
      <c r="H3" s="261" t="str">
        <f>HLOOKUP(INDICE!$F$2,Nombres!$C$3:$D$636,164,FALSE)</f>
        <v>Average exchange rates (**)</v>
      </c>
      <c r="I3" s="261"/>
    </row>
    <row r="4" spans="1:24">
      <c r="A4" s="122"/>
      <c r="B4" s="122"/>
      <c r="C4" s="94"/>
      <c r="D4" s="189" t="str">
        <f>HLOOKUP(INDICE!$F$2,Nombres!$C$3:$D$636,165,FALSE)</f>
        <v>∆% on</v>
      </c>
      <c r="E4" s="189" t="str">
        <f>HLOOKUP(INDICE!$F$2,Nombres!$C$3:$D$636,165,FALSE)</f>
        <v>∆% on</v>
      </c>
      <c r="F4" s="187"/>
      <c r="G4" s="188"/>
      <c r="H4" s="190"/>
      <c r="I4" s="189" t="str">
        <f>HLOOKUP(INDICE!$F$2,Nombres!$C$3:$D$636,165,FALSE)</f>
        <v>∆% on</v>
      </c>
    </row>
    <row r="5" spans="1:24">
      <c r="A5" s="122"/>
      <c r="B5" s="122"/>
      <c r="C5" s="191">
        <v>46203</v>
      </c>
      <c r="D5" s="191">
        <f>DATE(YEAR(C5)-1,MONTH(C5),DAY(C5))</f>
        <v>45838</v>
      </c>
      <c r="E5" s="191">
        <v>46022</v>
      </c>
      <c r="F5" s="192"/>
      <c r="G5" s="193"/>
      <c r="H5" s="191">
        <f>+C5</f>
        <v>46203</v>
      </c>
      <c r="I5" s="194">
        <f>+D5</f>
        <v>45838</v>
      </c>
    </row>
    <row r="6" spans="1:24">
      <c r="A6" s="7" t="str">
        <f>HLOOKUP(INDICE!$F$2,Nombres!$C$3:$D$636,152,FALSE)</f>
        <v>Mexican peso</v>
      </c>
      <c r="B6" s="7"/>
      <c r="C6" s="195">
        <v>19.903000000002567</v>
      </c>
      <c r="D6" s="196">
        <v>0.10987790784347484</v>
      </c>
      <c r="E6" s="196">
        <v>6.1046073459671835E-2</v>
      </c>
      <c r="F6" s="197"/>
      <c r="G6" s="79"/>
      <c r="H6" s="195">
        <v>20.378755000044208</v>
      </c>
      <c r="I6" s="196">
        <v>7.0412544833231561E-2</v>
      </c>
    </row>
    <row r="7" spans="1:24">
      <c r="A7" s="7" t="str">
        <f>HLOOKUP(INDICE!$F$2,Nombres!$C$3:$D$636,153,FALSE)</f>
        <v>U.S. dollar</v>
      </c>
      <c r="B7" s="7"/>
      <c r="C7" s="195">
        <v>1.1393999999999027</v>
      </c>
      <c r="D7" s="196">
        <v>2.8611549938787784E-2</v>
      </c>
      <c r="E7" s="196">
        <v>3.1244514657208677E-2</v>
      </c>
      <c r="F7" s="121"/>
      <c r="G7" s="79"/>
      <c r="H7" s="195">
        <v>1.1665190000003023</v>
      </c>
      <c r="I7" s="196">
        <v>-6.264878668903695E-2</v>
      </c>
    </row>
    <row r="8" spans="1:24">
      <c r="A8" s="7" t="str">
        <f>HLOOKUP(INDICE!$F$2,Nombres!$C$3:$D$636,154,FALSE)</f>
        <v>Argentine peso</v>
      </c>
      <c r="B8" s="198" t="s">
        <v>561</v>
      </c>
      <c r="C8" s="199">
        <v>1687.0637766573602</v>
      </c>
      <c r="D8" s="196">
        <v>-0.17342506686438752</v>
      </c>
      <c r="E8" s="196">
        <v>1.6449198077487681E-2</v>
      </c>
      <c r="F8" s="121"/>
      <c r="G8" s="79"/>
      <c r="H8" s="200" t="s">
        <v>562</v>
      </c>
      <c r="I8" s="200" t="s">
        <v>562</v>
      </c>
    </row>
    <row r="9" spans="1:24">
      <c r="A9" s="7" t="str">
        <f>HLOOKUP(INDICE!$F$2,Nombres!$C$3:$D$636,155,FALSE)</f>
        <v>Chilean peso</v>
      </c>
      <c r="B9" s="7"/>
      <c r="C9" s="195">
        <v>1050.914195986571</v>
      </c>
      <c r="D9" s="196">
        <v>4.3555491352070153E-2</v>
      </c>
      <c r="E9" s="196">
        <v>1.4238606798355535E-2</v>
      </c>
      <c r="F9" s="121"/>
      <c r="G9" s="79"/>
      <c r="H9" s="195">
        <v>1041.6543946758293</v>
      </c>
      <c r="I9" s="196">
        <v>2.4439964997324815E-3</v>
      </c>
    </row>
    <row r="10" spans="1:24">
      <c r="A10" s="7" t="str">
        <f>HLOOKUP(INDICE!$F$2,Nombres!$C$3:$D$636,156,FALSE)</f>
        <v>Colombian peso</v>
      </c>
      <c r="B10" s="7"/>
      <c r="C10" s="195">
        <v>3923.6264387305464</v>
      </c>
      <c r="D10" s="196">
        <v>0.2156236888968488</v>
      </c>
      <c r="E10" s="196">
        <v>0.12512469391585879</v>
      </c>
      <c r="F10" s="121"/>
      <c r="G10" s="79"/>
      <c r="H10" s="195">
        <v>4262.5051158586402</v>
      </c>
      <c r="I10" s="196">
        <v>7.594938717517663E-2</v>
      </c>
    </row>
    <row r="11" spans="1:24">
      <c r="A11" s="7" t="str">
        <f>HLOOKUP(INDICE!$F$2,Nombres!$C$3:$D$636,157,FALSE)</f>
        <v>Peruvian sol</v>
      </c>
      <c r="B11" s="7"/>
      <c r="C11" s="195">
        <v>3.887633000007042</v>
      </c>
      <c r="D11" s="196">
        <v>6.5390688882563719E-2</v>
      </c>
      <c r="E11" s="196">
        <v>1.5678949115512486E-2</v>
      </c>
      <c r="F11" s="121"/>
      <c r="G11" s="79"/>
      <c r="H11" s="195">
        <v>3.973275999993175</v>
      </c>
      <c r="I11" s="196">
        <v>1.1177929751404747E-2</v>
      </c>
    </row>
    <row r="12" spans="1:24">
      <c r="A12" s="7" t="str">
        <f>HLOOKUP(INDICE!$F$2,Nombres!$C$3:$D$636,158,FALSE)</f>
        <v>Turkish lira</v>
      </c>
      <c r="B12" s="198" t="s">
        <v>561</v>
      </c>
      <c r="C12" s="195">
        <v>53.164199999685657</v>
      </c>
      <c r="D12" s="196">
        <v>-0.12406845206724537</v>
      </c>
      <c r="E12" s="196">
        <v>-5.0417386137488918E-2</v>
      </c>
      <c r="F12" s="121"/>
      <c r="G12" s="79"/>
      <c r="H12" s="200" t="s">
        <v>562</v>
      </c>
      <c r="I12" s="200" t="s">
        <v>562</v>
      </c>
    </row>
    <row r="13" spans="1:24">
      <c r="A13" s="121"/>
      <c r="B13" s="121"/>
      <c r="D13" s="201"/>
      <c r="E13" s="201"/>
      <c r="F13" s="201"/>
      <c r="G13" s="201"/>
      <c r="H13" s="121"/>
      <c r="I13" s="121"/>
    </row>
    <row r="14" spans="1:24">
      <c r="A14" s="121"/>
      <c r="B14" s="121"/>
      <c r="C14" s="202"/>
      <c r="D14" s="201"/>
      <c r="E14" s="201"/>
      <c r="F14" s="201"/>
      <c r="G14" s="201"/>
      <c r="H14" s="121"/>
      <c r="I14" s="121"/>
    </row>
    <row r="15" spans="1:24">
      <c r="A15" s="19" t="str">
        <f>HLOOKUP(INDICE!$F$2,Nombres!$C$3:$D$636,159,FALSE)</f>
        <v>(*) Used in the constant euros comparisons for the balance sheet and business activity</v>
      </c>
      <c r="B15" s="19"/>
      <c r="C15" s="149"/>
      <c r="D15" s="149"/>
      <c r="E15" s="149"/>
      <c r="F15" s="201"/>
      <c r="G15" s="201"/>
      <c r="H15" s="121"/>
      <c r="I15" s="121"/>
    </row>
    <row r="16" spans="1:24">
      <c r="A16" s="19" t="str">
        <f>HLOOKUP(INDICE!$F$2,Nombres!$C$3:$D$636,160,FALSE)</f>
        <v>(**) Used in the constant euros comparisons for the profit and loss</v>
      </c>
      <c r="B16" s="19"/>
      <c r="C16" s="149"/>
      <c r="D16" s="149"/>
      <c r="E16" s="149"/>
      <c r="F16" s="201"/>
      <c r="G16" s="201"/>
      <c r="H16" s="121"/>
      <c r="I16" s="121"/>
    </row>
    <row r="17" spans="1:5">
      <c r="A17" s="19" t="str">
        <f>HLOOKUP(INDICE!$F$2,Nombres!$C$3:$D$636,313,FALSE)</f>
        <v>(1) According to IAS 21 "Effects of changes in foreign currency exchange rates", the translation of the income statement for Turkey and Argentina is made using the final exchange rate.</v>
      </c>
    </row>
    <row r="20" spans="1:5">
      <c r="D20" s="201"/>
    </row>
    <row r="25" spans="1:5">
      <c r="C25" s="203"/>
      <c r="D25" s="203"/>
      <c r="E25" s="203"/>
    </row>
    <row r="27" spans="1:5">
      <c r="E27" s="203"/>
    </row>
    <row r="1000" spans="1:1">
      <c r="A1000" t="s">
        <v>557</v>
      </c>
    </row>
  </sheetData>
  <mergeCells count="2">
    <mergeCell ref="C3:E3"/>
    <mergeCell ref="H3:I3"/>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9334B-F1C5-4D21-B21B-2703DDA70650}">
  <sheetPr>
    <tabColor rgb="FFD8BE75"/>
  </sheetPr>
  <dimension ref="A1:AE996"/>
  <sheetViews>
    <sheetView showGridLines="0" zoomScale="85" zoomScaleNormal="85" workbookViewId="0">
      <selection activeCell="N23" sqref="N23:N24"/>
    </sheetView>
  </sheetViews>
  <sheetFormatPr baseColWidth="10" defaultColWidth="11.453125" defaultRowHeight="12.5"/>
  <cols>
    <col min="1" max="1" width="30.7265625" style="206" customWidth="1"/>
    <col min="2" max="7" width="10.7265625" style="206" customWidth="1"/>
    <col min="8" max="9" width="10.7265625" style="206" hidden="1" customWidth="1"/>
    <col min="10" max="256" width="11.453125" style="206"/>
    <col min="257" max="257" width="30.7265625" style="206" customWidth="1"/>
    <col min="258" max="265" width="10.7265625" style="206" customWidth="1"/>
    <col min="266" max="512" width="11.453125" style="206"/>
    <col min="513" max="513" width="30.7265625" style="206" customWidth="1"/>
    <col min="514" max="521" width="10.7265625" style="206" customWidth="1"/>
    <col min="522" max="768" width="11.453125" style="206"/>
    <col min="769" max="769" width="30.7265625" style="206" customWidth="1"/>
    <col min="770" max="777" width="10.7265625" style="206" customWidth="1"/>
    <col min="778" max="1024" width="11.453125" style="206"/>
    <col min="1025" max="1025" width="30.7265625" style="206" customWidth="1"/>
    <col min="1026" max="1033" width="10.7265625" style="206" customWidth="1"/>
    <col min="1034" max="1280" width="11.453125" style="206"/>
    <col min="1281" max="1281" width="30.7265625" style="206" customWidth="1"/>
    <col min="1282" max="1289" width="10.7265625" style="206" customWidth="1"/>
    <col min="1290" max="1536" width="11.453125" style="206"/>
    <col min="1537" max="1537" width="30.7265625" style="206" customWidth="1"/>
    <col min="1538" max="1545" width="10.7265625" style="206" customWidth="1"/>
    <col min="1546" max="1792" width="11.453125" style="206"/>
    <col min="1793" max="1793" width="30.7265625" style="206" customWidth="1"/>
    <col min="1794" max="1801" width="10.7265625" style="206" customWidth="1"/>
    <col min="1802" max="2048" width="11.453125" style="206"/>
    <col min="2049" max="2049" width="30.7265625" style="206" customWidth="1"/>
    <col min="2050" max="2057" width="10.7265625" style="206" customWidth="1"/>
    <col min="2058" max="2304" width="11.453125" style="206"/>
    <col min="2305" max="2305" width="30.7265625" style="206" customWidth="1"/>
    <col min="2306" max="2313" width="10.7265625" style="206" customWidth="1"/>
    <col min="2314" max="2560" width="11.453125" style="206"/>
    <col min="2561" max="2561" width="30.7265625" style="206" customWidth="1"/>
    <col min="2562" max="2569" width="10.7265625" style="206" customWidth="1"/>
    <col min="2570" max="2816" width="11.453125" style="206"/>
    <col min="2817" max="2817" width="30.7265625" style="206" customWidth="1"/>
    <col min="2818" max="2825" width="10.7265625" style="206" customWidth="1"/>
    <col min="2826" max="3072" width="11.453125" style="206"/>
    <col min="3073" max="3073" width="30.7265625" style="206" customWidth="1"/>
    <col min="3074" max="3081" width="10.7265625" style="206" customWidth="1"/>
    <col min="3082" max="3328" width="11.453125" style="206"/>
    <col min="3329" max="3329" width="30.7265625" style="206" customWidth="1"/>
    <col min="3330" max="3337" width="10.7265625" style="206" customWidth="1"/>
    <col min="3338" max="3584" width="11.453125" style="206"/>
    <col min="3585" max="3585" width="30.7265625" style="206" customWidth="1"/>
    <col min="3586" max="3593" width="10.7265625" style="206" customWidth="1"/>
    <col min="3594" max="3840" width="11.453125" style="206"/>
    <col min="3841" max="3841" width="30.7265625" style="206" customWidth="1"/>
    <col min="3842" max="3849" width="10.7265625" style="206" customWidth="1"/>
    <col min="3850" max="4096" width="11.453125" style="206"/>
    <col min="4097" max="4097" width="30.7265625" style="206" customWidth="1"/>
    <col min="4098" max="4105" width="10.7265625" style="206" customWidth="1"/>
    <col min="4106" max="4352" width="11.453125" style="206"/>
    <col min="4353" max="4353" width="30.7265625" style="206" customWidth="1"/>
    <col min="4354" max="4361" width="10.7265625" style="206" customWidth="1"/>
    <col min="4362" max="4608" width="11.453125" style="206"/>
    <col min="4609" max="4609" width="30.7265625" style="206" customWidth="1"/>
    <col min="4610" max="4617" width="10.7265625" style="206" customWidth="1"/>
    <col min="4618" max="4864" width="11.453125" style="206"/>
    <col min="4865" max="4865" width="30.7265625" style="206" customWidth="1"/>
    <col min="4866" max="4873" width="10.7265625" style="206" customWidth="1"/>
    <col min="4874" max="5120" width="11.453125" style="206"/>
    <col min="5121" max="5121" width="30.7265625" style="206" customWidth="1"/>
    <col min="5122" max="5129" width="10.7265625" style="206" customWidth="1"/>
    <col min="5130" max="5376" width="11.453125" style="206"/>
    <col min="5377" max="5377" width="30.7265625" style="206" customWidth="1"/>
    <col min="5378" max="5385" width="10.7265625" style="206" customWidth="1"/>
    <col min="5386" max="5632" width="11.453125" style="206"/>
    <col min="5633" max="5633" width="30.7265625" style="206" customWidth="1"/>
    <col min="5634" max="5641" width="10.7265625" style="206" customWidth="1"/>
    <col min="5642" max="5888" width="11.453125" style="206"/>
    <col min="5889" max="5889" width="30.7265625" style="206" customWidth="1"/>
    <col min="5890" max="5897" width="10.7265625" style="206" customWidth="1"/>
    <col min="5898" max="6144" width="11.453125" style="206"/>
    <col min="6145" max="6145" width="30.7265625" style="206" customWidth="1"/>
    <col min="6146" max="6153" width="10.7265625" style="206" customWidth="1"/>
    <col min="6154" max="6400" width="11.453125" style="206"/>
    <col min="6401" max="6401" width="30.7265625" style="206" customWidth="1"/>
    <col min="6402" max="6409" width="10.7265625" style="206" customWidth="1"/>
    <col min="6410" max="6656" width="11.453125" style="206"/>
    <col min="6657" max="6657" width="30.7265625" style="206" customWidth="1"/>
    <col min="6658" max="6665" width="10.7265625" style="206" customWidth="1"/>
    <col min="6666" max="6912" width="11.453125" style="206"/>
    <col min="6913" max="6913" width="30.7265625" style="206" customWidth="1"/>
    <col min="6914" max="6921" width="10.7265625" style="206" customWidth="1"/>
    <col min="6922" max="7168" width="11.453125" style="206"/>
    <col min="7169" max="7169" width="30.7265625" style="206" customWidth="1"/>
    <col min="7170" max="7177" width="10.7265625" style="206" customWidth="1"/>
    <col min="7178" max="7424" width="11.453125" style="206"/>
    <col min="7425" max="7425" width="30.7265625" style="206" customWidth="1"/>
    <col min="7426" max="7433" width="10.7265625" style="206" customWidth="1"/>
    <col min="7434" max="7680" width="11.453125" style="206"/>
    <col min="7681" max="7681" width="30.7265625" style="206" customWidth="1"/>
    <col min="7682" max="7689" width="10.7265625" style="206" customWidth="1"/>
    <col min="7690" max="7936" width="11.453125" style="206"/>
    <col min="7937" max="7937" width="30.7265625" style="206" customWidth="1"/>
    <col min="7938" max="7945" width="10.7265625" style="206" customWidth="1"/>
    <col min="7946" max="8192" width="11.453125" style="206"/>
    <col min="8193" max="8193" width="30.7265625" style="206" customWidth="1"/>
    <col min="8194" max="8201" width="10.7265625" style="206" customWidth="1"/>
    <col min="8202" max="8448" width="11.453125" style="206"/>
    <col min="8449" max="8449" width="30.7265625" style="206" customWidth="1"/>
    <col min="8450" max="8457" width="10.7265625" style="206" customWidth="1"/>
    <col min="8458" max="8704" width="11.453125" style="206"/>
    <col min="8705" max="8705" width="30.7265625" style="206" customWidth="1"/>
    <col min="8706" max="8713" width="10.7265625" style="206" customWidth="1"/>
    <col min="8714" max="8960" width="11.453125" style="206"/>
    <col min="8961" max="8961" width="30.7265625" style="206" customWidth="1"/>
    <col min="8962" max="8969" width="10.7265625" style="206" customWidth="1"/>
    <col min="8970" max="9216" width="11.453125" style="206"/>
    <col min="9217" max="9217" width="30.7265625" style="206" customWidth="1"/>
    <col min="9218" max="9225" width="10.7265625" style="206" customWidth="1"/>
    <col min="9226" max="9472" width="11.453125" style="206"/>
    <col min="9473" max="9473" width="30.7265625" style="206" customWidth="1"/>
    <col min="9474" max="9481" width="10.7265625" style="206" customWidth="1"/>
    <col min="9482" max="9728" width="11.453125" style="206"/>
    <col min="9729" max="9729" width="30.7265625" style="206" customWidth="1"/>
    <col min="9730" max="9737" width="10.7265625" style="206" customWidth="1"/>
    <col min="9738" max="9984" width="11.453125" style="206"/>
    <col min="9985" max="9985" width="30.7265625" style="206" customWidth="1"/>
    <col min="9986" max="9993" width="10.7265625" style="206" customWidth="1"/>
    <col min="9994" max="10240" width="11.453125" style="206"/>
    <col min="10241" max="10241" width="30.7265625" style="206" customWidth="1"/>
    <col min="10242" max="10249" width="10.7265625" style="206" customWidth="1"/>
    <col min="10250" max="10496" width="11.453125" style="206"/>
    <col min="10497" max="10497" width="30.7265625" style="206" customWidth="1"/>
    <col min="10498" max="10505" width="10.7265625" style="206" customWidth="1"/>
    <col min="10506" max="10752" width="11.453125" style="206"/>
    <col min="10753" max="10753" width="30.7265625" style="206" customWidth="1"/>
    <col min="10754" max="10761" width="10.7265625" style="206" customWidth="1"/>
    <col min="10762" max="11008" width="11.453125" style="206"/>
    <col min="11009" max="11009" width="30.7265625" style="206" customWidth="1"/>
    <col min="11010" max="11017" width="10.7265625" style="206" customWidth="1"/>
    <col min="11018" max="11264" width="11.453125" style="206"/>
    <col min="11265" max="11265" width="30.7265625" style="206" customWidth="1"/>
    <col min="11266" max="11273" width="10.7265625" style="206" customWidth="1"/>
    <col min="11274" max="11520" width="11.453125" style="206"/>
    <col min="11521" max="11521" width="30.7265625" style="206" customWidth="1"/>
    <col min="11522" max="11529" width="10.7265625" style="206" customWidth="1"/>
    <col min="11530" max="11776" width="11.453125" style="206"/>
    <col min="11777" max="11777" width="30.7265625" style="206" customWidth="1"/>
    <col min="11778" max="11785" width="10.7265625" style="206" customWidth="1"/>
    <col min="11786" max="12032" width="11.453125" style="206"/>
    <col min="12033" max="12033" width="30.7265625" style="206" customWidth="1"/>
    <col min="12034" max="12041" width="10.7265625" style="206" customWidth="1"/>
    <col min="12042" max="12288" width="11.453125" style="206"/>
    <col min="12289" max="12289" width="30.7265625" style="206" customWidth="1"/>
    <col min="12290" max="12297" width="10.7265625" style="206" customWidth="1"/>
    <col min="12298" max="12544" width="11.453125" style="206"/>
    <col min="12545" max="12545" width="30.7265625" style="206" customWidth="1"/>
    <col min="12546" max="12553" width="10.7265625" style="206" customWidth="1"/>
    <col min="12554" max="12800" width="11.453125" style="206"/>
    <col min="12801" max="12801" width="30.7265625" style="206" customWidth="1"/>
    <col min="12802" max="12809" width="10.7265625" style="206" customWidth="1"/>
    <col min="12810" max="13056" width="11.453125" style="206"/>
    <col min="13057" max="13057" width="30.7265625" style="206" customWidth="1"/>
    <col min="13058" max="13065" width="10.7265625" style="206" customWidth="1"/>
    <col min="13066" max="13312" width="11.453125" style="206"/>
    <col min="13313" max="13313" width="30.7265625" style="206" customWidth="1"/>
    <col min="13314" max="13321" width="10.7265625" style="206" customWidth="1"/>
    <col min="13322" max="13568" width="11.453125" style="206"/>
    <col min="13569" max="13569" width="30.7265625" style="206" customWidth="1"/>
    <col min="13570" max="13577" width="10.7265625" style="206" customWidth="1"/>
    <col min="13578" max="13824" width="11.453125" style="206"/>
    <col min="13825" max="13825" width="30.7265625" style="206" customWidth="1"/>
    <col min="13826" max="13833" width="10.7265625" style="206" customWidth="1"/>
    <col min="13834" max="14080" width="11.453125" style="206"/>
    <col min="14081" max="14081" width="30.7265625" style="206" customWidth="1"/>
    <col min="14082" max="14089" width="10.7265625" style="206" customWidth="1"/>
    <col min="14090" max="14336" width="11.453125" style="206"/>
    <col min="14337" max="14337" width="30.7265625" style="206" customWidth="1"/>
    <col min="14338" max="14345" width="10.7265625" style="206" customWidth="1"/>
    <col min="14346" max="14592" width="11.453125" style="206"/>
    <col min="14593" max="14593" width="30.7265625" style="206" customWidth="1"/>
    <col min="14594" max="14601" width="10.7265625" style="206" customWidth="1"/>
    <col min="14602" max="14848" width="11.453125" style="206"/>
    <col min="14849" max="14849" width="30.7265625" style="206" customWidth="1"/>
    <col min="14850" max="14857" width="10.7265625" style="206" customWidth="1"/>
    <col min="14858" max="15104" width="11.453125" style="206"/>
    <col min="15105" max="15105" width="30.7265625" style="206" customWidth="1"/>
    <col min="15106" max="15113" width="10.7265625" style="206" customWidth="1"/>
    <col min="15114" max="15360" width="11.453125" style="206"/>
    <col min="15361" max="15361" width="30.7265625" style="206" customWidth="1"/>
    <col min="15362" max="15369" width="10.7265625" style="206" customWidth="1"/>
    <col min="15370" max="15616" width="11.453125" style="206"/>
    <col min="15617" max="15617" width="30.7265625" style="206" customWidth="1"/>
    <col min="15618" max="15625" width="10.7265625" style="206" customWidth="1"/>
    <col min="15626" max="15872" width="11.453125" style="206"/>
    <col min="15873" max="15873" width="30.7265625" style="206" customWidth="1"/>
    <col min="15874" max="15881" width="10.7265625" style="206" customWidth="1"/>
    <col min="15882" max="16128" width="11.453125" style="206"/>
    <col min="16129" max="16129" width="30.7265625" style="206" customWidth="1"/>
    <col min="16130" max="16137" width="10.7265625" style="206" customWidth="1"/>
    <col min="16138" max="16384" width="11.453125" style="206"/>
  </cols>
  <sheetData>
    <row r="1" spans="1:31" ht="19.5">
      <c r="A1" s="59" t="str">
        <f>HLOOKUP(INDICE!$F$2,Nombres!$C$3:$D$636,171,FALSE)</f>
        <v>Customer Spreads (*)</v>
      </c>
      <c r="B1" s="204"/>
      <c r="C1" s="204"/>
      <c r="D1" s="204"/>
      <c r="E1" s="204"/>
      <c r="F1" s="204"/>
      <c r="G1" s="205"/>
      <c r="H1" s="205"/>
      <c r="I1" s="205"/>
    </row>
    <row r="2" spans="1:31" ht="12.75" customHeight="1">
      <c r="A2" s="207" t="str">
        <f>HLOOKUP(INDICE!$F$2,Nombres!$C$3:$D$636,172,FALSE)</f>
        <v>(Percentage)</v>
      </c>
      <c r="B2" s="186"/>
      <c r="C2" s="186"/>
      <c r="D2" s="186"/>
      <c r="E2" s="186"/>
      <c r="F2" s="186"/>
      <c r="G2" s="208"/>
      <c r="H2" s="208"/>
      <c r="I2" s="208"/>
    </row>
    <row r="3" spans="1:31" ht="13.5">
      <c r="A3" s="208"/>
      <c r="B3" s="262">
        <f>+España!B6</f>
        <v>2025</v>
      </c>
      <c r="C3" s="262"/>
      <c r="D3" s="262"/>
      <c r="E3" s="262"/>
      <c r="F3" s="262">
        <f>+España!F6</f>
        <v>2026</v>
      </c>
      <c r="G3" s="262"/>
      <c r="H3" s="262"/>
      <c r="I3" s="262"/>
    </row>
    <row r="4" spans="1:31" ht="13.5">
      <c r="A4" s="121"/>
      <c r="B4" s="209" t="str">
        <f>HLOOKUP(INDICE!$F$2,Nombres!$C$3:$D$636,167,FALSE)</f>
        <v>1Q</v>
      </c>
      <c r="C4" s="209" t="str">
        <f>HLOOKUP(INDICE!$F$2,Nombres!$C$3:$D$636,168,FALSE)</f>
        <v>2Q</v>
      </c>
      <c r="D4" s="209" t="str">
        <f>HLOOKUP(INDICE!$F$2,Nombres!$C$3:$D$636,169,FALSE)</f>
        <v>3Q</v>
      </c>
      <c r="E4" s="209" t="str">
        <f>HLOOKUP(INDICE!$F$2,Nombres!$C$3:$D$636,170,FALSE)</f>
        <v>4Q</v>
      </c>
      <c r="F4" s="209" t="str">
        <f>HLOOKUP(INDICE!$F$2,Nombres!$C$3:$D$636,167,FALSE)</f>
        <v>1Q</v>
      </c>
      <c r="G4" s="209" t="str">
        <f>HLOOKUP(INDICE!$F$2,Nombres!$C$3:$D$636,168,FALSE)</f>
        <v>2Q</v>
      </c>
      <c r="H4" s="209" t="str">
        <f>HLOOKUP(INDICE!$F$2,Nombres!$C$3:$D$636,169,FALSE)</f>
        <v>3Q</v>
      </c>
      <c r="I4" s="209" t="str">
        <f>HLOOKUP(INDICE!$F$2,Nombres!$C$3:$D$636,170,FALSE)</f>
        <v>4Q</v>
      </c>
    </row>
    <row r="5" spans="1:31">
      <c r="A5" s="121"/>
      <c r="B5" s="124"/>
      <c r="C5" s="124"/>
      <c r="D5" s="124"/>
      <c r="E5" s="124"/>
      <c r="F5" s="124"/>
      <c r="G5" s="208"/>
      <c r="H5" s="208"/>
      <c r="I5" s="208"/>
    </row>
    <row r="6" spans="1:31" ht="14.5">
      <c r="A6" s="22" t="str">
        <f>HLOOKUP(INDICE!$F$2,Nombres!$C$3:$D$636,173,FALSE)</f>
        <v>Lending Yield</v>
      </c>
      <c r="B6" s="210">
        <v>3.85E-2</v>
      </c>
      <c r="C6" s="210">
        <v>3.6600000000000001E-2</v>
      </c>
      <c r="D6" s="210">
        <v>3.4500000000000003E-2</v>
      </c>
      <c r="E6" s="210">
        <v>3.39E-2</v>
      </c>
      <c r="F6" s="210">
        <v>3.3945014296590997E-2</v>
      </c>
      <c r="G6" s="210">
        <v>3.4292409918228961E-2</v>
      </c>
      <c r="H6" s="210">
        <v>0</v>
      </c>
      <c r="I6" s="210">
        <v>0</v>
      </c>
      <c r="J6" s="211"/>
      <c r="K6" s="211"/>
      <c r="L6" s="211"/>
      <c r="M6" s="211"/>
      <c r="O6" s="212"/>
      <c r="P6" s="212"/>
      <c r="Q6" s="212"/>
      <c r="R6" s="212"/>
      <c r="S6" s="212"/>
      <c r="X6" s="212"/>
      <c r="Y6" s="212"/>
      <c r="Z6" s="212"/>
      <c r="AA6" s="212"/>
      <c r="AB6" s="212"/>
      <c r="AC6" s="212"/>
      <c r="AD6" s="212"/>
      <c r="AE6" s="212"/>
    </row>
    <row r="7" spans="1:31" ht="14.5">
      <c r="A7" s="22" t="str">
        <f>HLOOKUP(INDICE!$F$2,Nombres!$C$3:$D$636,174,FALSE)</f>
        <v>Cost of deposits</v>
      </c>
      <c r="B7" s="210">
        <v>-6.6E-3</v>
      </c>
      <c r="C7" s="210">
        <v>-6.0000000000000001E-3</v>
      </c>
      <c r="D7" s="210">
        <v>-5.7000000000000002E-3</v>
      </c>
      <c r="E7" s="210">
        <v>-5.8999999999999999E-3</v>
      </c>
      <c r="F7" s="210">
        <v>-5.7739046963807992E-3</v>
      </c>
      <c r="G7" s="210">
        <v>-5.8040757319544585E-3</v>
      </c>
      <c r="H7" s="210">
        <v>0</v>
      </c>
      <c r="I7" s="210">
        <v>0</v>
      </c>
      <c r="J7" s="211"/>
      <c r="K7" s="211"/>
      <c r="L7" s="211"/>
      <c r="M7" s="211"/>
      <c r="O7" s="212"/>
      <c r="P7" s="212"/>
      <c r="Q7" s="212"/>
      <c r="R7" s="212"/>
      <c r="S7" s="212"/>
      <c r="X7" s="212"/>
      <c r="Y7" s="212"/>
      <c r="Z7" s="212"/>
      <c r="AA7" s="212"/>
      <c r="AB7" s="212"/>
      <c r="AC7" s="212"/>
      <c r="AD7" s="212"/>
      <c r="AE7" s="212"/>
    </row>
    <row r="8" spans="1:31" ht="14.5">
      <c r="A8" s="23" t="str">
        <f>HLOOKUP(INDICE!$F$2,Nombres!$C$3:$D$636,175,FALSE)</f>
        <v>Banking activity in Spain</v>
      </c>
      <c r="B8" s="213">
        <v>3.1899999999999998E-2</v>
      </c>
      <c r="C8" s="213">
        <v>3.0499999999999999E-2</v>
      </c>
      <c r="D8" s="213">
        <v>2.8799999999999999E-2</v>
      </c>
      <c r="E8" s="213">
        <v>2.8000000000000001E-2</v>
      </c>
      <c r="F8" s="213">
        <v>2.8176238269529159E-2</v>
      </c>
      <c r="G8" s="213">
        <v>2.8488334186274503E-2</v>
      </c>
      <c r="H8" s="213">
        <v>0</v>
      </c>
      <c r="I8" s="213">
        <v>0</v>
      </c>
      <c r="J8" s="211"/>
      <c r="K8" s="211"/>
      <c r="L8" s="211"/>
      <c r="M8" s="211"/>
      <c r="O8" s="212"/>
      <c r="P8" s="212"/>
      <c r="Q8" s="212"/>
      <c r="R8" s="212"/>
      <c r="S8" s="212"/>
      <c r="X8" s="212"/>
      <c r="Y8" s="212"/>
      <c r="Z8" s="212"/>
      <c r="AA8" s="212"/>
      <c r="AB8" s="212"/>
      <c r="AC8" s="212"/>
      <c r="AD8" s="212"/>
      <c r="AE8" s="212"/>
    </row>
    <row r="9" spans="1:31">
      <c r="A9" s="121"/>
      <c r="B9" s="214"/>
      <c r="C9" s="214"/>
      <c r="D9" s="214"/>
      <c r="E9" s="214"/>
      <c r="F9" s="214"/>
      <c r="G9" s="214"/>
      <c r="H9" s="214"/>
      <c r="I9" s="214"/>
      <c r="O9" s="212"/>
      <c r="P9" s="212"/>
      <c r="Q9" s="212"/>
      <c r="R9" s="212"/>
      <c r="S9" s="212"/>
      <c r="X9" s="212"/>
      <c r="Y9" s="212"/>
      <c r="Z9" s="212"/>
      <c r="AA9" s="212"/>
      <c r="AB9" s="212"/>
      <c r="AC9" s="212"/>
      <c r="AD9" s="212"/>
      <c r="AE9" s="212"/>
    </row>
    <row r="10" spans="1:31" ht="14.5">
      <c r="A10" s="22" t="str">
        <f>HLOOKUP(INDICE!$F$2,Nombres!$C$3:$D$636,173,FALSE)</f>
        <v>Lending Yield</v>
      </c>
      <c r="B10" s="210">
        <v>0.14990000000000001</v>
      </c>
      <c r="C10" s="210">
        <v>0.14710000000000001</v>
      </c>
      <c r="D10" s="210">
        <v>0.14419999999999999</v>
      </c>
      <c r="E10" s="210">
        <v>0.1426</v>
      </c>
      <c r="F10" s="210">
        <v>0.1401928909574085</v>
      </c>
      <c r="G10" s="210">
        <v>0.13844912758068134</v>
      </c>
      <c r="H10" s="210">
        <v>0</v>
      </c>
      <c r="I10" s="210">
        <v>0</v>
      </c>
      <c r="J10" s="211"/>
      <c r="K10" s="211"/>
      <c r="L10" s="211"/>
      <c r="M10" s="211"/>
      <c r="O10" s="212"/>
      <c r="P10" s="212"/>
      <c r="Q10" s="212"/>
      <c r="R10" s="212"/>
      <c r="S10" s="212"/>
      <c r="X10" s="212"/>
      <c r="Y10" s="212"/>
      <c r="Z10" s="212"/>
      <c r="AA10" s="212"/>
      <c r="AB10" s="212"/>
      <c r="AC10" s="212"/>
      <c r="AD10" s="212"/>
      <c r="AE10" s="212"/>
    </row>
    <row r="11" spans="1:31" ht="14.5">
      <c r="A11" s="22" t="str">
        <f>HLOOKUP(INDICE!$F$2,Nombres!$C$3:$D$636,174,FALSE)</f>
        <v>Cost of deposits</v>
      </c>
      <c r="B11" s="210">
        <v>-2.9899999999999999E-2</v>
      </c>
      <c r="C11" s="210">
        <v>-2.75E-2</v>
      </c>
      <c r="D11" s="210">
        <v>-2.4500000000000001E-2</v>
      </c>
      <c r="E11" s="210">
        <v>-2.2499999999999999E-2</v>
      </c>
      <c r="F11" s="210">
        <v>-2.2761819535422109E-2</v>
      </c>
      <c r="G11" s="210">
        <v>-2.2341927962803463E-2</v>
      </c>
      <c r="H11" s="210">
        <v>0</v>
      </c>
      <c r="I11" s="210">
        <v>0</v>
      </c>
      <c r="J11" s="211"/>
      <c r="K11" s="211"/>
      <c r="L11" s="211"/>
      <c r="M11" s="211"/>
      <c r="O11" s="212"/>
      <c r="P11" s="212"/>
      <c r="Q11" s="212"/>
      <c r="R11" s="212"/>
      <c r="S11" s="212"/>
      <c r="X11" s="212"/>
      <c r="Y11" s="212"/>
      <c r="Z11" s="212"/>
      <c r="AA11" s="212"/>
      <c r="AB11" s="212"/>
      <c r="AC11" s="212"/>
      <c r="AD11" s="212"/>
      <c r="AE11" s="212"/>
    </row>
    <row r="12" spans="1:31" ht="14.5">
      <c r="A12" s="23" t="str">
        <f>HLOOKUP(INDICE!$F$2,Nombres!$C$3:$D$636,177,FALSE)</f>
        <v>Mexico MXN</v>
      </c>
      <c r="B12" s="213">
        <v>0.12</v>
      </c>
      <c r="C12" s="213">
        <v>0.1196</v>
      </c>
      <c r="D12" s="213">
        <v>0.1198</v>
      </c>
      <c r="E12" s="213">
        <v>0.1201</v>
      </c>
      <c r="F12" s="213">
        <v>0.11743107142198639</v>
      </c>
      <c r="G12" s="213">
        <v>0.11610719961787788</v>
      </c>
      <c r="H12" s="213">
        <v>0</v>
      </c>
      <c r="I12" s="213">
        <v>0</v>
      </c>
      <c r="J12" s="211"/>
      <c r="K12" s="211"/>
      <c r="L12" s="211"/>
      <c r="M12" s="211"/>
      <c r="O12" s="212"/>
      <c r="P12" s="212"/>
      <c r="Q12" s="212"/>
      <c r="R12" s="212"/>
      <c r="S12" s="212"/>
      <c r="X12" s="212"/>
      <c r="Y12" s="212"/>
      <c r="Z12" s="212"/>
      <c r="AA12" s="212"/>
      <c r="AB12" s="212"/>
      <c r="AC12" s="212"/>
      <c r="AD12" s="212"/>
      <c r="AE12" s="212"/>
    </row>
    <row r="13" spans="1:31">
      <c r="A13" s="121"/>
      <c r="B13" s="214"/>
      <c r="C13" s="214"/>
      <c r="D13" s="214"/>
      <c r="E13" s="214"/>
      <c r="F13" s="214"/>
      <c r="G13" s="214"/>
      <c r="H13" s="214"/>
      <c r="I13" s="214"/>
      <c r="O13" s="212"/>
      <c r="P13" s="212"/>
      <c r="Q13" s="212"/>
      <c r="R13" s="212"/>
      <c r="S13" s="212"/>
      <c r="X13" s="212"/>
      <c r="Y13" s="212"/>
      <c r="Z13" s="212"/>
      <c r="AA13" s="212"/>
      <c r="AB13" s="212"/>
      <c r="AC13" s="212"/>
      <c r="AD13" s="212"/>
      <c r="AE13" s="212"/>
    </row>
    <row r="14" spans="1:31">
      <c r="A14" s="22" t="str">
        <f>HLOOKUP(INDICE!$F$2,Nombres!$C$3:$D$636,173,FALSE)</f>
        <v>Lending Yield</v>
      </c>
      <c r="B14" s="214">
        <v>6.2300000000000001E-2</v>
      </c>
      <c r="C14" s="214">
        <v>6.1400000000000003E-2</v>
      </c>
      <c r="D14" s="214">
        <v>6.2100000000000002E-2</v>
      </c>
      <c r="E14" s="214">
        <v>5.8900000000000001E-2</v>
      </c>
      <c r="F14" s="214">
        <v>5.6861299589450735E-2</v>
      </c>
      <c r="G14" s="214">
        <v>5.5432049498621835E-2</v>
      </c>
      <c r="H14" s="214">
        <v>0</v>
      </c>
      <c r="I14" s="214">
        <v>0</v>
      </c>
      <c r="O14" s="212"/>
      <c r="P14" s="212"/>
      <c r="Q14" s="212"/>
      <c r="R14" s="212"/>
      <c r="S14" s="212"/>
      <c r="X14" s="212"/>
      <c r="Y14" s="212"/>
      <c r="Z14" s="212"/>
      <c r="AA14" s="212"/>
      <c r="AB14" s="212"/>
      <c r="AC14" s="212"/>
      <c r="AD14" s="212"/>
      <c r="AE14" s="212"/>
    </row>
    <row r="15" spans="1:31">
      <c r="A15" s="22" t="str">
        <f>HLOOKUP(INDICE!$F$2,Nombres!$C$3:$D$636,174,FALSE)</f>
        <v>Cost of deposits</v>
      </c>
      <c r="B15" s="214">
        <v>-7.9000000000000008E-3</v>
      </c>
      <c r="C15" s="214">
        <v>-8.9999999999999993E-3</v>
      </c>
      <c r="D15" s="214">
        <v>-9.7000000000000003E-3</v>
      </c>
      <c r="E15" s="214">
        <v>-9.1000000000000004E-3</v>
      </c>
      <c r="F15" s="214">
        <v>-8.9817200584177224E-3</v>
      </c>
      <c r="G15" s="214">
        <v>-1.0036919224051224E-2</v>
      </c>
      <c r="H15" s="214">
        <v>0</v>
      </c>
      <c r="I15" s="214">
        <v>0</v>
      </c>
      <c r="O15" s="212"/>
      <c r="P15" s="212"/>
      <c r="Q15" s="212"/>
      <c r="R15" s="212"/>
      <c r="S15" s="212"/>
      <c r="X15" s="212"/>
      <c r="Y15" s="212"/>
      <c r="Z15" s="212"/>
      <c r="AA15" s="212"/>
      <c r="AB15" s="212"/>
      <c r="AC15" s="212"/>
      <c r="AD15" s="212"/>
      <c r="AE15" s="212"/>
    </row>
    <row r="16" spans="1:31">
      <c r="A16" s="23" t="str">
        <f>HLOOKUP(INDICE!$F$2,Nombres!$C$3:$D$636,178,FALSE)</f>
        <v>Mexico  FC (Foreing currency)</v>
      </c>
      <c r="B16" s="215">
        <v>5.4399999999999997E-2</v>
      </c>
      <c r="C16" s="215">
        <v>5.2499999999999998E-2</v>
      </c>
      <c r="D16" s="215">
        <v>5.2400000000000002E-2</v>
      </c>
      <c r="E16" s="215">
        <v>4.9799999999999997E-2</v>
      </c>
      <c r="F16" s="215">
        <v>4.7879579531033015E-2</v>
      </c>
      <c r="G16" s="215">
        <v>4.5395130274570608E-2</v>
      </c>
      <c r="H16" s="215">
        <v>0</v>
      </c>
      <c r="I16" s="215">
        <v>0</v>
      </c>
      <c r="O16" s="212"/>
      <c r="P16" s="212"/>
      <c r="Q16" s="212"/>
      <c r="R16" s="212"/>
      <c r="S16" s="212"/>
      <c r="X16" s="212"/>
      <c r="Y16" s="212"/>
      <c r="Z16" s="212"/>
      <c r="AA16" s="212"/>
      <c r="AB16" s="212"/>
      <c r="AC16" s="212"/>
      <c r="AD16" s="212"/>
      <c r="AE16" s="212"/>
    </row>
    <row r="17" spans="1:31">
      <c r="A17" s="121"/>
      <c r="B17" s="214"/>
      <c r="C17" s="214"/>
      <c r="D17" s="214"/>
      <c r="E17" s="214"/>
      <c r="F17" s="214"/>
      <c r="G17" s="214"/>
      <c r="H17" s="214"/>
      <c r="I17" s="214"/>
      <c r="O17" s="212"/>
      <c r="P17" s="212"/>
      <c r="Q17" s="212"/>
      <c r="R17" s="212"/>
      <c r="S17" s="212"/>
      <c r="X17" s="212"/>
      <c r="Y17" s="212"/>
      <c r="Z17" s="212"/>
      <c r="AA17" s="212"/>
      <c r="AB17" s="212"/>
      <c r="AC17" s="212"/>
      <c r="AD17" s="212"/>
      <c r="AE17" s="212"/>
    </row>
    <row r="18" spans="1:31" ht="14.5">
      <c r="A18" s="22" t="str">
        <f>HLOOKUP(INDICE!$F$2,Nombres!$C$3:$D$636,173,FALSE)</f>
        <v>Lending Yield</v>
      </c>
      <c r="B18" s="210">
        <v>0.37759999999999999</v>
      </c>
      <c r="C18" s="210">
        <v>0.37559999999999999</v>
      </c>
      <c r="D18" s="210">
        <v>0.36530000000000001</v>
      </c>
      <c r="E18" s="210">
        <v>0.34899999999999998</v>
      </c>
      <c r="F18" s="210">
        <v>0.33717293388475311</v>
      </c>
      <c r="G18" s="210">
        <v>0.33940564783479238</v>
      </c>
      <c r="H18" s="210">
        <v>0</v>
      </c>
      <c r="I18" s="210">
        <v>0</v>
      </c>
      <c r="J18" s="211"/>
      <c r="K18" s="211"/>
      <c r="L18" s="211"/>
      <c r="M18" s="211"/>
      <c r="O18" s="212"/>
      <c r="P18" s="212"/>
      <c r="Q18" s="212"/>
      <c r="R18" s="212"/>
      <c r="S18" s="212"/>
      <c r="X18" s="212"/>
      <c r="Y18" s="212"/>
      <c r="Z18" s="212"/>
      <c r="AA18" s="212"/>
      <c r="AB18" s="212"/>
      <c r="AC18" s="212"/>
      <c r="AD18" s="212"/>
      <c r="AE18" s="212"/>
    </row>
    <row r="19" spans="1:31" ht="14.5">
      <c r="A19" s="22" t="str">
        <f>HLOOKUP(INDICE!$F$2,Nombres!$C$3:$D$636,174,FALSE)</f>
        <v>Cost of deposits</v>
      </c>
      <c r="B19" s="210">
        <v>-0.36299999999999999</v>
      </c>
      <c r="C19" s="210">
        <v>-0.36530000000000001</v>
      </c>
      <c r="D19" s="210">
        <v>-0.3553</v>
      </c>
      <c r="E19" s="210">
        <v>-0.33229999999999998</v>
      </c>
      <c r="F19" s="210">
        <v>-0.31700937654990136</v>
      </c>
      <c r="G19" s="210">
        <v>-0.33560565003777626</v>
      </c>
      <c r="H19" s="210">
        <v>0</v>
      </c>
      <c r="I19" s="210">
        <v>0</v>
      </c>
      <c r="J19" s="211"/>
      <c r="K19" s="211"/>
      <c r="L19" s="211"/>
      <c r="M19" s="211"/>
      <c r="O19" s="212"/>
      <c r="P19" s="212"/>
      <c r="Q19" s="212"/>
      <c r="R19" s="212"/>
      <c r="S19" s="212"/>
      <c r="X19" s="212"/>
      <c r="Y19" s="212"/>
      <c r="Z19" s="212"/>
      <c r="AA19" s="212"/>
      <c r="AB19" s="212"/>
      <c r="AC19" s="212"/>
      <c r="AD19" s="212"/>
      <c r="AE19" s="212"/>
    </row>
    <row r="20" spans="1:31" ht="14.5">
      <c r="A20" s="23" t="str">
        <f>HLOOKUP(INDICE!$F$2,Nombres!$C$3:$D$636,179,FALSE)</f>
        <v>Turkey TRY</v>
      </c>
      <c r="B20" s="213">
        <v>1.46E-2</v>
      </c>
      <c r="C20" s="213">
        <v>1.04E-2</v>
      </c>
      <c r="D20" s="213">
        <v>0.01</v>
      </c>
      <c r="E20" s="213">
        <v>1.6799999999999999E-2</v>
      </c>
      <c r="F20" s="213">
        <v>2.0163557334851756E-2</v>
      </c>
      <c r="G20" s="213">
        <v>3.7999977970161192E-3</v>
      </c>
      <c r="H20" s="213">
        <v>0</v>
      </c>
      <c r="I20" s="213">
        <v>0</v>
      </c>
      <c r="J20" s="211"/>
      <c r="K20" s="211"/>
      <c r="L20" s="211"/>
      <c r="M20" s="211"/>
      <c r="O20" s="212"/>
      <c r="P20" s="212"/>
      <c r="Q20" s="212"/>
      <c r="R20" s="212"/>
      <c r="S20" s="212"/>
      <c r="X20" s="212"/>
      <c r="Y20" s="212"/>
      <c r="Z20" s="212"/>
      <c r="AA20" s="212"/>
      <c r="AB20" s="212"/>
      <c r="AC20" s="212"/>
      <c r="AD20" s="212"/>
      <c r="AE20" s="212"/>
    </row>
    <row r="21" spans="1:31" ht="14.5">
      <c r="A21" s="23"/>
      <c r="B21" s="213"/>
      <c r="C21" s="213"/>
      <c r="D21" s="213"/>
      <c r="E21" s="213"/>
      <c r="F21" s="213"/>
      <c r="G21" s="213"/>
      <c r="H21" s="213"/>
      <c r="I21" s="213"/>
      <c r="J21" s="211"/>
      <c r="K21" s="211"/>
      <c r="L21" s="211"/>
      <c r="M21" s="211"/>
      <c r="O21" s="212"/>
      <c r="P21" s="212"/>
      <c r="Q21" s="212"/>
      <c r="R21" s="212"/>
      <c r="S21" s="212"/>
      <c r="X21" s="212"/>
      <c r="Y21" s="212"/>
      <c r="Z21" s="212"/>
      <c r="AA21" s="212"/>
      <c r="AB21" s="212"/>
      <c r="AC21" s="212"/>
      <c r="AD21" s="212"/>
      <c r="AE21" s="212"/>
    </row>
    <row r="22" spans="1:31" ht="14.5">
      <c r="A22" s="22" t="str">
        <f>HLOOKUP(INDICE!$F$2,Nombres!$C$3:$D$636,173,FALSE)</f>
        <v>Lending Yield</v>
      </c>
      <c r="B22" s="216">
        <v>8.1299999999999997E-2</v>
      </c>
      <c r="C22" s="216">
        <v>8.3099999999999993E-2</v>
      </c>
      <c r="D22" s="216">
        <v>8.2299999999999998E-2</v>
      </c>
      <c r="E22" s="216">
        <v>7.8299999999999995E-2</v>
      </c>
      <c r="F22" s="216">
        <v>7.5733400226251898E-2</v>
      </c>
      <c r="G22" s="216">
        <v>7.5734672447978185E-2</v>
      </c>
      <c r="H22" s="216">
        <v>0</v>
      </c>
      <c r="I22" s="216">
        <v>0</v>
      </c>
      <c r="J22" s="211"/>
      <c r="K22" s="211"/>
      <c r="L22" s="211"/>
      <c r="M22" s="211"/>
      <c r="O22" s="212"/>
      <c r="P22" s="212"/>
      <c r="Q22" s="212"/>
      <c r="R22" s="212"/>
      <c r="S22" s="212"/>
      <c r="X22" s="212"/>
      <c r="Y22" s="212"/>
      <c r="Z22" s="212"/>
      <c r="AA22" s="212"/>
      <c r="AB22" s="212"/>
      <c r="AC22" s="212"/>
      <c r="AD22" s="212"/>
      <c r="AE22" s="212"/>
    </row>
    <row r="23" spans="1:31" ht="14.5">
      <c r="A23" s="22" t="str">
        <f>HLOOKUP(INDICE!$F$2,Nombres!$C$3:$D$636,174,FALSE)</f>
        <v>Cost of deposits</v>
      </c>
      <c r="B23" s="216">
        <v>-2.8E-3</v>
      </c>
      <c r="C23" s="216">
        <v>-4.1000000000000003E-3</v>
      </c>
      <c r="D23" s="216">
        <v>-3.5000000000000001E-3</v>
      </c>
      <c r="E23" s="216">
        <v>-2.7000000000000001E-3</v>
      </c>
      <c r="F23" s="216">
        <v>-2.2449676376633744E-3</v>
      </c>
      <c r="G23" s="216">
        <v>-3.9011981896205196E-3</v>
      </c>
      <c r="H23" s="216">
        <v>0</v>
      </c>
      <c r="I23" s="216">
        <v>0</v>
      </c>
      <c r="J23" s="211"/>
      <c r="K23" s="211"/>
      <c r="L23" s="211"/>
      <c r="M23" s="211"/>
      <c r="O23" s="212"/>
      <c r="P23" s="212"/>
      <c r="Q23" s="212"/>
      <c r="R23" s="212"/>
      <c r="S23" s="212"/>
      <c r="X23" s="212"/>
      <c r="Y23" s="212"/>
      <c r="Z23" s="212"/>
      <c r="AA23" s="212"/>
      <c r="AB23" s="212"/>
      <c r="AC23" s="212"/>
      <c r="AD23" s="212"/>
      <c r="AE23" s="212"/>
    </row>
    <row r="24" spans="1:31" ht="14.5">
      <c r="A24" s="23" t="str">
        <f>HLOOKUP(INDICE!$F$2,Nombres!$C$3:$D$636,180,FALSE)</f>
        <v>Turkey FC (Foreing currency)</v>
      </c>
      <c r="B24" s="213">
        <v>7.85E-2</v>
      </c>
      <c r="C24" s="213">
        <v>7.9000000000000001E-2</v>
      </c>
      <c r="D24" s="213">
        <v>7.8799999999999995E-2</v>
      </c>
      <c r="E24" s="213">
        <v>7.5700000000000003E-2</v>
      </c>
      <c r="F24" s="213">
        <v>7.3488432588588518E-2</v>
      </c>
      <c r="G24" s="213">
        <v>7.1833474258357663E-2</v>
      </c>
      <c r="H24" s="213">
        <v>0</v>
      </c>
      <c r="I24" s="213">
        <v>0</v>
      </c>
      <c r="J24" s="211"/>
      <c r="K24" s="211"/>
      <c r="L24" s="211"/>
      <c r="M24" s="211"/>
      <c r="O24" s="212"/>
      <c r="P24" s="212"/>
      <c r="Q24" s="212"/>
      <c r="R24" s="212"/>
      <c r="S24" s="212"/>
      <c r="X24" s="212"/>
      <c r="Y24" s="212"/>
      <c r="Z24" s="212"/>
      <c r="AA24" s="212"/>
      <c r="AB24" s="212"/>
      <c r="AC24" s="212"/>
      <c r="AD24" s="212"/>
      <c r="AE24" s="212"/>
    </row>
    <row r="25" spans="1:31">
      <c r="A25" s="121"/>
      <c r="B25" s="214"/>
      <c r="C25" s="214"/>
      <c r="D25" s="214"/>
      <c r="E25" s="214"/>
      <c r="F25" s="214"/>
      <c r="G25" s="214"/>
      <c r="H25" s="214"/>
      <c r="I25" s="214"/>
      <c r="O25" s="212"/>
      <c r="P25" s="212"/>
      <c r="Q25" s="212"/>
      <c r="R25" s="212"/>
      <c r="S25" s="212"/>
      <c r="X25" s="212"/>
      <c r="Y25" s="212"/>
      <c r="Z25" s="212"/>
      <c r="AA25" s="212"/>
      <c r="AB25" s="212"/>
      <c r="AC25" s="212"/>
      <c r="AD25" s="212"/>
      <c r="AE25" s="212"/>
    </row>
    <row r="26" spans="1:31" ht="14.5">
      <c r="A26" s="22" t="str">
        <f>HLOOKUP(INDICE!$F$2,Nombres!$C$3:$D$636,173,FALSE)</f>
        <v>Lending Yield</v>
      </c>
      <c r="B26" s="210">
        <v>0.29959999999999998</v>
      </c>
      <c r="C26" s="210">
        <v>0.30980000000000002</v>
      </c>
      <c r="D26" s="210">
        <v>0.32369999999999999</v>
      </c>
      <c r="E26" s="210">
        <v>0.34570000000000001</v>
      </c>
      <c r="F26" s="210">
        <v>0.30395123505946203</v>
      </c>
      <c r="G26" s="210">
        <v>0.27283585543615824</v>
      </c>
      <c r="H26" s="210">
        <v>0</v>
      </c>
      <c r="I26" s="210">
        <v>0</v>
      </c>
      <c r="J26" s="211"/>
      <c r="K26" s="211"/>
      <c r="L26" s="211"/>
      <c r="M26" s="211"/>
      <c r="O26" s="212"/>
      <c r="P26" s="212"/>
      <c r="Q26" s="212"/>
      <c r="R26" s="212"/>
      <c r="S26" s="212"/>
      <c r="X26" s="212"/>
      <c r="Y26" s="212"/>
      <c r="Z26" s="212"/>
      <c r="AA26" s="212"/>
      <c r="AB26" s="212"/>
      <c r="AC26" s="212"/>
      <c r="AD26" s="212"/>
      <c r="AE26" s="212"/>
    </row>
    <row r="27" spans="1:31" ht="14.5">
      <c r="A27" s="22" t="str">
        <f>HLOOKUP(INDICE!$F$2,Nombres!$C$3:$D$636,174,FALSE)</f>
        <v>Cost of deposits</v>
      </c>
      <c r="B27" s="210">
        <v>-0.12820000000000001</v>
      </c>
      <c r="C27" s="210">
        <v>-0.14249999999999999</v>
      </c>
      <c r="D27" s="210">
        <v>-0.1835</v>
      </c>
      <c r="E27" s="210">
        <v>-0.17330000000000001</v>
      </c>
      <c r="F27" s="210">
        <v>-0.12980653720960619</v>
      </c>
      <c r="G27" s="210">
        <v>-0.10157316764012657</v>
      </c>
      <c r="H27" s="210">
        <v>0</v>
      </c>
      <c r="I27" s="210">
        <v>0</v>
      </c>
      <c r="J27" s="211"/>
      <c r="K27" s="211"/>
      <c r="L27" s="211"/>
      <c r="M27" s="211"/>
      <c r="O27" s="212"/>
      <c r="P27" s="212"/>
      <c r="Q27" s="212"/>
      <c r="R27" s="212"/>
      <c r="S27" s="212"/>
      <c r="X27" s="212"/>
      <c r="Y27" s="212"/>
      <c r="Z27" s="212"/>
      <c r="AA27" s="212"/>
      <c r="AB27" s="212"/>
      <c r="AC27" s="212"/>
      <c r="AD27" s="212"/>
      <c r="AE27" s="212"/>
    </row>
    <row r="28" spans="1:31" ht="14.5">
      <c r="A28" s="23" t="str">
        <f>HLOOKUP(INDICE!$F$2,Nombres!$C$3:$D$636,181,FALSE)</f>
        <v>Argentina</v>
      </c>
      <c r="B28" s="217">
        <v>0.17130000000000001</v>
      </c>
      <c r="C28" s="217">
        <v>0.1673</v>
      </c>
      <c r="D28" s="217">
        <v>0.14019999999999999</v>
      </c>
      <c r="E28" s="217">
        <v>0.1724</v>
      </c>
      <c r="F28" s="217">
        <v>0.17414469784985584</v>
      </c>
      <c r="G28" s="217">
        <v>0.17126268779603165</v>
      </c>
      <c r="H28" s="217">
        <v>0</v>
      </c>
      <c r="I28" s="217">
        <v>0</v>
      </c>
      <c r="J28" s="211"/>
      <c r="K28" s="211"/>
      <c r="L28" s="211"/>
      <c r="M28" s="211"/>
      <c r="O28" s="212"/>
      <c r="P28" s="212"/>
      <c r="Q28" s="212"/>
      <c r="R28" s="212"/>
      <c r="S28" s="212"/>
      <c r="X28" s="212"/>
      <c r="Y28" s="212"/>
      <c r="Z28" s="212"/>
      <c r="AA28" s="212"/>
      <c r="AB28" s="212"/>
      <c r="AC28" s="212"/>
      <c r="AD28" s="212"/>
      <c r="AE28" s="212"/>
    </row>
    <row r="29" spans="1:31">
      <c r="A29" s="121"/>
      <c r="B29" s="214"/>
      <c r="C29" s="214"/>
      <c r="D29" s="214"/>
      <c r="E29" s="214"/>
      <c r="F29" s="214"/>
      <c r="G29" s="214"/>
      <c r="H29" s="214"/>
      <c r="I29" s="214"/>
      <c r="O29" s="212"/>
      <c r="P29" s="212"/>
      <c r="Q29" s="212"/>
      <c r="R29" s="212"/>
      <c r="S29" s="212"/>
      <c r="X29" s="212"/>
      <c r="Y29" s="212"/>
      <c r="Z29" s="212"/>
      <c r="AA29" s="212"/>
      <c r="AB29" s="212"/>
      <c r="AC29" s="212"/>
      <c r="AD29" s="212"/>
      <c r="AE29" s="212"/>
    </row>
    <row r="30" spans="1:31" ht="14.5">
      <c r="A30" s="22" t="str">
        <f>HLOOKUP(INDICE!$F$2,Nombres!$C$3:$D$636,173,FALSE)</f>
        <v>Lending Yield</v>
      </c>
      <c r="B30" s="210">
        <v>0.1225</v>
      </c>
      <c r="C30" s="210">
        <v>0.1226</v>
      </c>
      <c r="D30" s="210">
        <v>0.12230000000000001</v>
      </c>
      <c r="E30" s="210">
        <v>0.123</v>
      </c>
      <c r="F30" s="210">
        <v>0.12489478040844321</v>
      </c>
      <c r="G30" s="210">
        <v>0.1317128793357579</v>
      </c>
      <c r="H30" s="210">
        <v>0</v>
      </c>
      <c r="I30" s="210">
        <v>0</v>
      </c>
      <c r="J30" s="211"/>
      <c r="K30" s="211"/>
      <c r="L30" s="211"/>
      <c r="M30" s="211"/>
      <c r="O30" s="212"/>
      <c r="P30" s="212"/>
      <c r="Q30" s="212"/>
      <c r="R30" s="212"/>
      <c r="S30" s="212"/>
      <c r="X30" s="212"/>
      <c r="Y30" s="212"/>
      <c r="Z30" s="212"/>
      <c r="AA30" s="212"/>
      <c r="AB30" s="212"/>
      <c r="AC30" s="212"/>
      <c r="AD30" s="212"/>
      <c r="AE30" s="212"/>
    </row>
    <row r="31" spans="1:31" ht="14.5">
      <c r="A31" s="22" t="str">
        <f>HLOOKUP(INDICE!$F$2,Nombres!$C$3:$D$636,174,FALSE)</f>
        <v>Cost of deposits</v>
      </c>
      <c r="B31" s="210">
        <v>-6.93E-2</v>
      </c>
      <c r="C31" s="210">
        <v>-6.6199999999999995E-2</v>
      </c>
      <c r="D31" s="210">
        <v>-6.4199999999999993E-2</v>
      </c>
      <c r="E31" s="210">
        <v>-6.1899999999999997E-2</v>
      </c>
      <c r="F31" s="210">
        <v>-6.4706411025104923E-2</v>
      </c>
      <c r="G31" s="210">
        <v>-7.1594787758027717E-2</v>
      </c>
      <c r="H31" s="210">
        <v>0</v>
      </c>
      <c r="I31" s="210">
        <v>0</v>
      </c>
      <c r="J31" s="211"/>
      <c r="K31" s="211"/>
      <c r="L31" s="211"/>
      <c r="M31" s="211"/>
      <c r="O31" s="212"/>
      <c r="P31" s="212"/>
      <c r="Q31" s="212"/>
      <c r="R31" s="212"/>
      <c r="S31" s="212"/>
      <c r="X31" s="212"/>
      <c r="Y31" s="212"/>
      <c r="Z31" s="212"/>
      <c r="AA31" s="212"/>
      <c r="AB31" s="212"/>
      <c r="AC31" s="212"/>
      <c r="AD31" s="212"/>
      <c r="AE31" s="212"/>
    </row>
    <row r="32" spans="1:31" ht="14.5">
      <c r="A32" s="23" t="str">
        <f>HLOOKUP(INDICE!$F$2,Nombres!$C$3:$D$636,182,FALSE)</f>
        <v>Colombia</v>
      </c>
      <c r="B32" s="213">
        <v>5.3100000000000001E-2</v>
      </c>
      <c r="C32" s="213">
        <v>5.6399999999999999E-2</v>
      </c>
      <c r="D32" s="213">
        <v>5.8099999999999999E-2</v>
      </c>
      <c r="E32" s="213">
        <v>6.1100000000000002E-2</v>
      </c>
      <c r="F32" s="213">
        <v>6.0188369383338283E-2</v>
      </c>
      <c r="G32" s="213">
        <v>6.0118091577730182E-2</v>
      </c>
      <c r="H32" s="213">
        <v>0</v>
      </c>
      <c r="I32" s="213">
        <v>0</v>
      </c>
      <c r="J32" s="211"/>
      <c r="K32" s="211"/>
      <c r="L32" s="211"/>
      <c r="M32" s="211"/>
      <c r="O32" s="212"/>
      <c r="P32" s="212"/>
      <c r="Q32" s="212"/>
      <c r="R32" s="212"/>
      <c r="S32" s="212"/>
      <c r="X32" s="212"/>
      <c r="Y32" s="212"/>
      <c r="Z32" s="212"/>
      <c r="AA32" s="212"/>
      <c r="AB32" s="212"/>
      <c r="AC32" s="212"/>
      <c r="AD32" s="212"/>
      <c r="AE32" s="212"/>
    </row>
    <row r="33" spans="1:31">
      <c r="A33" s="121"/>
      <c r="B33" s="214"/>
      <c r="C33" s="214"/>
      <c r="D33" s="214"/>
      <c r="E33" s="214"/>
      <c r="F33" s="214"/>
      <c r="G33" s="214"/>
      <c r="H33" s="214"/>
      <c r="I33" s="214"/>
      <c r="O33" s="212"/>
      <c r="P33" s="212"/>
      <c r="Q33" s="212"/>
      <c r="R33" s="212"/>
      <c r="S33" s="212"/>
      <c r="X33" s="212"/>
      <c r="Y33" s="212"/>
      <c r="Z33" s="212"/>
      <c r="AA33" s="212"/>
      <c r="AB33" s="212"/>
      <c r="AC33" s="212"/>
      <c r="AD33" s="212"/>
      <c r="AE33" s="212"/>
    </row>
    <row r="34" spans="1:31" ht="14.5">
      <c r="A34" s="22" t="str">
        <f>HLOOKUP(INDICE!$F$2,Nombres!$C$3:$D$636,173,FALSE)</f>
        <v>Lending Yield</v>
      </c>
      <c r="B34" s="210">
        <v>9.0399999999999994E-2</v>
      </c>
      <c r="C34" s="210">
        <v>9.0200000000000002E-2</v>
      </c>
      <c r="D34" s="210">
        <v>9.0200000000000002E-2</v>
      </c>
      <c r="E34" s="210">
        <v>9.1700000000000004E-2</v>
      </c>
      <c r="F34" s="210">
        <v>9.2766799602715402E-2</v>
      </c>
      <c r="G34" s="210">
        <v>9.0872410420937258E-2</v>
      </c>
      <c r="H34" s="210">
        <v>0</v>
      </c>
      <c r="I34" s="210">
        <v>0</v>
      </c>
      <c r="J34" s="211"/>
      <c r="K34" s="211"/>
      <c r="L34" s="211"/>
      <c r="M34" s="211"/>
      <c r="O34" s="212"/>
      <c r="P34" s="212"/>
      <c r="Q34" s="212"/>
      <c r="R34" s="212"/>
      <c r="S34" s="212"/>
      <c r="X34" s="212"/>
      <c r="Y34" s="212"/>
      <c r="Z34" s="212"/>
      <c r="AA34" s="212"/>
      <c r="AB34" s="212"/>
      <c r="AC34" s="212"/>
      <c r="AD34" s="212"/>
      <c r="AE34" s="212"/>
    </row>
    <row r="35" spans="1:31" ht="14.5">
      <c r="A35" s="22" t="str">
        <f>HLOOKUP(INDICE!$F$2,Nombres!$C$3:$D$636,174,FALSE)</f>
        <v>Cost of deposits</v>
      </c>
      <c r="B35" s="210">
        <v>-1.7999999999999999E-2</v>
      </c>
      <c r="C35" s="210">
        <v>-1.7999999999999999E-2</v>
      </c>
      <c r="D35" s="210">
        <v>-1.7600000000000001E-2</v>
      </c>
      <c r="E35" s="210">
        <v>-1.7600000000000001E-2</v>
      </c>
      <c r="F35" s="210">
        <v>-1.6526553919041367E-2</v>
      </c>
      <c r="G35" s="210">
        <v>-1.6144670020180486E-2</v>
      </c>
      <c r="H35" s="210">
        <v>0</v>
      </c>
      <c r="I35" s="210">
        <v>0</v>
      </c>
      <c r="J35" s="211"/>
      <c r="K35" s="211"/>
      <c r="L35" s="211"/>
      <c r="M35" s="211"/>
      <c r="O35" s="212"/>
      <c r="P35" s="212"/>
      <c r="Q35" s="212"/>
      <c r="R35" s="212"/>
      <c r="S35" s="212"/>
      <c r="X35" s="212"/>
      <c r="Y35" s="212"/>
      <c r="Z35" s="212"/>
      <c r="AA35" s="212"/>
      <c r="AB35" s="212"/>
      <c r="AC35" s="212"/>
      <c r="AD35" s="212"/>
      <c r="AE35" s="212"/>
    </row>
    <row r="36" spans="1:31" ht="14.5">
      <c r="A36" s="23" t="str">
        <f>HLOOKUP(INDICE!$F$2,Nombres!$C$3:$D$636,183,FALSE)</f>
        <v>Peru</v>
      </c>
      <c r="B36" s="213">
        <v>7.2400000000000006E-2</v>
      </c>
      <c r="C36" s="213">
        <v>7.22E-2</v>
      </c>
      <c r="D36" s="213">
        <v>7.2599999999999998E-2</v>
      </c>
      <c r="E36" s="213">
        <v>7.4200000000000002E-2</v>
      </c>
      <c r="F36" s="213">
        <v>7.6240245683674032E-2</v>
      </c>
      <c r="G36" s="213">
        <v>7.4727740400756776E-2</v>
      </c>
      <c r="H36" s="213">
        <v>0</v>
      </c>
      <c r="I36" s="213">
        <v>0</v>
      </c>
      <c r="J36" s="211"/>
      <c r="K36" s="211"/>
      <c r="L36" s="211"/>
      <c r="M36" s="211"/>
      <c r="O36" s="212"/>
      <c r="P36" s="212"/>
      <c r="Q36" s="212"/>
      <c r="R36" s="212"/>
      <c r="S36" s="212"/>
      <c r="X36" s="212"/>
      <c r="Y36" s="212"/>
      <c r="Z36" s="212"/>
      <c r="AA36" s="212"/>
      <c r="AB36" s="212"/>
      <c r="AC36" s="212"/>
      <c r="AD36" s="212"/>
      <c r="AE36" s="212"/>
    </row>
    <row r="37" spans="1:31">
      <c r="A37" s="121"/>
      <c r="B37" s="214"/>
      <c r="C37" s="214"/>
      <c r="D37" s="214"/>
      <c r="E37" s="214"/>
      <c r="F37" s="214"/>
      <c r="G37" s="214"/>
      <c r="H37" s="214"/>
      <c r="I37" s="214"/>
      <c r="O37" s="212"/>
      <c r="P37" s="212"/>
      <c r="Q37" s="212"/>
      <c r="R37" s="212"/>
      <c r="S37" s="212"/>
    </row>
    <row r="38" spans="1:31" ht="13">
      <c r="A38" s="218" t="str">
        <f>HLOOKUP(INDICE!$F$2,Nombres!$C$3:$D$636,184,FALSE)</f>
        <v>(*) Difference between lending yield on loans and cost of deposits from customers.</v>
      </c>
      <c r="B38" s="208"/>
      <c r="C38" s="208"/>
      <c r="D38" s="208"/>
      <c r="E38" s="208"/>
      <c r="F38" s="263"/>
      <c r="G38" s="263"/>
      <c r="H38" s="208"/>
      <c r="I38" s="208"/>
    </row>
    <row r="39" spans="1:31">
      <c r="A39" s="218"/>
      <c r="B39" s="208"/>
      <c r="C39" s="208"/>
      <c r="D39" s="208"/>
      <c r="E39" s="208"/>
      <c r="F39" s="208"/>
      <c r="G39" s="219"/>
      <c r="H39" s="208"/>
      <c r="I39" s="208"/>
    </row>
    <row r="40" spans="1:31">
      <c r="A40" s="218"/>
    </row>
    <row r="996" spans="1:1" ht="14.5">
      <c r="A996" t="s">
        <v>557</v>
      </c>
    </row>
  </sheetData>
  <mergeCells count="3">
    <mergeCell ref="B3:E3"/>
    <mergeCell ref="F3:I3"/>
    <mergeCell ref="F38:G38"/>
  </mergeCells>
  <pageMargins left="0.7" right="0.7" top="0.75" bottom="0.75" header="0.3" footer="0.3"/>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BEFEB-0E24-493C-89D0-9138A4427734}">
  <sheetPr>
    <tabColor theme="8"/>
  </sheetPr>
  <dimension ref="A1:L1005"/>
  <sheetViews>
    <sheetView showGridLines="0" workbookViewId="0">
      <selection activeCell="N23" sqref="N23:N24"/>
    </sheetView>
  </sheetViews>
  <sheetFormatPr baseColWidth="10" defaultColWidth="11.453125" defaultRowHeight="14.5"/>
  <cols>
    <col min="1" max="1" width="40.26953125" customWidth="1"/>
    <col min="2" max="2" width="15.81640625" customWidth="1"/>
    <col min="3" max="3" width="14.1796875" customWidth="1"/>
    <col min="4" max="4" width="14.54296875" customWidth="1"/>
    <col min="5" max="5" width="13.453125" customWidth="1"/>
    <col min="6" max="6" width="12.81640625" customWidth="1"/>
    <col min="7" max="7" width="11.453125" customWidth="1"/>
    <col min="8" max="9" width="11.453125" hidden="1" customWidth="1"/>
    <col min="10" max="10" width="11.453125" customWidth="1"/>
    <col min="11" max="12" width="14.7265625" customWidth="1"/>
    <col min="257" max="257" width="40.26953125" customWidth="1"/>
    <col min="258" max="258" width="15.81640625" customWidth="1"/>
    <col min="259" max="259" width="14.1796875" customWidth="1"/>
    <col min="260" max="260" width="14.54296875" customWidth="1"/>
    <col min="261" max="261" width="13.453125" customWidth="1"/>
    <col min="262" max="262" width="12.81640625" customWidth="1"/>
    <col min="263" max="266" width="11.453125" customWidth="1"/>
    <col min="267" max="268" width="14.7265625" bestFit="1" customWidth="1"/>
    <col min="513" max="513" width="40.26953125" customWidth="1"/>
    <col min="514" max="514" width="15.81640625" customWidth="1"/>
    <col min="515" max="515" width="14.1796875" customWidth="1"/>
    <col min="516" max="516" width="14.54296875" customWidth="1"/>
    <col min="517" max="517" width="13.453125" customWidth="1"/>
    <col min="518" max="518" width="12.81640625" customWidth="1"/>
    <col min="519" max="522" width="11.453125" customWidth="1"/>
    <col min="523" max="524" width="14.7265625" bestFit="1" customWidth="1"/>
    <col min="769" max="769" width="40.26953125" customWidth="1"/>
    <col min="770" max="770" width="15.81640625" customWidth="1"/>
    <col min="771" max="771" width="14.1796875" customWidth="1"/>
    <col min="772" max="772" width="14.54296875" customWidth="1"/>
    <col min="773" max="773" width="13.453125" customWidth="1"/>
    <col min="774" max="774" width="12.81640625" customWidth="1"/>
    <col min="775" max="778" width="11.453125" customWidth="1"/>
    <col min="779" max="780" width="14.7265625" bestFit="1" customWidth="1"/>
    <col min="1025" max="1025" width="40.26953125" customWidth="1"/>
    <col min="1026" max="1026" width="15.81640625" customWidth="1"/>
    <col min="1027" max="1027" width="14.1796875" customWidth="1"/>
    <col min="1028" max="1028" width="14.54296875" customWidth="1"/>
    <col min="1029" max="1029" width="13.453125" customWidth="1"/>
    <col min="1030" max="1030" width="12.81640625" customWidth="1"/>
    <col min="1031" max="1034" width="11.453125" customWidth="1"/>
    <col min="1035" max="1036" width="14.7265625" bestFit="1" customWidth="1"/>
    <col min="1281" max="1281" width="40.26953125" customWidth="1"/>
    <col min="1282" max="1282" width="15.81640625" customWidth="1"/>
    <col min="1283" max="1283" width="14.1796875" customWidth="1"/>
    <col min="1284" max="1284" width="14.54296875" customWidth="1"/>
    <col min="1285" max="1285" width="13.453125" customWidth="1"/>
    <col min="1286" max="1286" width="12.81640625" customWidth="1"/>
    <col min="1287" max="1290" width="11.453125" customWidth="1"/>
    <col min="1291" max="1292" width="14.7265625" bestFit="1" customWidth="1"/>
    <col min="1537" max="1537" width="40.26953125" customWidth="1"/>
    <col min="1538" max="1538" width="15.81640625" customWidth="1"/>
    <col min="1539" max="1539" width="14.1796875" customWidth="1"/>
    <col min="1540" max="1540" width="14.54296875" customWidth="1"/>
    <col min="1541" max="1541" width="13.453125" customWidth="1"/>
    <col min="1542" max="1542" width="12.81640625" customWidth="1"/>
    <col min="1543" max="1546" width="11.453125" customWidth="1"/>
    <col min="1547" max="1548" width="14.7265625" bestFit="1" customWidth="1"/>
    <col min="1793" max="1793" width="40.26953125" customWidth="1"/>
    <col min="1794" max="1794" width="15.81640625" customWidth="1"/>
    <col min="1795" max="1795" width="14.1796875" customWidth="1"/>
    <col min="1796" max="1796" width="14.54296875" customWidth="1"/>
    <col min="1797" max="1797" width="13.453125" customWidth="1"/>
    <col min="1798" max="1798" width="12.81640625" customWidth="1"/>
    <col min="1799" max="1802" width="11.453125" customWidth="1"/>
    <col min="1803" max="1804" width="14.7265625" bestFit="1" customWidth="1"/>
    <col min="2049" max="2049" width="40.26953125" customWidth="1"/>
    <col min="2050" max="2050" width="15.81640625" customWidth="1"/>
    <col min="2051" max="2051" width="14.1796875" customWidth="1"/>
    <col min="2052" max="2052" width="14.54296875" customWidth="1"/>
    <col min="2053" max="2053" width="13.453125" customWidth="1"/>
    <col min="2054" max="2054" width="12.81640625" customWidth="1"/>
    <col min="2055" max="2058" width="11.453125" customWidth="1"/>
    <col min="2059" max="2060" width="14.7265625" bestFit="1" customWidth="1"/>
    <col min="2305" max="2305" width="40.26953125" customWidth="1"/>
    <col min="2306" max="2306" width="15.81640625" customWidth="1"/>
    <col min="2307" max="2307" width="14.1796875" customWidth="1"/>
    <col min="2308" max="2308" width="14.54296875" customWidth="1"/>
    <col min="2309" max="2309" width="13.453125" customWidth="1"/>
    <col min="2310" max="2310" width="12.81640625" customWidth="1"/>
    <col min="2311" max="2314" width="11.453125" customWidth="1"/>
    <col min="2315" max="2316" width="14.7265625" bestFit="1" customWidth="1"/>
    <col min="2561" max="2561" width="40.26953125" customWidth="1"/>
    <col min="2562" max="2562" width="15.81640625" customWidth="1"/>
    <col min="2563" max="2563" width="14.1796875" customWidth="1"/>
    <col min="2564" max="2564" width="14.54296875" customWidth="1"/>
    <col min="2565" max="2565" width="13.453125" customWidth="1"/>
    <col min="2566" max="2566" width="12.81640625" customWidth="1"/>
    <col min="2567" max="2570" width="11.453125" customWidth="1"/>
    <col min="2571" max="2572" width="14.7265625" bestFit="1" customWidth="1"/>
    <col min="2817" max="2817" width="40.26953125" customWidth="1"/>
    <col min="2818" max="2818" width="15.81640625" customWidth="1"/>
    <col min="2819" max="2819" width="14.1796875" customWidth="1"/>
    <col min="2820" max="2820" width="14.54296875" customWidth="1"/>
    <col min="2821" max="2821" width="13.453125" customWidth="1"/>
    <col min="2822" max="2822" width="12.81640625" customWidth="1"/>
    <col min="2823" max="2826" width="11.453125" customWidth="1"/>
    <col min="2827" max="2828" width="14.7265625" bestFit="1" customWidth="1"/>
    <col min="3073" max="3073" width="40.26953125" customWidth="1"/>
    <col min="3074" max="3074" width="15.81640625" customWidth="1"/>
    <col min="3075" max="3075" width="14.1796875" customWidth="1"/>
    <col min="3076" max="3076" width="14.54296875" customWidth="1"/>
    <col min="3077" max="3077" width="13.453125" customWidth="1"/>
    <col min="3078" max="3078" width="12.81640625" customWidth="1"/>
    <col min="3079" max="3082" width="11.453125" customWidth="1"/>
    <col min="3083" max="3084" width="14.7265625" bestFit="1" customWidth="1"/>
    <col min="3329" max="3329" width="40.26953125" customWidth="1"/>
    <col min="3330" max="3330" width="15.81640625" customWidth="1"/>
    <col min="3331" max="3331" width="14.1796875" customWidth="1"/>
    <col min="3332" max="3332" width="14.54296875" customWidth="1"/>
    <col min="3333" max="3333" width="13.453125" customWidth="1"/>
    <col min="3334" max="3334" width="12.81640625" customWidth="1"/>
    <col min="3335" max="3338" width="11.453125" customWidth="1"/>
    <col min="3339" max="3340" width="14.7265625" bestFit="1" customWidth="1"/>
    <col min="3585" max="3585" width="40.26953125" customWidth="1"/>
    <col min="3586" max="3586" width="15.81640625" customWidth="1"/>
    <col min="3587" max="3587" width="14.1796875" customWidth="1"/>
    <col min="3588" max="3588" width="14.54296875" customWidth="1"/>
    <col min="3589" max="3589" width="13.453125" customWidth="1"/>
    <col min="3590" max="3590" width="12.81640625" customWidth="1"/>
    <col min="3591" max="3594" width="11.453125" customWidth="1"/>
    <col min="3595" max="3596" width="14.7265625" bestFit="1" customWidth="1"/>
    <col min="3841" max="3841" width="40.26953125" customWidth="1"/>
    <col min="3842" max="3842" width="15.81640625" customWidth="1"/>
    <col min="3843" max="3843" width="14.1796875" customWidth="1"/>
    <col min="3844" max="3844" width="14.54296875" customWidth="1"/>
    <col min="3845" max="3845" width="13.453125" customWidth="1"/>
    <col min="3846" max="3846" width="12.81640625" customWidth="1"/>
    <col min="3847" max="3850" width="11.453125" customWidth="1"/>
    <col min="3851" max="3852" width="14.7265625" bestFit="1" customWidth="1"/>
    <col min="4097" max="4097" width="40.26953125" customWidth="1"/>
    <col min="4098" max="4098" width="15.81640625" customWidth="1"/>
    <col min="4099" max="4099" width="14.1796875" customWidth="1"/>
    <col min="4100" max="4100" width="14.54296875" customWidth="1"/>
    <col min="4101" max="4101" width="13.453125" customWidth="1"/>
    <col min="4102" max="4102" width="12.81640625" customWidth="1"/>
    <col min="4103" max="4106" width="11.453125" customWidth="1"/>
    <col min="4107" max="4108" width="14.7265625" bestFit="1" customWidth="1"/>
    <col min="4353" max="4353" width="40.26953125" customWidth="1"/>
    <col min="4354" max="4354" width="15.81640625" customWidth="1"/>
    <col min="4355" max="4355" width="14.1796875" customWidth="1"/>
    <col min="4356" max="4356" width="14.54296875" customWidth="1"/>
    <col min="4357" max="4357" width="13.453125" customWidth="1"/>
    <col min="4358" max="4358" width="12.81640625" customWidth="1"/>
    <col min="4359" max="4362" width="11.453125" customWidth="1"/>
    <col min="4363" max="4364" width="14.7265625" bestFit="1" customWidth="1"/>
    <col min="4609" max="4609" width="40.26953125" customWidth="1"/>
    <col min="4610" max="4610" width="15.81640625" customWidth="1"/>
    <col min="4611" max="4611" width="14.1796875" customWidth="1"/>
    <col min="4612" max="4612" width="14.54296875" customWidth="1"/>
    <col min="4613" max="4613" width="13.453125" customWidth="1"/>
    <col min="4614" max="4614" width="12.81640625" customWidth="1"/>
    <col min="4615" max="4618" width="11.453125" customWidth="1"/>
    <col min="4619" max="4620" width="14.7265625" bestFit="1" customWidth="1"/>
    <col min="4865" max="4865" width="40.26953125" customWidth="1"/>
    <col min="4866" max="4866" width="15.81640625" customWidth="1"/>
    <col min="4867" max="4867" width="14.1796875" customWidth="1"/>
    <col min="4868" max="4868" width="14.54296875" customWidth="1"/>
    <col min="4869" max="4869" width="13.453125" customWidth="1"/>
    <col min="4870" max="4870" width="12.81640625" customWidth="1"/>
    <col min="4871" max="4874" width="11.453125" customWidth="1"/>
    <col min="4875" max="4876" width="14.7265625" bestFit="1" customWidth="1"/>
    <col min="5121" max="5121" width="40.26953125" customWidth="1"/>
    <col min="5122" max="5122" width="15.81640625" customWidth="1"/>
    <col min="5123" max="5123" width="14.1796875" customWidth="1"/>
    <col min="5124" max="5124" width="14.54296875" customWidth="1"/>
    <col min="5125" max="5125" width="13.453125" customWidth="1"/>
    <col min="5126" max="5126" width="12.81640625" customWidth="1"/>
    <col min="5127" max="5130" width="11.453125" customWidth="1"/>
    <col min="5131" max="5132" width="14.7265625" bestFit="1" customWidth="1"/>
    <col min="5377" max="5377" width="40.26953125" customWidth="1"/>
    <col min="5378" max="5378" width="15.81640625" customWidth="1"/>
    <col min="5379" max="5379" width="14.1796875" customWidth="1"/>
    <col min="5380" max="5380" width="14.54296875" customWidth="1"/>
    <col min="5381" max="5381" width="13.453125" customWidth="1"/>
    <col min="5382" max="5382" width="12.81640625" customWidth="1"/>
    <col min="5383" max="5386" width="11.453125" customWidth="1"/>
    <col min="5387" max="5388" width="14.7265625" bestFit="1" customWidth="1"/>
    <col min="5633" max="5633" width="40.26953125" customWidth="1"/>
    <col min="5634" max="5634" width="15.81640625" customWidth="1"/>
    <col min="5635" max="5635" width="14.1796875" customWidth="1"/>
    <col min="5636" max="5636" width="14.54296875" customWidth="1"/>
    <col min="5637" max="5637" width="13.453125" customWidth="1"/>
    <col min="5638" max="5638" width="12.81640625" customWidth="1"/>
    <col min="5639" max="5642" width="11.453125" customWidth="1"/>
    <col min="5643" max="5644" width="14.7265625" bestFit="1" customWidth="1"/>
    <col min="5889" max="5889" width="40.26953125" customWidth="1"/>
    <col min="5890" max="5890" width="15.81640625" customWidth="1"/>
    <col min="5891" max="5891" width="14.1796875" customWidth="1"/>
    <col min="5892" max="5892" width="14.54296875" customWidth="1"/>
    <col min="5893" max="5893" width="13.453125" customWidth="1"/>
    <col min="5894" max="5894" width="12.81640625" customWidth="1"/>
    <col min="5895" max="5898" width="11.453125" customWidth="1"/>
    <col min="5899" max="5900" width="14.7265625" bestFit="1" customWidth="1"/>
    <col min="6145" max="6145" width="40.26953125" customWidth="1"/>
    <col min="6146" max="6146" width="15.81640625" customWidth="1"/>
    <col min="6147" max="6147" width="14.1796875" customWidth="1"/>
    <col min="6148" max="6148" width="14.54296875" customWidth="1"/>
    <col min="6149" max="6149" width="13.453125" customWidth="1"/>
    <col min="6150" max="6150" width="12.81640625" customWidth="1"/>
    <col min="6151" max="6154" width="11.453125" customWidth="1"/>
    <col min="6155" max="6156" width="14.7265625" bestFit="1" customWidth="1"/>
    <col min="6401" max="6401" width="40.26953125" customWidth="1"/>
    <col min="6402" max="6402" width="15.81640625" customWidth="1"/>
    <col min="6403" max="6403" width="14.1796875" customWidth="1"/>
    <col min="6404" max="6404" width="14.54296875" customWidth="1"/>
    <col min="6405" max="6405" width="13.453125" customWidth="1"/>
    <col min="6406" max="6406" width="12.81640625" customWidth="1"/>
    <col min="6407" max="6410" width="11.453125" customWidth="1"/>
    <col min="6411" max="6412" width="14.7265625" bestFit="1" customWidth="1"/>
    <col min="6657" max="6657" width="40.26953125" customWidth="1"/>
    <col min="6658" max="6658" width="15.81640625" customWidth="1"/>
    <col min="6659" max="6659" width="14.1796875" customWidth="1"/>
    <col min="6660" max="6660" width="14.54296875" customWidth="1"/>
    <col min="6661" max="6661" width="13.453125" customWidth="1"/>
    <col min="6662" max="6662" width="12.81640625" customWidth="1"/>
    <col min="6663" max="6666" width="11.453125" customWidth="1"/>
    <col min="6667" max="6668" width="14.7265625" bestFit="1" customWidth="1"/>
    <col min="6913" max="6913" width="40.26953125" customWidth="1"/>
    <col min="6914" max="6914" width="15.81640625" customWidth="1"/>
    <col min="6915" max="6915" width="14.1796875" customWidth="1"/>
    <col min="6916" max="6916" width="14.54296875" customWidth="1"/>
    <col min="6917" max="6917" width="13.453125" customWidth="1"/>
    <col min="6918" max="6918" width="12.81640625" customWidth="1"/>
    <col min="6919" max="6922" width="11.453125" customWidth="1"/>
    <col min="6923" max="6924" width="14.7265625" bestFit="1" customWidth="1"/>
    <col min="7169" max="7169" width="40.26953125" customWidth="1"/>
    <col min="7170" max="7170" width="15.81640625" customWidth="1"/>
    <col min="7171" max="7171" width="14.1796875" customWidth="1"/>
    <col min="7172" max="7172" width="14.54296875" customWidth="1"/>
    <col min="7173" max="7173" width="13.453125" customWidth="1"/>
    <col min="7174" max="7174" width="12.81640625" customWidth="1"/>
    <col min="7175" max="7178" width="11.453125" customWidth="1"/>
    <col min="7179" max="7180" width="14.7265625" bestFit="1" customWidth="1"/>
    <col min="7425" max="7425" width="40.26953125" customWidth="1"/>
    <col min="7426" max="7426" width="15.81640625" customWidth="1"/>
    <col min="7427" max="7427" width="14.1796875" customWidth="1"/>
    <col min="7428" max="7428" width="14.54296875" customWidth="1"/>
    <col min="7429" max="7429" width="13.453125" customWidth="1"/>
    <col min="7430" max="7430" width="12.81640625" customWidth="1"/>
    <col min="7431" max="7434" width="11.453125" customWidth="1"/>
    <col min="7435" max="7436" width="14.7265625" bestFit="1" customWidth="1"/>
    <col min="7681" max="7681" width="40.26953125" customWidth="1"/>
    <col min="7682" max="7682" width="15.81640625" customWidth="1"/>
    <col min="7683" max="7683" width="14.1796875" customWidth="1"/>
    <col min="7684" max="7684" width="14.54296875" customWidth="1"/>
    <col min="7685" max="7685" width="13.453125" customWidth="1"/>
    <col min="7686" max="7686" width="12.81640625" customWidth="1"/>
    <col min="7687" max="7690" width="11.453125" customWidth="1"/>
    <col min="7691" max="7692" width="14.7265625" bestFit="1" customWidth="1"/>
    <col min="7937" max="7937" width="40.26953125" customWidth="1"/>
    <col min="7938" max="7938" width="15.81640625" customWidth="1"/>
    <col min="7939" max="7939" width="14.1796875" customWidth="1"/>
    <col min="7940" max="7940" width="14.54296875" customWidth="1"/>
    <col min="7941" max="7941" width="13.453125" customWidth="1"/>
    <col min="7942" max="7942" width="12.81640625" customWidth="1"/>
    <col min="7943" max="7946" width="11.453125" customWidth="1"/>
    <col min="7947" max="7948" width="14.7265625" bestFit="1" customWidth="1"/>
    <col min="8193" max="8193" width="40.26953125" customWidth="1"/>
    <col min="8194" max="8194" width="15.81640625" customWidth="1"/>
    <col min="8195" max="8195" width="14.1796875" customWidth="1"/>
    <col min="8196" max="8196" width="14.54296875" customWidth="1"/>
    <col min="8197" max="8197" width="13.453125" customWidth="1"/>
    <col min="8198" max="8198" width="12.81640625" customWidth="1"/>
    <col min="8199" max="8202" width="11.453125" customWidth="1"/>
    <col min="8203" max="8204" width="14.7265625" bestFit="1" customWidth="1"/>
    <col min="8449" max="8449" width="40.26953125" customWidth="1"/>
    <col min="8450" max="8450" width="15.81640625" customWidth="1"/>
    <col min="8451" max="8451" width="14.1796875" customWidth="1"/>
    <col min="8452" max="8452" width="14.54296875" customWidth="1"/>
    <col min="8453" max="8453" width="13.453125" customWidth="1"/>
    <col min="8454" max="8454" width="12.81640625" customWidth="1"/>
    <col min="8455" max="8458" width="11.453125" customWidth="1"/>
    <col min="8459" max="8460" width="14.7265625" bestFit="1" customWidth="1"/>
    <col min="8705" max="8705" width="40.26953125" customWidth="1"/>
    <col min="8706" max="8706" width="15.81640625" customWidth="1"/>
    <col min="8707" max="8707" width="14.1796875" customWidth="1"/>
    <col min="8708" max="8708" width="14.54296875" customWidth="1"/>
    <col min="8709" max="8709" width="13.453125" customWidth="1"/>
    <col min="8710" max="8710" width="12.81640625" customWidth="1"/>
    <col min="8711" max="8714" width="11.453125" customWidth="1"/>
    <col min="8715" max="8716" width="14.7265625" bestFit="1" customWidth="1"/>
    <col min="8961" max="8961" width="40.26953125" customWidth="1"/>
    <col min="8962" max="8962" width="15.81640625" customWidth="1"/>
    <col min="8963" max="8963" width="14.1796875" customWidth="1"/>
    <col min="8964" max="8964" width="14.54296875" customWidth="1"/>
    <col min="8965" max="8965" width="13.453125" customWidth="1"/>
    <col min="8966" max="8966" width="12.81640625" customWidth="1"/>
    <col min="8967" max="8970" width="11.453125" customWidth="1"/>
    <col min="8971" max="8972" width="14.7265625" bestFit="1" customWidth="1"/>
    <col min="9217" max="9217" width="40.26953125" customWidth="1"/>
    <col min="9218" max="9218" width="15.81640625" customWidth="1"/>
    <col min="9219" max="9219" width="14.1796875" customWidth="1"/>
    <col min="9220" max="9220" width="14.54296875" customWidth="1"/>
    <col min="9221" max="9221" width="13.453125" customWidth="1"/>
    <col min="9222" max="9222" width="12.81640625" customWidth="1"/>
    <col min="9223" max="9226" width="11.453125" customWidth="1"/>
    <col min="9227" max="9228" width="14.7265625" bestFit="1" customWidth="1"/>
    <col min="9473" max="9473" width="40.26953125" customWidth="1"/>
    <col min="9474" max="9474" width="15.81640625" customWidth="1"/>
    <col min="9475" max="9475" width="14.1796875" customWidth="1"/>
    <col min="9476" max="9476" width="14.54296875" customWidth="1"/>
    <col min="9477" max="9477" width="13.453125" customWidth="1"/>
    <col min="9478" max="9478" width="12.81640625" customWidth="1"/>
    <col min="9479" max="9482" width="11.453125" customWidth="1"/>
    <col min="9483" max="9484" width="14.7265625" bestFit="1" customWidth="1"/>
    <col min="9729" max="9729" width="40.26953125" customWidth="1"/>
    <col min="9730" max="9730" width="15.81640625" customWidth="1"/>
    <col min="9731" max="9731" width="14.1796875" customWidth="1"/>
    <col min="9732" max="9732" width="14.54296875" customWidth="1"/>
    <col min="9733" max="9733" width="13.453125" customWidth="1"/>
    <col min="9734" max="9734" width="12.81640625" customWidth="1"/>
    <col min="9735" max="9738" width="11.453125" customWidth="1"/>
    <col min="9739" max="9740" width="14.7265625" bestFit="1" customWidth="1"/>
    <col min="9985" max="9985" width="40.26953125" customWidth="1"/>
    <col min="9986" max="9986" width="15.81640625" customWidth="1"/>
    <col min="9987" max="9987" width="14.1796875" customWidth="1"/>
    <col min="9988" max="9988" width="14.54296875" customWidth="1"/>
    <col min="9989" max="9989" width="13.453125" customWidth="1"/>
    <col min="9990" max="9990" width="12.81640625" customWidth="1"/>
    <col min="9991" max="9994" width="11.453125" customWidth="1"/>
    <col min="9995" max="9996" width="14.7265625" bestFit="1" customWidth="1"/>
    <col min="10241" max="10241" width="40.26953125" customWidth="1"/>
    <col min="10242" max="10242" width="15.81640625" customWidth="1"/>
    <col min="10243" max="10243" width="14.1796875" customWidth="1"/>
    <col min="10244" max="10244" width="14.54296875" customWidth="1"/>
    <col min="10245" max="10245" width="13.453125" customWidth="1"/>
    <col min="10246" max="10246" width="12.81640625" customWidth="1"/>
    <col min="10247" max="10250" width="11.453125" customWidth="1"/>
    <col min="10251" max="10252" width="14.7265625" bestFit="1" customWidth="1"/>
    <col min="10497" max="10497" width="40.26953125" customWidth="1"/>
    <col min="10498" max="10498" width="15.81640625" customWidth="1"/>
    <col min="10499" max="10499" width="14.1796875" customWidth="1"/>
    <col min="10500" max="10500" width="14.54296875" customWidth="1"/>
    <col min="10501" max="10501" width="13.453125" customWidth="1"/>
    <col min="10502" max="10502" width="12.81640625" customWidth="1"/>
    <col min="10503" max="10506" width="11.453125" customWidth="1"/>
    <col min="10507" max="10508" width="14.7265625" bestFit="1" customWidth="1"/>
    <col min="10753" max="10753" width="40.26953125" customWidth="1"/>
    <col min="10754" max="10754" width="15.81640625" customWidth="1"/>
    <col min="10755" max="10755" width="14.1796875" customWidth="1"/>
    <col min="10756" max="10756" width="14.54296875" customWidth="1"/>
    <col min="10757" max="10757" width="13.453125" customWidth="1"/>
    <col min="10758" max="10758" width="12.81640625" customWidth="1"/>
    <col min="10759" max="10762" width="11.453125" customWidth="1"/>
    <col min="10763" max="10764" width="14.7265625" bestFit="1" customWidth="1"/>
    <col min="11009" max="11009" width="40.26953125" customWidth="1"/>
    <col min="11010" max="11010" width="15.81640625" customWidth="1"/>
    <col min="11011" max="11011" width="14.1796875" customWidth="1"/>
    <col min="11012" max="11012" width="14.54296875" customWidth="1"/>
    <col min="11013" max="11013" width="13.453125" customWidth="1"/>
    <col min="11014" max="11014" width="12.81640625" customWidth="1"/>
    <col min="11015" max="11018" width="11.453125" customWidth="1"/>
    <col min="11019" max="11020" width="14.7265625" bestFit="1" customWidth="1"/>
    <col min="11265" max="11265" width="40.26953125" customWidth="1"/>
    <col min="11266" max="11266" width="15.81640625" customWidth="1"/>
    <col min="11267" max="11267" width="14.1796875" customWidth="1"/>
    <col min="11268" max="11268" width="14.54296875" customWidth="1"/>
    <col min="11269" max="11269" width="13.453125" customWidth="1"/>
    <col min="11270" max="11270" width="12.81640625" customWidth="1"/>
    <col min="11271" max="11274" width="11.453125" customWidth="1"/>
    <col min="11275" max="11276" width="14.7265625" bestFit="1" customWidth="1"/>
    <col min="11521" max="11521" width="40.26953125" customWidth="1"/>
    <col min="11522" max="11522" width="15.81640625" customWidth="1"/>
    <col min="11523" max="11523" width="14.1796875" customWidth="1"/>
    <col min="11524" max="11524" width="14.54296875" customWidth="1"/>
    <col min="11525" max="11525" width="13.453125" customWidth="1"/>
    <col min="11526" max="11526" width="12.81640625" customWidth="1"/>
    <col min="11527" max="11530" width="11.453125" customWidth="1"/>
    <col min="11531" max="11532" width="14.7265625" bestFit="1" customWidth="1"/>
    <col min="11777" max="11777" width="40.26953125" customWidth="1"/>
    <col min="11778" max="11778" width="15.81640625" customWidth="1"/>
    <col min="11779" max="11779" width="14.1796875" customWidth="1"/>
    <col min="11780" max="11780" width="14.54296875" customWidth="1"/>
    <col min="11781" max="11781" width="13.453125" customWidth="1"/>
    <col min="11782" max="11782" width="12.81640625" customWidth="1"/>
    <col min="11783" max="11786" width="11.453125" customWidth="1"/>
    <col min="11787" max="11788" width="14.7265625" bestFit="1" customWidth="1"/>
    <col min="12033" max="12033" width="40.26953125" customWidth="1"/>
    <col min="12034" max="12034" width="15.81640625" customWidth="1"/>
    <col min="12035" max="12035" width="14.1796875" customWidth="1"/>
    <col min="12036" max="12036" width="14.54296875" customWidth="1"/>
    <col min="12037" max="12037" width="13.453125" customWidth="1"/>
    <col min="12038" max="12038" width="12.81640625" customWidth="1"/>
    <col min="12039" max="12042" width="11.453125" customWidth="1"/>
    <col min="12043" max="12044" width="14.7265625" bestFit="1" customWidth="1"/>
    <col min="12289" max="12289" width="40.26953125" customWidth="1"/>
    <col min="12290" max="12290" width="15.81640625" customWidth="1"/>
    <col min="12291" max="12291" width="14.1796875" customWidth="1"/>
    <col min="12292" max="12292" width="14.54296875" customWidth="1"/>
    <col min="12293" max="12293" width="13.453125" customWidth="1"/>
    <col min="12294" max="12294" width="12.81640625" customWidth="1"/>
    <col min="12295" max="12298" width="11.453125" customWidth="1"/>
    <col min="12299" max="12300" width="14.7265625" bestFit="1" customWidth="1"/>
    <col min="12545" max="12545" width="40.26953125" customWidth="1"/>
    <col min="12546" max="12546" width="15.81640625" customWidth="1"/>
    <col min="12547" max="12547" width="14.1796875" customWidth="1"/>
    <col min="12548" max="12548" width="14.54296875" customWidth="1"/>
    <col min="12549" max="12549" width="13.453125" customWidth="1"/>
    <col min="12550" max="12550" width="12.81640625" customWidth="1"/>
    <col min="12551" max="12554" width="11.453125" customWidth="1"/>
    <col min="12555" max="12556" width="14.7265625" bestFit="1" customWidth="1"/>
    <col min="12801" max="12801" width="40.26953125" customWidth="1"/>
    <col min="12802" max="12802" width="15.81640625" customWidth="1"/>
    <col min="12803" max="12803" width="14.1796875" customWidth="1"/>
    <col min="12804" max="12804" width="14.54296875" customWidth="1"/>
    <col min="12805" max="12805" width="13.453125" customWidth="1"/>
    <col min="12806" max="12806" width="12.81640625" customWidth="1"/>
    <col min="12807" max="12810" width="11.453125" customWidth="1"/>
    <col min="12811" max="12812" width="14.7265625" bestFit="1" customWidth="1"/>
    <col min="13057" max="13057" width="40.26953125" customWidth="1"/>
    <col min="13058" max="13058" width="15.81640625" customWidth="1"/>
    <col min="13059" max="13059" width="14.1796875" customWidth="1"/>
    <col min="13060" max="13060" width="14.54296875" customWidth="1"/>
    <col min="13061" max="13061" width="13.453125" customWidth="1"/>
    <col min="13062" max="13062" width="12.81640625" customWidth="1"/>
    <col min="13063" max="13066" width="11.453125" customWidth="1"/>
    <col min="13067" max="13068" width="14.7265625" bestFit="1" customWidth="1"/>
    <col min="13313" max="13313" width="40.26953125" customWidth="1"/>
    <col min="13314" max="13314" width="15.81640625" customWidth="1"/>
    <col min="13315" max="13315" width="14.1796875" customWidth="1"/>
    <col min="13316" max="13316" width="14.54296875" customWidth="1"/>
    <col min="13317" max="13317" width="13.453125" customWidth="1"/>
    <col min="13318" max="13318" width="12.81640625" customWidth="1"/>
    <col min="13319" max="13322" width="11.453125" customWidth="1"/>
    <col min="13323" max="13324" width="14.7265625" bestFit="1" customWidth="1"/>
    <col min="13569" max="13569" width="40.26953125" customWidth="1"/>
    <col min="13570" max="13570" width="15.81640625" customWidth="1"/>
    <col min="13571" max="13571" width="14.1796875" customWidth="1"/>
    <col min="13572" max="13572" width="14.54296875" customWidth="1"/>
    <col min="13573" max="13573" width="13.453125" customWidth="1"/>
    <col min="13574" max="13574" width="12.81640625" customWidth="1"/>
    <col min="13575" max="13578" width="11.453125" customWidth="1"/>
    <col min="13579" max="13580" width="14.7265625" bestFit="1" customWidth="1"/>
    <col min="13825" max="13825" width="40.26953125" customWidth="1"/>
    <col min="13826" max="13826" width="15.81640625" customWidth="1"/>
    <col min="13827" max="13827" width="14.1796875" customWidth="1"/>
    <col min="13828" max="13828" width="14.54296875" customWidth="1"/>
    <col min="13829" max="13829" width="13.453125" customWidth="1"/>
    <col min="13830" max="13830" width="12.81640625" customWidth="1"/>
    <col min="13831" max="13834" width="11.453125" customWidth="1"/>
    <col min="13835" max="13836" width="14.7265625" bestFit="1" customWidth="1"/>
    <col min="14081" max="14081" width="40.26953125" customWidth="1"/>
    <col min="14082" max="14082" width="15.81640625" customWidth="1"/>
    <col min="14083" max="14083" width="14.1796875" customWidth="1"/>
    <col min="14084" max="14084" width="14.54296875" customWidth="1"/>
    <col min="14085" max="14085" width="13.453125" customWidth="1"/>
    <col min="14086" max="14086" width="12.81640625" customWidth="1"/>
    <col min="14087" max="14090" width="11.453125" customWidth="1"/>
    <col min="14091" max="14092" width="14.7265625" bestFit="1" customWidth="1"/>
    <col min="14337" max="14337" width="40.26953125" customWidth="1"/>
    <col min="14338" max="14338" width="15.81640625" customWidth="1"/>
    <col min="14339" max="14339" width="14.1796875" customWidth="1"/>
    <col min="14340" max="14340" width="14.54296875" customWidth="1"/>
    <col min="14341" max="14341" width="13.453125" customWidth="1"/>
    <col min="14342" max="14342" width="12.81640625" customWidth="1"/>
    <col min="14343" max="14346" width="11.453125" customWidth="1"/>
    <col min="14347" max="14348" width="14.7265625" bestFit="1" customWidth="1"/>
    <col min="14593" max="14593" width="40.26953125" customWidth="1"/>
    <col min="14594" max="14594" width="15.81640625" customWidth="1"/>
    <col min="14595" max="14595" width="14.1796875" customWidth="1"/>
    <col min="14596" max="14596" width="14.54296875" customWidth="1"/>
    <col min="14597" max="14597" width="13.453125" customWidth="1"/>
    <col min="14598" max="14598" width="12.81640625" customWidth="1"/>
    <col min="14599" max="14602" width="11.453125" customWidth="1"/>
    <col min="14603" max="14604" width="14.7265625" bestFit="1" customWidth="1"/>
    <col min="14849" max="14849" width="40.26953125" customWidth="1"/>
    <col min="14850" max="14850" width="15.81640625" customWidth="1"/>
    <col min="14851" max="14851" width="14.1796875" customWidth="1"/>
    <col min="14852" max="14852" width="14.54296875" customWidth="1"/>
    <col min="14853" max="14853" width="13.453125" customWidth="1"/>
    <col min="14854" max="14854" width="12.81640625" customWidth="1"/>
    <col min="14855" max="14858" width="11.453125" customWidth="1"/>
    <col min="14859" max="14860" width="14.7265625" bestFit="1" customWidth="1"/>
    <col min="15105" max="15105" width="40.26953125" customWidth="1"/>
    <col min="15106" max="15106" width="15.81640625" customWidth="1"/>
    <col min="15107" max="15107" width="14.1796875" customWidth="1"/>
    <col min="15108" max="15108" width="14.54296875" customWidth="1"/>
    <col min="15109" max="15109" width="13.453125" customWidth="1"/>
    <col min="15110" max="15110" width="12.81640625" customWidth="1"/>
    <col min="15111" max="15114" width="11.453125" customWidth="1"/>
    <col min="15115" max="15116" width="14.7265625" bestFit="1" customWidth="1"/>
    <col min="15361" max="15361" width="40.26953125" customWidth="1"/>
    <col min="15362" max="15362" width="15.81640625" customWidth="1"/>
    <col min="15363" max="15363" width="14.1796875" customWidth="1"/>
    <col min="15364" max="15364" width="14.54296875" customWidth="1"/>
    <col min="15365" max="15365" width="13.453125" customWidth="1"/>
    <col min="15366" max="15366" width="12.81640625" customWidth="1"/>
    <col min="15367" max="15370" width="11.453125" customWidth="1"/>
    <col min="15371" max="15372" width="14.7265625" bestFit="1" customWidth="1"/>
    <col min="15617" max="15617" width="40.26953125" customWidth="1"/>
    <col min="15618" max="15618" width="15.81640625" customWidth="1"/>
    <col min="15619" max="15619" width="14.1796875" customWidth="1"/>
    <col min="15620" max="15620" width="14.54296875" customWidth="1"/>
    <col min="15621" max="15621" width="13.453125" customWidth="1"/>
    <col min="15622" max="15622" width="12.81640625" customWidth="1"/>
    <col min="15623" max="15626" width="11.453125" customWidth="1"/>
    <col min="15627" max="15628" width="14.7265625" bestFit="1" customWidth="1"/>
    <col min="15873" max="15873" width="40.26953125" customWidth="1"/>
    <col min="15874" max="15874" width="15.81640625" customWidth="1"/>
    <col min="15875" max="15875" width="14.1796875" customWidth="1"/>
    <col min="15876" max="15876" width="14.54296875" customWidth="1"/>
    <col min="15877" max="15877" width="13.453125" customWidth="1"/>
    <col min="15878" max="15878" width="12.81640625" customWidth="1"/>
    <col min="15879" max="15882" width="11.453125" customWidth="1"/>
    <col min="15883" max="15884" width="14.7265625" bestFit="1" customWidth="1"/>
    <col min="16129" max="16129" width="40.26953125" customWidth="1"/>
    <col min="16130" max="16130" width="15.81640625" customWidth="1"/>
    <col min="16131" max="16131" width="14.1796875" customWidth="1"/>
    <col min="16132" max="16132" width="14.54296875" customWidth="1"/>
    <col min="16133" max="16133" width="13.453125" customWidth="1"/>
    <col min="16134" max="16134" width="12.81640625" customWidth="1"/>
    <col min="16135" max="16138" width="11.453125" customWidth="1"/>
    <col min="16139" max="16140" width="14.7265625" bestFit="1" customWidth="1"/>
  </cols>
  <sheetData>
    <row r="1" spans="1:12" ht="17">
      <c r="A1" s="59" t="str">
        <f>HLOOKUP(INDICE!$F$2,Nombres!$C$3:$D$636,88,FALSE)</f>
        <v>Risk-weighted assets. Breakdown by business areas and main countries</v>
      </c>
      <c r="B1" s="179"/>
      <c r="C1" s="179"/>
      <c r="D1" s="60"/>
      <c r="E1" s="60"/>
      <c r="F1" s="60"/>
      <c r="G1" s="60"/>
      <c r="H1" s="60"/>
      <c r="I1" s="60"/>
    </row>
    <row r="2" spans="1:12">
      <c r="A2" s="9" t="str">
        <f>HLOOKUP(INDICE!$F$2,Nombres!$C$3:$D$636,32,FALSE)</f>
        <v>(Million euros)</v>
      </c>
      <c r="B2" s="79"/>
      <c r="C2" s="79"/>
      <c r="D2" s="57"/>
      <c r="E2" s="57"/>
      <c r="F2" s="57"/>
      <c r="G2" s="57"/>
      <c r="H2" s="57"/>
      <c r="I2" s="57"/>
    </row>
    <row r="3" spans="1:12" ht="15">
      <c r="A3" s="220"/>
      <c r="B3" s="79"/>
      <c r="C3" s="79"/>
      <c r="D3" s="57"/>
      <c r="E3" s="57"/>
      <c r="F3" s="57"/>
      <c r="G3" s="57"/>
      <c r="H3" s="57"/>
      <c r="I3" s="57"/>
    </row>
    <row r="4" spans="1:12" ht="15.75" customHeight="1">
      <c r="A4" s="63"/>
      <c r="B4" s="264" t="str">
        <f>HLOOKUP(INDICE!$F$2,Nombres!$C$3:$D$636,321,FALSE)</f>
        <v>CRD IV</v>
      </c>
      <c r="C4" s="264"/>
      <c r="D4" s="264"/>
      <c r="E4" s="264"/>
      <c r="F4" s="264"/>
      <c r="G4" s="264"/>
      <c r="H4" s="264"/>
      <c r="I4" s="264"/>
    </row>
    <row r="5" spans="1:12">
      <c r="A5" s="63"/>
      <c r="B5" s="221">
        <f>+España!B32</f>
        <v>45747</v>
      </c>
      <c r="C5" s="221">
        <f>+España!C32</f>
        <v>45838</v>
      </c>
      <c r="D5" s="221">
        <f>+España!D32</f>
        <v>45930</v>
      </c>
      <c r="E5" s="221">
        <f>+España!E32</f>
        <v>46022</v>
      </c>
      <c r="F5" s="221">
        <f>+España!F32</f>
        <v>46112</v>
      </c>
      <c r="G5" s="221">
        <f>+España!G32</f>
        <v>46203</v>
      </c>
      <c r="H5" s="221">
        <f>+España!H32</f>
        <v>46295</v>
      </c>
      <c r="I5" s="221">
        <f>+España!I32</f>
        <v>46387</v>
      </c>
      <c r="K5" s="222"/>
    </row>
    <row r="6" spans="1:12">
      <c r="A6" s="17" t="str">
        <f>HLOOKUP(INDICE!$F$2,Nombres!$C$3:$D$636,3,FALSE)</f>
        <v>BBVA Group</v>
      </c>
      <c r="B6" s="223">
        <v>395352.04800000001</v>
      </c>
      <c r="C6" s="223">
        <v>387050.68900000001</v>
      </c>
      <c r="D6" s="223">
        <v>395270.67000000051</v>
      </c>
      <c r="E6" s="223">
        <v>397240.52700000012</v>
      </c>
      <c r="F6" s="223">
        <v>408854.40979663463</v>
      </c>
      <c r="G6" s="223">
        <v>423497.43169999955</v>
      </c>
      <c r="H6" s="223">
        <v>0</v>
      </c>
      <c r="I6" s="223">
        <v>0</v>
      </c>
      <c r="K6" s="224"/>
      <c r="L6" s="225"/>
    </row>
    <row r="7" spans="1:12">
      <c r="A7" s="7" t="str">
        <f>HLOOKUP(INDICE!$F$2,Nombres!$C$3:$D$636,7,FALSE)</f>
        <v>Spain</v>
      </c>
      <c r="B7" s="70">
        <v>121215.42226994035</v>
      </c>
      <c r="C7" s="70">
        <v>120209.05817599637</v>
      </c>
      <c r="D7" s="70">
        <v>122021.77465133416</v>
      </c>
      <c r="E7" s="70">
        <v>119734.25952466657</v>
      </c>
      <c r="F7" s="70">
        <v>117751.86206595175</v>
      </c>
      <c r="G7" s="70">
        <v>120206.67349006065</v>
      </c>
      <c r="H7" s="70">
        <v>0</v>
      </c>
      <c r="I7" s="70">
        <v>0</v>
      </c>
      <c r="K7" s="224"/>
      <c r="L7" s="225"/>
    </row>
    <row r="8" spans="1:12">
      <c r="A8" s="7" t="str">
        <f>HLOOKUP(INDICE!$F$2,Nombres!$C$3:$D$636,11,FALSE)</f>
        <v>Mexico</v>
      </c>
      <c r="B8" s="70">
        <v>87157.892995929986</v>
      </c>
      <c r="C8" s="70">
        <v>88043.225723109994</v>
      </c>
      <c r="D8" s="70">
        <v>91559.656679858061</v>
      </c>
      <c r="E8" s="70">
        <v>82745.524858748991</v>
      </c>
      <c r="F8" s="70">
        <v>83745.291797775091</v>
      </c>
      <c r="G8" s="70">
        <v>87755.27786003903</v>
      </c>
      <c r="H8" s="70">
        <v>0</v>
      </c>
      <c r="I8" s="70">
        <v>0</v>
      </c>
      <c r="K8" s="224"/>
      <c r="L8" s="225"/>
    </row>
    <row r="9" spans="1:12">
      <c r="A9" s="7" t="str">
        <f>HLOOKUP(INDICE!$F$2,Nombres!$C$3:$D$636,12,FALSE)</f>
        <v xml:space="preserve">Turkey </v>
      </c>
      <c r="B9" s="70">
        <v>65982.115000000005</v>
      </c>
      <c r="C9" s="70">
        <v>66655.733999999997</v>
      </c>
      <c r="D9" s="70">
        <v>69983.151300062993</v>
      </c>
      <c r="E9" s="70">
        <v>71550.920060590026</v>
      </c>
      <c r="F9" s="70">
        <v>74170.974435334021</v>
      </c>
      <c r="G9" s="70">
        <v>77402.074966294022</v>
      </c>
      <c r="H9" s="70">
        <v>0</v>
      </c>
      <c r="I9" s="70">
        <v>0</v>
      </c>
      <c r="K9" s="224"/>
      <c r="L9" s="225"/>
    </row>
    <row r="10" spans="1:12">
      <c r="A10" s="7" t="str">
        <f>HLOOKUP(INDICE!$F$2,Nombres!$C$3:$D$636,13,FALSE)</f>
        <v>South America</v>
      </c>
      <c r="B10" s="70">
        <f t="shared" ref="B10:I10" si="0">+B11+B12+B13+B14+B15</f>
        <v>54978.741977998434</v>
      </c>
      <c r="C10" s="70">
        <f t="shared" si="0"/>
        <v>52735.491564597673</v>
      </c>
      <c r="D10" s="70">
        <f t="shared" si="0"/>
        <v>53543.786627913338</v>
      </c>
      <c r="E10" s="70">
        <f t="shared" si="0"/>
        <v>55912.070336454803</v>
      </c>
      <c r="F10" s="70">
        <f t="shared" si="0"/>
        <v>59234.796048286691</v>
      </c>
      <c r="G10" s="70">
        <f t="shared" si="0"/>
        <v>62486.620841527008</v>
      </c>
      <c r="H10" s="70">
        <f t="shared" si="0"/>
        <v>0</v>
      </c>
      <c r="I10" s="70">
        <f t="shared" si="0"/>
        <v>0</v>
      </c>
      <c r="K10" s="224"/>
      <c r="L10" s="225"/>
    </row>
    <row r="11" spans="1:12">
      <c r="A11" s="226" t="str">
        <f>HLOOKUP(INDICE!$F$2,Nombres!$C$3:$D$636,14,FALSE)</f>
        <v>Argentina</v>
      </c>
      <c r="B11" s="70">
        <v>11097.963</v>
      </c>
      <c r="C11" s="70">
        <v>11351.744001999999</v>
      </c>
      <c r="D11" s="70">
        <v>11068.213943058301</v>
      </c>
      <c r="E11" s="70">
        <v>10500.604627709003</v>
      </c>
      <c r="F11" s="70">
        <v>12114.738307143001</v>
      </c>
      <c r="G11" s="70">
        <v>12133.268147726003</v>
      </c>
      <c r="H11" s="70">
        <v>0</v>
      </c>
      <c r="I11" s="70">
        <v>0</v>
      </c>
      <c r="K11" s="224"/>
      <c r="L11" s="225"/>
    </row>
    <row r="12" spans="1:12">
      <c r="A12" s="226" t="str">
        <f>HLOOKUP(INDICE!$F$2,Nombres!$C$3:$D$636,15,FALSE)</f>
        <v>Chile</v>
      </c>
      <c r="B12" s="70">
        <v>2136.7779999999998</v>
      </c>
      <c r="C12" s="70">
        <v>2022.6510000000001</v>
      </c>
      <c r="D12" s="70">
        <v>2028.7976652509999</v>
      </c>
      <c r="E12" s="70">
        <v>2220.5752423220001</v>
      </c>
      <c r="F12" s="70">
        <v>2225.9343973489999</v>
      </c>
      <c r="G12" s="70">
        <v>2211.9807502600001</v>
      </c>
      <c r="H12" s="70">
        <v>0</v>
      </c>
      <c r="I12" s="70">
        <v>0</v>
      </c>
      <c r="K12" s="224"/>
      <c r="L12" s="225"/>
    </row>
    <row r="13" spans="1:12">
      <c r="A13" s="226" t="str">
        <f>HLOOKUP(INDICE!$F$2,Nombres!$C$3:$D$636,16,FALSE)</f>
        <v>Colombia</v>
      </c>
      <c r="B13" s="70">
        <v>18788.112995</v>
      </c>
      <c r="C13" s="70">
        <v>17428.376235400003</v>
      </c>
      <c r="D13" s="70">
        <v>18053.509943264005</v>
      </c>
      <c r="E13" s="70">
        <v>19171.351147871996</v>
      </c>
      <c r="F13" s="70">
        <v>20111.796371042597</v>
      </c>
      <c r="G13" s="70">
        <v>22134.499428747007</v>
      </c>
      <c r="H13" s="70">
        <v>0</v>
      </c>
      <c r="I13" s="70">
        <v>0</v>
      </c>
      <c r="K13" s="224"/>
      <c r="L13" s="225"/>
    </row>
    <row r="14" spans="1:12">
      <c r="A14" s="226" t="str">
        <f>HLOOKUP(INDICE!$F$2,Nombres!$C$3:$D$636,17,FALSE)</f>
        <v>Peru</v>
      </c>
      <c r="B14" s="70">
        <v>19269.773982998435</v>
      </c>
      <c r="C14" s="70">
        <v>18265.917327197665</v>
      </c>
      <c r="D14" s="70">
        <v>18675.809580758028</v>
      </c>
      <c r="E14" s="70">
        <v>19855.531475888805</v>
      </c>
      <c r="F14" s="70">
        <v>20201.711267369094</v>
      </c>
      <c r="G14" s="70">
        <v>21050.940996977995</v>
      </c>
      <c r="H14" s="70">
        <v>0</v>
      </c>
      <c r="I14" s="70">
        <v>0</v>
      </c>
      <c r="K14" s="224"/>
      <c r="L14" s="225"/>
    </row>
    <row r="15" spans="1:12">
      <c r="A15" s="226" t="str">
        <f>HLOOKUP(INDICE!$F$2,Nombres!$C$3:$D$636,89,FALSE)</f>
        <v>Resto of South América</v>
      </c>
      <c r="B15" s="70">
        <v>3686.114</v>
      </c>
      <c r="C15" s="70">
        <v>3666.8029999999999</v>
      </c>
      <c r="D15" s="70">
        <v>3717.4554955819995</v>
      </c>
      <c r="E15" s="70">
        <v>4164.0078426630007</v>
      </c>
      <c r="F15" s="70">
        <v>4580.6157053829993</v>
      </c>
      <c r="G15" s="70">
        <v>4955.9315178160023</v>
      </c>
      <c r="H15" s="70">
        <v>0</v>
      </c>
      <c r="I15" s="70">
        <v>0</v>
      </c>
      <c r="K15" s="224"/>
      <c r="L15" s="225"/>
    </row>
    <row r="16" spans="1:12">
      <c r="A16" s="227" t="str">
        <f>HLOOKUP(INDICE!$F$2,Nombres!$C$3:$D$636,263,FALSE)</f>
        <v>Rest of Business</v>
      </c>
      <c r="B16" s="70">
        <v>36801.948364137825</v>
      </c>
      <c r="C16" s="70">
        <v>38655.853019232854</v>
      </c>
      <c r="D16" s="70">
        <v>41433.385707989735</v>
      </c>
      <c r="E16" s="70">
        <v>46853.231897185731</v>
      </c>
      <c r="F16" s="70">
        <v>49627.113407185054</v>
      </c>
      <c r="G16" s="70">
        <v>54505.013832855067</v>
      </c>
      <c r="H16" s="70">
        <v>0</v>
      </c>
      <c r="I16" s="70">
        <v>0</v>
      </c>
      <c r="K16" s="224"/>
      <c r="L16" s="225"/>
    </row>
    <row r="17" spans="1:12">
      <c r="A17" s="7" t="str">
        <f>HLOOKUP(INDICE!$F$2,Nombres!$C$3:$D$636,272,FALSE)</f>
        <v>Corporate Center (1)</v>
      </c>
      <c r="B17" s="70">
        <f>+B6-B7-B8-B9-B11-B12-B13-B14-B15-B16</f>
        <v>29215.927391993428</v>
      </c>
      <c r="C17" s="70">
        <f>+C6-C7-C8-C9-C11-C12-C13-C14-C15-C16</f>
        <v>20751.326517063157</v>
      </c>
      <c r="D17" s="70">
        <f t="shared" ref="D17:I17" si="1">+D6-D7-D8-D9-D11-D12-D13-D14-D15-D16</f>
        <v>16728.91503284224</v>
      </c>
      <c r="E17" s="70">
        <f>+E6-E7-E8-E9-E11-E12-E13-E14-E15-E16</f>
        <v>20444.520322353957</v>
      </c>
      <c r="F17" s="70">
        <f t="shared" si="1"/>
        <v>24324.372042102012</v>
      </c>
      <c r="G17" s="70">
        <f t="shared" si="1"/>
        <v>21141.770709223754</v>
      </c>
      <c r="H17" s="70">
        <f t="shared" si="1"/>
        <v>0</v>
      </c>
      <c r="I17" s="70">
        <f t="shared" si="1"/>
        <v>0</v>
      </c>
      <c r="K17" s="224"/>
      <c r="L17" s="225"/>
    </row>
    <row r="18" spans="1:12">
      <c r="A18" s="7"/>
      <c r="B18" s="70"/>
      <c r="C18" s="70"/>
      <c r="D18" s="70"/>
      <c r="E18" s="70"/>
      <c r="F18" s="70"/>
      <c r="G18" s="70"/>
      <c r="H18" s="70"/>
      <c r="I18" s="70"/>
      <c r="K18" s="224"/>
      <c r="L18" s="225"/>
    </row>
    <row r="19" spans="1:12">
      <c r="A19" s="7"/>
      <c r="B19" s="70"/>
      <c r="C19" s="70"/>
      <c r="D19" s="70"/>
      <c r="E19" s="70"/>
      <c r="F19" s="70"/>
      <c r="G19" s="70"/>
      <c r="H19" s="70"/>
      <c r="I19" s="70"/>
      <c r="K19" s="224"/>
      <c r="L19" s="225"/>
    </row>
    <row r="20" spans="1:12">
      <c r="A20" s="7"/>
      <c r="C20" s="70"/>
      <c r="D20" s="70"/>
      <c r="E20" s="70"/>
      <c r="F20" s="70"/>
      <c r="G20" s="70"/>
      <c r="H20" s="70"/>
      <c r="I20" s="70"/>
      <c r="K20" s="224"/>
      <c r="L20" s="225"/>
    </row>
    <row r="21" spans="1:12">
      <c r="A21" s="7" t="str">
        <f>HLOOKUP(INDICE!$F$2,Nombres!$C$3:$D$636,320,FALSE)</f>
        <v>(*)The data for the current quarter is provisional</v>
      </c>
      <c r="K21" s="224"/>
      <c r="L21" s="225"/>
    </row>
    <row r="22" spans="1:12">
      <c r="A22" s="228"/>
      <c r="C22" s="70"/>
      <c r="D22" s="70"/>
      <c r="E22" s="70"/>
      <c r="F22" s="70"/>
      <c r="G22" s="70"/>
      <c r="H22" s="70"/>
      <c r="I22" s="82"/>
      <c r="K22" s="224"/>
      <c r="L22" s="225"/>
    </row>
    <row r="23" spans="1:12">
      <c r="A23" s="81"/>
      <c r="B23" s="229">
        <v>0</v>
      </c>
      <c r="C23" s="229">
        <v>0</v>
      </c>
      <c r="D23" s="229">
        <v>0</v>
      </c>
      <c r="E23" s="229">
        <v>0</v>
      </c>
      <c r="F23" s="229">
        <v>0</v>
      </c>
      <c r="G23" s="229">
        <v>0</v>
      </c>
      <c r="H23" s="229">
        <v>0</v>
      </c>
      <c r="I23" s="229">
        <v>0</v>
      </c>
      <c r="K23" s="224"/>
      <c r="L23" s="225"/>
    </row>
    <row r="24" spans="1:12">
      <c r="A24" s="7"/>
      <c r="B24" s="70"/>
      <c r="C24" s="70"/>
      <c r="D24" s="70"/>
      <c r="E24" s="70"/>
      <c r="F24" s="70"/>
      <c r="G24" s="70"/>
      <c r="H24" s="70"/>
      <c r="I24" s="70"/>
      <c r="K24" s="224"/>
      <c r="L24" s="225"/>
    </row>
    <row r="25" spans="1:12">
      <c r="A25" s="57"/>
      <c r="B25" s="57"/>
      <c r="C25" s="57"/>
      <c r="D25" s="57"/>
      <c r="E25" s="57"/>
      <c r="F25" s="57"/>
    </row>
    <row r="26" spans="1:12">
      <c r="A26" s="230"/>
      <c r="B26" s="229">
        <f t="shared" ref="B26:I26" si="2">+B6-SUM(B7:B9,B11:B17)</f>
        <v>0</v>
      </c>
      <c r="C26" s="229">
        <f t="shared" si="2"/>
        <v>0</v>
      </c>
      <c r="D26" s="229">
        <f t="shared" si="2"/>
        <v>0</v>
      </c>
      <c r="E26" s="229">
        <f t="shared" si="2"/>
        <v>0</v>
      </c>
      <c r="F26" s="229">
        <f t="shared" si="2"/>
        <v>0</v>
      </c>
      <c r="G26" s="229">
        <f t="shared" si="2"/>
        <v>0</v>
      </c>
      <c r="H26" s="229">
        <f t="shared" si="2"/>
        <v>0</v>
      </c>
      <c r="I26" s="229">
        <f t="shared" si="2"/>
        <v>0</v>
      </c>
    </row>
    <row r="27" spans="1:12">
      <c r="B27" s="68"/>
    </row>
    <row r="1005" spans="1:1">
      <c r="A1005" t="s">
        <v>557</v>
      </c>
    </row>
  </sheetData>
  <mergeCells count="1">
    <mergeCell ref="B4:I4"/>
  </mergeCells>
  <conditionalFormatting sqref="B23:I23">
    <cfRule type="cellIs" dxfId="12" priority="2" operator="notEqual">
      <formula>0</formula>
    </cfRule>
  </conditionalFormatting>
  <conditionalFormatting sqref="B26:I26">
    <cfRule type="cellIs" dxfId="11" priority="1" operator="notEqual">
      <formula>0</formula>
    </cfRule>
  </conditionalFormatting>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6290D-A1B6-48B7-A8F1-5EEC43894E46}">
  <sheetPr>
    <tabColor theme="8"/>
  </sheetPr>
  <dimension ref="A1:N995"/>
  <sheetViews>
    <sheetView showGridLines="0" zoomScale="85" zoomScaleNormal="85" workbookViewId="0">
      <pane xSplit="1" ySplit="5" topLeftCell="B23" activePane="bottomRight" state="frozen"/>
      <selection activeCell="N23" sqref="N23:N24"/>
      <selection pane="topRight" activeCell="N23" sqref="N23:N24"/>
      <selection pane="bottomLeft" activeCell="N23" sqref="N23:N24"/>
      <selection pane="bottomRight" activeCell="N23" sqref="N23:N24"/>
    </sheetView>
  </sheetViews>
  <sheetFormatPr baseColWidth="10" defaultColWidth="11.453125" defaultRowHeight="14.5"/>
  <cols>
    <col min="1" max="1" width="42.453125" style="233" customWidth="1"/>
    <col min="2" max="2" width="13.54296875" style="233" customWidth="1"/>
    <col min="3" max="4" width="11.453125" style="233"/>
    <col min="5" max="5" width="11.7265625" style="233" customWidth="1"/>
    <col min="6" max="6" width="11.453125" style="233"/>
    <col min="7" max="7" width="11.453125" style="233" customWidth="1"/>
    <col min="8" max="9" width="11.453125" style="233" hidden="1" customWidth="1"/>
    <col min="10" max="10" width="4.7265625" style="232" customWidth="1"/>
    <col min="11" max="11" width="11.453125" style="233"/>
    <col min="12" max="12" width="11.7265625" style="233" customWidth="1"/>
    <col min="13" max="13" width="15" style="233" customWidth="1"/>
    <col min="14" max="16384" width="11.453125" style="233"/>
  </cols>
  <sheetData>
    <row r="1" spans="1:14" ht="17">
      <c r="A1" s="16" t="str">
        <f>HLOOKUP(INDICE!$F$2,Nombres!$C$3:$D$636,113,FALSE)</f>
        <v>Breakdown of performing loans under management</v>
      </c>
      <c r="B1" s="231"/>
      <c r="C1" s="231"/>
      <c r="D1" s="231"/>
      <c r="E1" s="231"/>
      <c r="F1" s="231"/>
      <c r="G1" s="231"/>
      <c r="H1" s="231"/>
      <c r="I1" s="231"/>
      <c r="L1" s="14"/>
    </row>
    <row r="2" spans="1:14">
      <c r="A2" s="234" t="str">
        <f>HLOOKUP(INDICE!$F$2,Nombres!$C$3:$D$636,73,FALSE)</f>
        <v xml:space="preserve">(Constant million euros)    </v>
      </c>
      <c r="B2" s="14"/>
      <c r="C2" s="14"/>
      <c r="D2" s="14"/>
      <c r="E2" s="14"/>
      <c r="F2" s="14"/>
      <c r="L2" s="14"/>
    </row>
    <row r="3" spans="1:14">
      <c r="A3" s="235"/>
      <c r="B3" s="14"/>
      <c r="C3" s="14"/>
      <c r="D3" s="14"/>
      <c r="E3" s="14"/>
      <c r="F3" s="14"/>
      <c r="L3" s="14"/>
    </row>
    <row r="4" spans="1:14" ht="15.75" customHeight="1">
      <c r="A4" s="22"/>
      <c r="B4" s="265" t="str">
        <f>HLOOKUP(INDICE!$F$2,Nombres!$C$3:$D$636,7,FALSE)</f>
        <v>Spain</v>
      </c>
      <c r="C4" s="265"/>
      <c r="D4" s="265"/>
      <c r="E4" s="265"/>
      <c r="F4" s="265"/>
      <c r="G4" s="265"/>
      <c r="H4" s="265"/>
      <c r="I4" s="265"/>
    </row>
    <row r="5" spans="1:14">
      <c r="A5" s="236"/>
      <c r="B5" s="140">
        <f>+España!B32</f>
        <v>45747</v>
      </c>
      <c r="C5" s="140">
        <f>+España!C32</f>
        <v>45838</v>
      </c>
      <c r="D5" s="140">
        <f>+España!D32</f>
        <v>45930</v>
      </c>
      <c r="E5" s="140">
        <f>+España!E32</f>
        <v>46022</v>
      </c>
      <c r="F5" s="140">
        <f>+España!F32</f>
        <v>46112</v>
      </c>
      <c r="G5" s="140">
        <f>+España!G32</f>
        <v>46203</v>
      </c>
      <c r="H5" s="140">
        <f>+España!H32</f>
        <v>46295</v>
      </c>
      <c r="I5" s="140">
        <f>+España!I32</f>
        <v>46387</v>
      </c>
      <c r="L5" s="140"/>
    </row>
    <row r="6" spans="1:14">
      <c r="A6" s="12" t="str">
        <f>HLOOKUP(INDICE!$F$2,Nombres!$C$3:$D$636,209,FALSE)</f>
        <v>Mortages</v>
      </c>
      <c r="B6" s="237">
        <v>67145.177230650006</v>
      </c>
      <c r="C6" s="237">
        <v>67441.07275454</v>
      </c>
      <c r="D6" s="237">
        <v>67748.89013954009</v>
      </c>
      <c r="E6" s="237">
        <v>68613.016050580089</v>
      </c>
      <c r="F6" s="237">
        <v>69038.561829719896</v>
      </c>
      <c r="G6" s="237">
        <v>69518.545311789989</v>
      </c>
      <c r="H6" s="237">
        <v>0</v>
      </c>
      <c r="I6" s="237">
        <v>0</v>
      </c>
      <c r="J6" s="237"/>
      <c r="L6" s="237"/>
      <c r="N6" s="238"/>
    </row>
    <row r="7" spans="1:14">
      <c r="A7" s="12" t="str">
        <f>HLOOKUP(INDICE!$F$2,Nombres!$C$3:$D$636,210,FALSE)</f>
        <v>Consumer &amp; Credit Cards</v>
      </c>
      <c r="B7" s="237">
        <v>18895.046143109994</v>
      </c>
      <c r="C7" s="237">
        <v>19301.463996739993</v>
      </c>
      <c r="D7" s="237">
        <v>19725.93905603002</v>
      </c>
      <c r="E7" s="237">
        <v>20393.354765970023</v>
      </c>
      <c r="F7" s="237">
        <v>20663.32700668999</v>
      </c>
      <c r="G7" s="237">
        <v>21252.518884609988</v>
      </c>
      <c r="H7" s="237">
        <v>0</v>
      </c>
      <c r="I7" s="237">
        <v>0</v>
      </c>
      <c r="J7" s="237"/>
      <c r="L7" s="237"/>
      <c r="N7" s="238"/>
    </row>
    <row r="8" spans="1:14">
      <c r="A8" s="12" t="str">
        <f>HLOOKUP(INDICE!$F$2,Nombres!$C$3:$D$636,211,FALSE)</f>
        <v>Very small business</v>
      </c>
      <c r="B8" s="237">
        <v>15519.514838600011</v>
      </c>
      <c r="C8" s="237">
        <v>15326.717194949973</v>
      </c>
      <c r="D8" s="237">
        <v>15218.603031429984</v>
      </c>
      <c r="E8" s="237">
        <v>15473.120805090002</v>
      </c>
      <c r="F8" s="237">
        <v>15558.336809970024</v>
      </c>
      <c r="G8" s="237">
        <v>15590.676855660031</v>
      </c>
      <c r="H8" s="237">
        <v>0</v>
      </c>
      <c r="I8" s="237">
        <v>0</v>
      </c>
      <c r="J8" s="237"/>
      <c r="L8" s="237"/>
      <c r="N8" s="238"/>
    </row>
    <row r="9" spans="1:14">
      <c r="A9" s="12" t="str">
        <f>HLOOKUP(INDICE!$F$2,Nombres!$C$3:$D$636,212,FALSE)</f>
        <v>Mid-size companies</v>
      </c>
      <c r="B9" s="237">
        <v>20475.511131020005</v>
      </c>
      <c r="C9" s="237">
        <v>20909.076254580017</v>
      </c>
      <c r="D9" s="237">
        <v>20964.553068330013</v>
      </c>
      <c r="E9" s="237">
        <v>21434.948945159995</v>
      </c>
      <c r="F9" s="237">
        <v>22022.716724079972</v>
      </c>
      <c r="G9" s="237">
        <v>22510.339585629994</v>
      </c>
      <c r="H9" s="237">
        <v>0</v>
      </c>
      <c r="I9" s="237">
        <v>0</v>
      </c>
      <c r="J9" s="237"/>
      <c r="L9" s="237"/>
      <c r="N9" s="238"/>
    </row>
    <row r="10" spans="1:14">
      <c r="A10" s="12" t="str">
        <f>HLOOKUP(INDICE!$F$2,Nombres!$C$3:$D$636,213,FALSE)</f>
        <v>Corporates + CIB</v>
      </c>
      <c r="B10" s="237">
        <v>33615.407692250003</v>
      </c>
      <c r="C10" s="237">
        <v>33817.052511759997</v>
      </c>
      <c r="D10" s="237">
        <v>35508.358328839997</v>
      </c>
      <c r="E10" s="237">
        <v>37179.35820137</v>
      </c>
      <c r="F10" s="237">
        <v>37307.241487319989</v>
      </c>
      <c r="G10" s="237">
        <v>38388.313318259992</v>
      </c>
      <c r="H10" s="237">
        <v>0</v>
      </c>
      <c r="I10" s="237">
        <v>0</v>
      </c>
      <c r="J10" s="237"/>
      <c r="L10" s="237"/>
      <c r="N10" s="238"/>
    </row>
    <row r="11" spans="1:14">
      <c r="A11" s="12" t="str">
        <f>HLOOKUP(INDICE!$F$2,Nombres!$C$3:$D$636,214,FALSE)</f>
        <v>Public Sector</v>
      </c>
      <c r="B11" s="237">
        <v>15379.403540930001</v>
      </c>
      <c r="C11" s="237">
        <v>18982.262072379996</v>
      </c>
      <c r="D11" s="237">
        <v>16461.745352649992</v>
      </c>
      <c r="E11" s="237">
        <v>16874.862885939998</v>
      </c>
      <c r="F11" s="237">
        <v>16912.048332580001</v>
      </c>
      <c r="G11" s="237">
        <v>20205.216510680006</v>
      </c>
      <c r="H11" s="237">
        <v>0</v>
      </c>
      <c r="I11" s="237">
        <v>0</v>
      </c>
      <c r="J11" s="237"/>
      <c r="L11" s="237"/>
      <c r="N11" s="238"/>
    </row>
    <row r="12" spans="1:14">
      <c r="A12" s="12" t="str">
        <f>HLOOKUP(INDICE!$F$2,Nombres!$C$3:$D$636,215,FALSE)</f>
        <v>Other</v>
      </c>
      <c r="B12" s="237">
        <v>10819.832564009952</v>
      </c>
      <c r="C12" s="237">
        <v>10052.107211280018</v>
      </c>
      <c r="D12" s="237">
        <v>10725.033307509955</v>
      </c>
      <c r="E12" s="237">
        <v>10974.526019610032</v>
      </c>
      <c r="F12" s="237">
        <v>11750.287173120003</v>
      </c>
      <c r="G12" s="237">
        <v>12091.227426349995</v>
      </c>
      <c r="H12" s="237">
        <v>0</v>
      </c>
      <c r="I12" s="237">
        <v>0</v>
      </c>
      <c r="J12" s="237"/>
      <c r="L12" s="237"/>
      <c r="N12" s="238"/>
    </row>
    <row r="13" spans="1:14">
      <c r="A13" s="13" t="str">
        <f>HLOOKUP(INDICE!$F$2,Nombres!$C$3:$D$636,112,FALSE)</f>
        <v>Performing Loans under management (*)</v>
      </c>
      <c r="B13" s="239">
        <v>181849.89314057</v>
      </c>
      <c r="C13" s="239">
        <v>185829.75199622998</v>
      </c>
      <c r="D13" s="239">
        <v>186353.12228433008</v>
      </c>
      <c r="E13" s="239">
        <v>190943.18767372015</v>
      </c>
      <c r="F13" s="239">
        <v>193252.51936347986</v>
      </c>
      <c r="G13" s="239">
        <v>199556.83789297999</v>
      </c>
      <c r="H13" s="239">
        <v>0</v>
      </c>
      <c r="I13" s="239">
        <v>0</v>
      </c>
      <c r="J13" s="239"/>
      <c r="L13" s="13"/>
      <c r="M13" s="238"/>
      <c r="N13" s="238"/>
    </row>
    <row r="14" spans="1:14">
      <c r="A14" s="14"/>
      <c r="B14" s="240" t="e">
        <f>+SUM(#REF!)-#REF!</f>
        <v>#REF!</v>
      </c>
      <c r="C14" s="240" t="e">
        <f>+SUM(#REF!)-#REF!</f>
        <v>#REF!</v>
      </c>
      <c r="D14" s="240" t="e">
        <f>+SUM(#REF!)-#REF!</f>
        <v>#REF!</v>
      </c>
      <c r="E14" s="240" t="e">
        <f>+SUM(#REF!)-#REF!</f>
        <v>#REF!</v>
      </c>
      <c r="F14" s="240">
        <f>+SUM(B6:B12)-B13</f>
        <v>0</v>
      </c>
      <c r="G14" s="240">
        <f>+SUM(D6:D12)-D13</f>
        <v>0</v>
      </c>
      <c r="H14" s="240">
        <f>+SUM(E6:E12)-E13</f>
        <v>0</v>
      </c>
      <c r="I14" s="240">
        <f>+SUM(F6:F12)-F13</f>
        <v>0</v>
      </c>
      <c r="L14" s="241"/>
      <c r="M14" s="238"/>
      <c r="N14" s="238"/>
    </row>
    <row r="15" spans="1:14">
      <c r="A15" s="242"/>
      <c r="B15" s="237"/>
      <c r="C15" s="237"/>
      <c r="D15" s="237"/>
      <c r="E15" s="237"/>
      <c r="F15" s="237"/>
      <c r="G15" s="237"/>
      <c r="H15" s="237"/>
      <c r="I15" s="237"/>
      <c r="L15" s="237"/>
      <c r="N15" s="238"/>
    </row>
    <row r="16" spans="1:14">
      <c r="A16" s="14"/>
      <c r="B16" s="243"/>
      <c r="C16" s="243"/>
      <c r="D16" s="243"/>
      <c r="E16" s="243"/>
      <c r="F16" s="243"/>
      <c r="L16" s="243"/>
    </row>
    <row r="17" spans="1:14">
      <c r="A17" s="22"/>
      <c r="B17" s="265" t="str">
        <f>HLOOKUP(INDICE!$F$2,Nombres!$C$3:$D$636,204,FALSE)</f>
        <v>Mexico (***)</v>
      </c>
      <c r="C17" s="265"/>
      <c r="D17" s="265"/>
      <c r="E17" s="265"/>
      <c r="F17" s="265"/>
      <c r="G17" s="265"/>
      <c r="H17" s="265"/>
      <c r="I17" s="265"/>
    </row>
    <row r="18" spans="1:14">
      <c r="A18" s="236"/>
      <c r="B18" s="140">
        <f>+B$5</f>
        <v>45747</v>
      </c>
      <c r="C18" s="140">
        <f t="shared" ref="C18:I18" si="0">+C$5</f>
        <v>45838</v>
      </c>
      <c r="D18" s="140">
        <f t="shared" si="0"/>
        <v>45930</v>
      </c>
      <c r="E18" s="140">
        <f t="shared" si="0"/>
        <v>46022</v>
      </c>
      <c r="F18" s="140">
        <f t="shared" si="0"/>
        <v>46112</v>
      </c>
      <c r="G18" s="140">
        <f t="shared" si="0"/>
        <v>46203</v>
      </c>
      <c r="H18" s="140">
        <f t="shared" si="0"/>
        <v>46295</v>
      </c>
      <c r="I18" s="140">
        <f t="shared" si="0"/>
        <v>46387</v>
      </c>
      <c r="L18" s="80"/>
    </row>
    <row r="19" spans="1:14">
      <c r="A19" s="12" t="str">
        <f>HLOOKUP(INDICE!$F$2,Nombres!$C$3:$D$636,105,FALSE)</f>
        <v>Mortages</v>
      </c>
      <c r="B19" s="237">
        <v>18396.1589821015</v>
      </c>
      <c r="C19" s="237">
        <v>18719.449529840545</v>
      </c>
      <c r="D19" s="237">
        <v>19069.143544794268</v>
      </c>
      <c r="E19" s="237">
        <v>19559.964833011149</v>
      </c>
      <c r="F19" s="237">
        <v>19835.058604936432</v>
      </c>
      <c r="G19" s="237">
        <v>20094.616961506927</v>
      </c>
      <c r="H19" s="237">
        <v>0</v>
      </c>
      <c r="I19" s="237">
        <v>0</v>
      </c>
      <c r="L19" s="237"/>
      <c r="N19" s="238"/>
    </row>
    <row r="20" spans="1:14">
      <c r="A20" s="12" t="str">
        <f>HLOOKUP(INDICE!$F$2,Nombres!$C$3:$D$636,106,FALSE)</f>
        <v>Consumer</v>
      </c>
      <c r="B20" s="237">
        <v>15218.192392641342</v>
      </c>
      <c r="C20" s="237">
        <v>15761.877787071076</v>
      </c>
      <c r="D20" s="237">
        <v>16464.112609567139</v>
      </c>
      <c r="E20" s="237">
        <v>16708.661277863284</v>
      </c>
      <c r="F20" s="237">
        <v>17229.449590434895</v>
      </c>
      <c r="G20" s="237">
        <v>17608.640399455104</v>
      </c>
      <c r="H20" s="237">
        <v>0</v>
      </c>
      <c r="I20" s="237">
        <v>0</v>
      </c>
      <c r="L20" s="237"/>
      <c r="N20" s="238"/>
    </row>
    <row r="21" spans="1:14">
      <c r="A21" s="12" t="str">
        <f>HLOOKUP(INDICE!$F$2,Nombres!$C$3:$D$636,107,FALSE)</f>
        <v>Credit Cards</v>
      </c>
      <c r="B21" s="237">
        <v>9891.4707927957807</v>
      </c>
      <c r="C21" s="237">
        <v>10279.767566494684</v>
      </c>
      <c r="D21" s="237">
        <v>10573.811259874037</v>
      </c>
      <c r="E21" s="237">
        <v>11282.222990411037</v>
      </c>
      <c r="F21" s="237">
        <v>11105.617360118151</v>
      </c>
      <c r="G21" s="237">
        <v>11533.713693346241</v>
      </c>
      <c r="H21" s="237">
        <v>0</v>
      </c>
      <c r="I21" s="237">
        <v>0</v>
      </c>
      <c r="L21" s="237"/>
      <c r="N21" s="238"/>
    </row>
    <row r="22" spans="1:14">
      <c r="A22" s="12" t="str">
        <f>HLOOKUP(INDICE!$F$2,Nombres!$C$3:$D$636,110,FALSE)</f>
        <v>SMEs</v>
      </c>
      <c r="B22" s="237">
        <v>7158.9040006329251</v>
      </c>
      <c r="C22" s="237">
        <v>7396.6249049655935</v>
      </c>
      <c r="D22" s="237">
        <v>7725.4445856413267</v>
      </c>
      <c r="E22" s="237">
        <v>7787.7135613466808</v>
      </c>
      <c r="F22" s="237">
        <v>8123.8439083934172</v>
      </c>
      <c r="G22" s="237">
        <v>8291.592265043977</v>
      </c>
      <c r="H22" s="237">
        <v>0</v>
      </c>
      <c r="I22" s="237">
        <v>0</v>
      </c>
      <c r="L22" s="237"/>
      <c r="N22" s="238"/>
    </row>
    <row r="23" spans="1:14">
      <c r="A23" s="12" t="str">
        <f>HLOOKUP(INDICE!$F$2,Nombres!$C$3:$D$636,216,FALSE)</f>
        <v>Other Retail</v>
      </c>
      <c r="B23" s="237">
        <v>180.3603768220716</v>
      </c>
      <c r="C23" s="237">
        <v>180.26645645075627</v>
      </c>
      <c r="D23" s="237">
        <v>179.56153175749381</v>
      </c>
      <c r="E23" s="237">
        <v>195.93056016276105</v>
      </c>
      <c r="F23" s="237">
        <v>195.1199266301382</v>
      </c>
      <c r="G23" s="237">
        <v>216.1155599447076</v>
      </c>
      <c r="H23" s="237">
        <v>0</v>
      </c>
      <c r="I23" s="237">
        <v>0</v>
      </c>
      <c r="L23" s="237"/>
      <c r="N23" s="238"/>
    </row>
    <row r="24" spans="1:14">
      <c r="A24" s="12" t="str">
        <f>HLOOKUP(INDICE!$F$2,Nombres!$C$3:$D$636,217,FALSE)</f>
        <v>Other Commercial</v>
      </c>
      <c r="B24" s="237">
        <v>40124.7751400138</v>
      </c>
      <c r="C24" s="237">
        <v>39305.940130329203</v>
      </c>
      <c r="D24" s="237">
        <v>38558.780978796269</v>
      </c>
      <c r="E24" s="237">
        <v>40723.620968382718</v>
      </c>
      <c r="F24" s="237">
        <v>42328.381600943459</v>
      </c>
      <c r="G24" s="237">
        <v>43225.37010783788</v>
      </c>
      <c r="H24" s="237">
        <v>0</v>
      </c>
      <c r="I24" s="237">
        <v>0</v>
      </c>
      <c r="L24" s="237"/>
      <c r="N24" s="238"/>
    </row>
    <row r="25" spans="1:14">
      <c r="A25" s="12" t="str">
        <f>HLOOKUP(INDICE!$F$2,Nombres!$C$3:$D$636,108,FALSE)</f>
        <v>Public Sector</v>
      </c>
      <c r="B25" s="237">
        <v>7337.9732651133572</v>
      </c>
      <c r="C25" s="237">
        <v>7373.7926789539806</v>
      </c>
      <c r="D25" s="237">
        <v>7533.7118563855038</v>
      </c>
      <c r="E25" s="237">
        <v>7599.3992078993351</v>
      </c>
      <c r="F25" s="237">
        <v>7729.3780125202311</v>
      </c>
      <c r="G25" s="237">
        <v>7851.073570251714</v>
      </c>
      <c r="H25" s="237">
        <v>0</v>
      </c>
      <c r="I25" s="237">
        <v>0</v>
      </c>
      <c r="L25" s="237"/>
      <c r="N25" s="238"/>
    </row>
    <row r="26" spans="1:14">
      <c r="A26" s="13" t="str">
        <f>HLOOKUP(INDICE!$F$2,Nombres!$C$3:$D$636,112,FALSE)</f>
        <v>Performing Loans under management (*)</v>
      </c>
      <c r="B26" s="239">
        <v>98307.83495012077</v>
      </c>
      <c r="C26" s="239">
        <v>99017.719054105837</v>
      </c>
      <c r="D26" s="239">
        <v>100104.56636681604</v>
      </c>
      <c r="E26" s="239">
        <v>103857.51339907697</v>
      </c>
      <c r="F26" s="239">
        <v>106546.84900397673</v>
      </c>
      <c r="G26" s="239">
        <v>108821.12255738655</v>
      </c>
      <c r="H26" s="239">
        <v>0</v>
      </c>
      <c r="I26" s="239">
        <v>0</v>
      </c>
      <c r="L26" s="13"/>
      <c r="N26" s="238"/>
    </row>
    <row r="27" spans="1:14">
      <c r="A27" s="244" t="str">
        <f>HLOOKUP(INDICE!$F$2,Nombres!$C$3:$D$636,205,FALSE)</f>
        <v xml:space="preserve">According to Local GAAP(***) </v>
      </c>
      <c r="B27" s="240">
        <f>+SUM(B19:B25)-B26</f>
        <v>0</v>
      </c>
      <c r="C27" s="240">
        <f t="shared" ref="C27:I27" si="1">+SUM(C19:C25)-C26</f>
        <v>0</v>
      </c>
      <c r="D27" s="240">
        <f t="shared" si="1"/>
        <v>0</v>
      </c>
      <c r="E27" s="240">
        <f t="shared" si="1"/>
        <v>0</v>
      </c>
      <c r="F27" s="240">
        <f t="shared" si="1"/>
        <v>0</v>
      </c>
      <c r="G27" s="240">
        <f t="shared" si="1"/>
        <v>0</v>
      </c>
      <c r="H27" s="240">
        <f t="shared" si="1"/>
        <v>0</v>
      </c>
      <c r="I27" s="240">
        <f t="shared" si="1"/>
        <v>0</v>
      </c>
      <c r="L27" s="241"/>
    </row>
    <row r="28" spans="1:14">
      <c r="A28" s="242"/>
      <c r="B28" s="237"/>
      <c r="C28" s="237"/>
      <c r="D28" s="237"/>
      <c r="E28" s="237"/>
      <c r="F28" s="237"/>
      <c r="G28" s="237"/>
      <c r="H28" s="237"/>
      <c r="I28" s="237"/>
      <c r="L28" s="237"/>
    </row>
    <row r="29" spans="1:14">
      <c r="B29" s="243"/>
      <c r="C29" s="243"/>
      <c r="D29" s="243"/>
      <c r="E29" s="243"/>
      <c r="F29" s="243"/>
      <c r="L29" s="243"/>
    </row>
    <row r="30" spans="1:14">
      <c r="A30" s="22"/>
      <c r="B30" s="265" t="str">
        <f>HLOOKUP(INDICE!$F$2,Nombres!$C$3:$D$636,12,FALSE)</f>
        <v xml:space="preserve">Turkey </v>
      </c>
      <c r="C30" s="265"/>
      <c r="D30" s="265"/>
      <c r="E30" s="265"/>
      <c r="F30" s="265"/>
      <c r="G30" s="265"/>
      <c r="H30" s="265"/>
      <c r="I30" s="265"/>
    </row>
    <row r="31" spans="1:14">
      <c r="A31" s="236"/>
      <c r="B31" s="140">
        <f>+B$5</f>
        <v>45747</v>
      </c>
      <c r="C31" s="140">
        <f t="shared" ref="C31:I31" si="2">+C$5</f>
        <v>45838</v>
      </c>
      <c r="D31" s="140">
        <f t="shared" si="2"/>
        <v>45930</v>
      </c>
      <c r="E31" s="140">
        <f t="shared" si="2"/>
        <v>46022</v>
      </c>
      <c r="F31" s="140">
        <f t="shared" si="2"/>
        <v>46112</v>
      </c>
      <c r="G31" s="140">
        <f t="shared" si="2"/>
        <v>46203</v>
      </c>
      <c r="H31" s="140">
        <f t="shared" si="2"/>
        <v>46295</v>
      </c>
      <c r="I31" s="140">
        <f t="shared" si="2"/>
        <v>46387</v>
      </c>
      <c r="L31" s="80"/>
    </row>
    <row r="32" spans="1:14">
      <c r="A32" s="12" t="str">
        <f>HLOOKUP(INDICE!$F$2,Nombres!$C$3:$D$636,105,FALSE)</f>
        <v>Mortages</v>
      </c>
      <c r="B32" s="237">
        <v>1296.0544918035562</v>
      </c>
      <c r="C32" s="237">
        <v>1423.4185106107698</v>
      </c>
      <c r="D32" s="237">
        <v>1582.9838515573085</v>
      </c>
      <c r="E32" s="237">
        <v>1799.320983270286</v>
      </c>
      <c r="F32" s="237">
        <v>2012.953259541124</v>
      </c>
      <c r="G32" s="237">
        <v>2098.4699691549085</v>
      </c>
      <c r="H32" s="237">
        <v>0</v>
      </c>
      <c r="I32" s="237">
        <v>0</v>
      </c>
      <c r="L32" s="237"/>
      <c r="N32" s="238"/>
    </row>
    <row r="33" spans="1:14">
      <c r="A33" s="12" t="str">
        <f>HLOOKUP(INDICE!$F$2,Nombres!$C$3:$D$636,106,FALSE)</f>
        <v>Consumer</v>
      </c>
      <c r="B33" s="237">
        <v>4994.7902247859593</v>
      </c>
      <c r="C33" s="237">
        <v>5572.5588261271769</v>
      </c>
      <c r="D33" s="237">
        <v>6579.453146204678</v>
      </c>
      <c r="E33" s="237">
        <v>7580.2806357883774</v>
      </c>
      <c r="F33" s="237">
        <v>7898.0288901429876</v>
      </c>
      <c r="G33" s="237">
        <v>8425.4052739805993</v>
      </c>
      <c r="H33" s="237">
        <v>0</v>
      </c>
      <c r="I33" s="237">
        <v>0</v>
      </c>
      <c r="L33" s="237"/>
      <c r="N33" s="238"/>
    </row>
    <row r="34" spans="1:14">
      <c r="A34" s="12" t="str">
        <f>HLOOKUP(INDICE!$F$2,Nombres!$C$3:$D$636,107,FALSE)</f>
        <v>Credit Cards</v>
      </c>
      <c r="B34" s="237">
        <v>7319.250654979076</v>
      </c>
      <c r="C34" s="237">
        <v>8220.1338981045628</v>
      </c>
      <c r="D34" s="237">
        <v>9513.1824836750238</v>
      </c>
      <c r="E34" s="237">
        <v>10477.96074982467</v>
      </c>
      <c r="F34" s="237">
        <v>11300.559952100928</v>
      </c>
      <c r="G34" s="237">
        <v>12642.443000000085</v>
      </c>
      <c r="H34" s="237">
        <v>0</v>
      </c>
      <c r="I34" s="237">
        <v>0</v>
      </c>
      <c r="L34" s="237"/>
      <c r="N34" s="238"/>
    </row>
    <row r="35" spans="1:14">
      <c r="A35" s="12" t="str">
        <f>HLOOKUP(INDICE!$F$2,Nombres!$C$3:$D$636,108,FALSE)</f>
        <v>Public Sector</v>
      </c>
      <c r="B35" s="237">
        <v>179.44527338364972</v>
      </c>
      <c r="C35" s="237">
        <v>297.31103758448677</v>
      </c>
      <c r="D35" s="237">
        <v>275.63107334840714</v>
      </c>
      <c r="E35" s="237">
        <v>259.47743235774658</v>
      </c>
      <c r="F35" s="237">
        <v>236.68684214461896</v>
      </c>
      <c r="G35" s="237">
        <v>268.46100000000149</v>
      </c>
      <c r="H35" s="237">
        <v>0</v>
      </c>
      <c r="I35" s="237">
        <v>0</v>
      </c>
      <c r="L35" s="237"/>
      <c r="N35" s="238"/>
    </row>
    <row r="36" spans="1:14">
      <c r="A36" s="12" t="str">
        <f>HLOOKUP(INDICE!$F$2,Nombres!$C$3:$D$636,109,FALSE)</f>
        <v>Financial and Non Financial Companies</v>
      </c>
      <c r="B36" s="237">
        <v>22717.987964334403</v>
      </c>
      <c r="C36" s="237">
        <v>25072.293791725409</v>
      </c>
      <c r="D36" s="237">
        <v>26204.201237843416</v>
      </c>
      <c r="E36" s="237">
        <v>27854.354750951537</v>
      </c>
      <c r="F36" s="237">
        <v>29584.2060427135</v>
      </c>
      <c r="G36" s="237">
        <v>31376.221999997142</v>
      </c>
      <c r="H36" s="237">
        <v>0</v>
      </c>
      <c r="I36" s="237">
        <v>0</v>
      </c>
      <c r="L36" s="12"/>
      <c r="N36" s="238"/>
    </row>
    <row r="37" spans="1:14">
      <c r="A37" s="12" t="str">
        <f>HLOOKUP(INDICE!$F$2,Nombres!$C$3:$D$636,111,FALSE)</f>
        <v>Others</v>
      </c>
      <c r="B37" s="237">
        <v>1733.9995133729171</v>
      </c>
      <c r="C37" s="237">
        <v>2063.5234863926689</v>
      </c>
      <c r="D37" s="237">
        <v>2414.97907525141</v>
      </c>
      <c r="E37" s="237">
        <v>2780.9774953026226</v>
      </c>
      <c r="F37" s="237">
        <v>3221.4112031668592</v>
      </c>
      <c r="G37" s="237">
        <v>3814.0287568646572</v>
      </c>
      <c r="H37" s="237">
        <v>0</v>
      </c>
      <c r="I37" s="237">
        <v>0</v>
      </c>
      <c r="L37" s="12"/>
      <c r="N37" s="238"/>
    </row>
    <row r="38" spans="1:14">
      <c r="A38" s="13" t="str">
        <f>HLOOKUP(INDICE!$F$2,Nombres!$C$3:$D$636,112,FALSE)</f>
        <v>Performing Loans under management (*)</v>
      </c>
      <c r="B38" s="239">
        <v>38241.528122659569</v>
      </c>
      <c r="C38" s="239">
        <v>42649.239550545091</v>
      </c>
      <c r="D38" s="239">
        <v>46570.430867880248</v>
      </c>
      <c r="E38" s="239">
        <v>50752.372047495242</v>
      </c>
      <c r="F38" s="239">
        <v>54253.846189809999</v>
      </c>
      <c r="G38" s="239">
        <v>58625.029999997394</v>
      </c>
      <c r="H38" s="239">
        <v>0</v>
      </c>
      <c r="I38" s="239">
        <v>0</v>
      </c>
      <c r="L38" s="12"/>
      <c r="N38" s="238"/>
    </row>
    <row r="39" spans="1:14">
      <c r="A39" s="13"/>
      <c r="B39" s="239"/>
      <c r="C39" s="239"/>
      <c r="D39" s="239"/>
      <c r="E39" s="239"/>
      <c r="F39" s="239"/>
      <c r="G39" s="239"/>
      <c r="H39" s="239"/>
      <c r="I39" s="239"/>
      <c r="L39" s="12"/>
      <c r="N39" s="238"/>
    </row>
    <row r="40" spans="1:14">
      <c r="A40" s="13"/>
      <c r="B40" s="239"/>
      <c r="C40" s="239"/>
      <c r="D40" s="239"/>
      <c r="E40" s="239"/>
      <c r="F40" s="239"/>
      <c r="G40" s="239"/>
      <c r="H40" s="239"/>
      <c r="I40" s="239"/>
      <c r="L40" s="12"/>
      <c r="N40" s="238"/>
    </row>
    <row r="41" spans="1:14">
      <c r="A41" s="13"/>
      <c r="B41" s="239"/>
      <c r="C41" s="239"/>
      <c r="D41" s="239"/>
      <c r="E41" s="239"/>
      <c r="F41" s="239"/>
      <c r="G41" s="239"/>
      <c r="H41" s="239"/>
      <c r="I41" s="239"/>
      <c r="L41" s="12"/>
      <c r="N41" s="238"/>
    </row>
    <row r="42" spans="1:14">
      <c r="A42" s="22"/>
      <c r="B42" s="265" t="str">
        <f>HLOOKUP(INDICE!$F$2,Nombres!$C$3:$D$636,296,FALSE)</f>
        <v>Turkey Bank only</v>
      </c>
      <c r="C42" s="265"/>
      <c r="D42" s="265"/>
      <c r="E42" s="265"/>
      <c r="F42" s="265"/>
      <c r="G42" s="265"/>
      <c r="H42" s="265"/>
      <c r="I42" s="265"/>
    </row>
    <row r="43" spans="1:14">
      <c r="A43" s="236"/>
      <c r="B43" s="140">
        <f>+B$5</f>
        <v>45747</v>
      </c>
      <c r="C43" s="140">
        <f t="shared" ref="C43:I43" si="3">+C$5</f>
        <v>45838</v>
      </c>
      <c r="D43" s="140">
        <f t="shared" si="3"/>
        <v>45930</v>
      </c>
      <c r="E43" s="140">
        <f t="shared" si="3"/>
        <v>46022</v>
      </c>
      <c r="F43" s="140">
        <f t="shared" si="3"/>
        <v>46112</v>
      </c>
      <c r="G43" s="140">
        <f t="shared" si="3"/>
        <v>46203</v>
      </c>
      <c r="H43" s="140">
        <f t="shared" si="3"/>
        <v>46295</v>
      </c>
      <c r="I43" s="140">
        <f t="shared" si="3"/>
        <v>46387</v>
      </c>
      <c r="L43" s="80"/>
    </row>
    <row r="44" spans="1:14">
      <c r="A44" s="12" t="str">
        <f>HLOOKUP(INDICE!$F$2,Nombres!$C$3:$D$636,285,FALSE)</f>
        <v>Retail Loans TL</v>
      </c>
      <c r="B44" s="237">
        <v>14637.737103946751</v>
      </c>
      <c r="C44" s="237">
        <v>16327.752869732798</v>
      </c>
      <c r="D44" s="237">
        <v>18363.838300307962</v>
      </c>
      <c r="E44" s="237">
        <v>20815.1446063105</v>
      </c>
      <c r="F44" s="237">
        <v>22105.395391381287</v>
      </c>
      <c r="G44" s="237">
        <v>23919.634849451755</v>
      </c>
      <c r="H44" s="237">
        <v>0</v>
      </c>
      <c r="I44" s="237">
        <v>0</v>
      </c>
      <c r="L44" s="237"/>
      <c r="N44" s="238"/>
    </row>
    <row r="45" spans="1:14">
      <c r="A45" s="12" t="str">
        <f>HLOOKUP(INDICE!$F$2,Nombres!$C$3:$D$636,286,FALSE)</f>
        <v>Commercial Loans TL</v>
      </c>
      <c r="B45" s="237">
        <v>7315.9471128725636</v>
      </c>
      <c r="C45" s="237">
        <v>7945.9435909966969</v>
      </c>
      <c r="D45" s="237">
        <v>8497.3528035228683</v>
      </c>
      <c r="E45" s="237">
        <v>8983.4754278936471</v>
      </c>
      <c r="F45" s="237">
        <v>9798.2767060659098</v>
      </c>
      <c r="G45" s="237">
        <v>10446.725506428018</v>
      </c>
      <c r="H45" s="237">
        <v>0</v>
      </c>
      <c r="I45" s="237">
        <v>0</v>
      </c>
      <c r="L45" s="237"/>
      <c r="N45" s="238"/>
    </row>
    <row r="46" spans="1:14">
      <c r="A46" s="13" t="str">
        <f>HLOOKUP(INDICE!$F$2,Nombres!$C$3:$D$636,287,FALSE)</f>
        <v>Total Loans TL</v>
      </c>
      <c r="B46" s="239">
        <v>21953.684216819314</v>
      </c>
      <c r="C46" s="239">
        <v>24273.69646072949</v>
      </c>
      <c r="D46" s="239">
        <v>26861.191103830828</v>
      </c>
      <c r="E46" s="239">
        <v>29798.620034204145</v>
      </c>
      <c r="F46" s="239">
        <v>31903.672097447197</v>
      </c>
      <c r="G46" s="239">
        <v>34366.360355879769</v>
      </c>
      <c r="H46" s="239">
        <v>0</v>
      </c>
      <c r="I46" s="239">
        <v>0</v>
      </c>
      <c r="L46" s="237"/>
      <c r="N46" s="238"/>
    </row>
    <row r="47" spans="1:14">
      <c r="A47" s="13" t="str">
        <f>HLOOKUP(INDICE!$F$2,Nombres!$C$3:$D$636,288,FALSE)</f>
        <v>Total Loans FC</v>
      </c>
      <c r="B47" s="239">
        <v>10385.245404199919</v>
      </c>
      <c r="C47" s="239">
        <v>11005.71008425115</v>
      </c>
      <c r="D47" s="239">
        <v>11322.966456726344</v>
      </c>
      <c r="E47" s="239">
        <v>11623.565361635972</v>
      </c>
      <c r="F47" s="239">
        <v>11651.607485829587</v>
      </c>
      <c r="G47" s="239">
        <v>11711.254419292927</v>
      </c>
      <c r="H47" s="239">
        <v>0</v>
      </c>
      <c r="I47" s="239">
        <v>0</v>
      </c>
      <c r="L47" s="12"/>
      <c r="N47" s="238"/>
    </row>
    <row r="48" spans="1:14">
      <c r="A48" s="244" t="str">
        <f>HLOOKUP(INDICE!$F$2,Nombres!$C$3:$D$636,295,FALSE)</f>
        <v>(TL Turkish Lira FC Foreign Currency)</v>
      </c>
      <c r="B48" s="240">
        <f>+SUM(B32:B37)-B38</f>
        <v>0</v>
      </c>
      <c r="C48" s="240">
        <f t="shared" ref="C48:I48" si="4">+SUM(C32:C37)-C38</f>
        <v>0</v>
      </c>
      <c r="D48" s="240">
        <f t="shared" si="4"/>
        <v>0</v>
      </c>
      <c r="E48" s="240">
        <f t="shared" si="4"/>
        <v>0</v>
      </c>
      <c r="F48" s="240">
        <f t="shared" si="4"/>
        <v>0</v>
      </c>
      <c r="G48" s="240">
        <f t="shared" si="4"/>
        <v>0</v>
      </c>
      <c r="H48" s="240">
        <f t="shared" si="4"/>
        <v>0</v>
      </c>
      <c r="I48" s="240">
        <f t="shared" si="4"/>
        <v>0</v>
      </c>
      <c r="L48" s="13"/>
      <c r="N48" s="238"/>
    </row>
    <row r="49" spans="1:14">
      <c r="A49" s="14"/>
      <c r="B49" s="241"/>
      <c r="C49" s="241"/>
      <c r="D49" s="241"/>
      <c r="E49" s="241"/>
      <c r="F49" s="241"/>
      <c r="G49" s="241"/>
      <c r="H49" s="241"/>
      <c r="I49" s="241"/>
      <c r="L49" s="241"/>
    </row>
    <row r="50" spans="1:14">
      <c r="A50" s="14"/>
      <c r="B50" s="241"/>
      <c r="C50" s="241"/>
      <c r="D50" s="241"/>
      <c r="E50" s="241"/>
      <c r="F50" s="241"/>
      <c r="G50" s="241"/>
      <c r="H50" s="241"/>
      <c r="I50" s="241"/>
      <c r="L50" s="241"/>
    </row>
    <row r="51" spans="1:14" ht="15.75" customHeight="1">
      <c r="A51" s="22"/>
      <c r="B51" s="265" t="str">
        <f>HLOOKUP(INDICE!$F$2,Nombres!$C$3:$D$636,283,FALSE)</f>
        <v xml:space="preserve">South America </v>
      </c>
      <c r="C51" s="265"/>
      <c r="D51" s="265"/>
      <c r="E51" s="265"/>
      <c r="F51" s="265"/>
      <c r="G51" s="265"/>
      <c r="H51" s="265"/>
      <c r="I51" s="265"/>
    </row>
    <row r="52" spans="1:14">
      <c r="A52" s="236"/>
      <c r="B52" s="140">
        <f>+B$5</f>
        <v>45747</v>
      </c>
      <c r="C52" s="140">
        <f t="shared" ref="C52:I52" si="5">+C$5</f>
        <v>45838</v>
      </c>
      <c r="D52" s="140">
        <f t="shared" si="5"/>
        <v>45930</v>
      </c>
      <c r="E52" s="140">
        <f t="shared" si="5"/>
        <v>46022</v>
      </c>
      <c r="F52" s="140">
        <f t="shared" si="5"/>
        <v>46112</v>
      </c>
      <c r="G52" s="140">
        <f t="shared" si="5"/>
        <v>46203</v>
      </c>
      <c r="H52" s="140">
        <f t="shared" si="5"/>
        <v>46295</v>
      </c>
      <c r="I52" s="140">
        <f t="shared" si="5"/>
        <v>46387</v>
      </c>
    </row>
    <row r="53" spans="1:14">
      <c r="A53" s="12" t="s">
        <v>29</v>
      </c>
      <c r="B53" s="237">
        <v>5364.3279615227111</v>
      </c>
      <c r="C53" s="237">
        <v>6491.6260907473161</v>
      </c>
      <c r="D53" s="237">
        <v>7148.5008995248472</v>
      </c>
      <c r="E53" s="237">
        <v>8292.9660757538095</v>
      </c>
      <c r="F53" s="237">
        <v>8691.4809301221903</v>
      </c>
      <c r="G53" s="237">
        <v>9462.9339999841359</v>
      </c>
      <c r="H53" s="237">
        <v>0</v>
      </c>
      <c r="I53" s="237">
        <v>0</v>
      </c>
      <c r="L53" s="237"/>
      <c r="M53" s="245"/>
      <c r="N53" s="238"/>
    </row>
    <row r="54" spans="1:14">
      <c r="A54" s="12" t="s">
        <v>30</v>
      </c>
      <c r="B54" s="237">
        <v>2054.7784182607888</v>
      </c>
      <c r="C54" s="237">
        <v>2080.1494240213306</v>
      </c>
      <c r="D54" s="237">
        <v>2180.0591119633132</v>
      </c>
      <c r="E54" s="237">
        <v>2254.3511940465255</v>
      </c>
      <c r="F54" s="237">
        <v>2192.0444953378515</v>
      </c>
      <c r="G54" s="237">
        <v>2163.9279999999994</v>
      </c>
      <c r="H54" s="237">
        <v>0</v>
      </c>
      <c r="I54" s="237">
        <v>0</v>
      </c>
      <c r="L54" s="237"/>
      <c r="M54" s="238"/>
      <c r="N54" s="238"/>
    </row>
    <row r="55" spans="1:14">
      <c r="A55" s="12" t="s">
        <v>31</v>
      </c>
      <c r="B55" s="237">
        <v>18587.77038223399</v>
      </c>
      <c r="C55" s="237">
        <v>18945.339591626194</v>
      </c>
      <c r="D55" s="237">
        <v>19326.88369864177</v>
      </c>
      <c r="E55" s="237">
        <v>19515.152801007276</v>
      </c>
      <c r="F55" s="237">
        <v>19867.42018901886</v>
      </c>
      <c r="G55" s="237">
        <v>20513.604999998963</v>
      </c>
      <c r="H55" s="237">
        <v>0</v>
      </c>
      <c r="I55" s="237">
        <v>0</v>
      </c>
      <c r="L55" s="237"/>
      <c r="M55" s="245"/>
      <c r="N55" s="238"/>
    </row>
    <row r="56" spans="1:14" ht="15" customHeight="1">
      <c r="A56" s="12" t="s">
        <v>32</v>
      </c>
      <c r="B56" s="237">
        <v>18993.290999768913</v>
      </c>
      <c r="C56" s="237">
        <v>19337.626196214544</v>
      </c>
      <c r="D56" s="237">
        <v>19658.552503393996</v>
      </c>
      <c r="E56" s="237">
        <v>20097.015916801189</v>
      </c>
      <c r="F56" s="237">
        <v>20545.993679386851</v>
      </c>
      <c r="G56" s="237">
        <v>21217.623999999818</v>
      </c>
      <c r="H56" s="237">
        <v>0</v>
      </c>
      <c r="I56" s="237">
        <v>0</v>
      </c>
      <c r="L56" s="237"/>
      <c r="M56" s="245"/>
      <c r="N56" s="238"/>
    </row>
    <row r="57" spans="1:14" ht="15" customHeight="1">
      <c r="A57" s="12" t="s">
        <v>214</v>
      </c>
      <c r="B57" s="237">
        <v>2700.5544110044571</v>
      </c>
      <c r="C57" s="237">
        <v>2843.1105617245198</v>
      </c>
      <c r="D57" s="237">
        <v>2903.01599212152</v>
      </c>
      <c r="E57" s="237">
        <v>3066.2549196199629</v>
      </c>
      <c r="F57" s="237">
        <v>3289.6050399700653</v>
      </c>
      <c r="G57" s="237">
        <v>3514.6350000000043</v>
      </c>
      <c r="H57" s="237">
        <v>0</v>
      </c>
      <c r="I57" s="237">
        <v>0</v>
      </c>
      <c r="L57" s="237"/>
      <c r="N57" s="238"/>
    </row>
    <row r="58" spans="1:14" ht="15" customHeight="1">
      <c r="A58" s="13" t="str">
        <f>HLOOKUP(INDICE!$F$2,Nombres!$C$3:$D$636,112,FALSE)</f>
        <v>Performing Loans under management (*)</v>
      </c>
      <c r="B58" s="239">
        <v>47700.722172790891</v>
      </c>
      <c r="C58" s="239">
        <v>49697.851864333934</v>
      </c>
      <c r="D58" s="239">
        <v>51217.012205645457</v>
      </c>
      <c r="E58" s="239">
        <v>53225.740907228763</v>
      </c>
      <c r="F58" s="239">
        <v>54586.544333835824</v>
      </c>
      <c r="G58" s="239">
        <v>56872.72599998294</v>
      </c>
      <c r="H58" s="239">
        <v>0</v>
      </c>
      <c r="I58" s="239">
        <v>0</v>
      </c>
      <c r="L58" s="13"/>
      <c r="M58" s="245"/>
      <c r="N58" s="238"/>
    </row>
    <row r="59" spans="1:14">
      <c r="A59" s="14"/>
      <c r="B59" s="14"/>
      <c r="C59" s="14"/>
      <c r="D59" s="14"/>
      <c r="E59" s="14"/>
      <c r="F59" s="14"/>
      <c r="L59" s="14"/>
    </row>
    <row r="60" spans="1:14">
      <c r="A60" s="15"/>
      <c r="B60" s="14"/>
      <c r="C60" s="14"/>
      <c r="D60" s="14"/>
      <c r="E60" s="14"/>
      <c r="F60" s="14"/>
      <c r="L60" s="14"/>
    </row>
    <row r="61" spans="1:14">
      <c r="A61" s="15"/>
      <c r="B61" s="14"/>
      <c r="C61" s="14"/>
      <c r="D61" s="14"/>
      <c r="E61" s="14"/>
      <c r="F61" s="14"/>
      <c r="L61" s="14"/>
    </row>
    <row r="62" spans="1:14">
      <c r="A62" s="22"/>
      <c r="B62" s="265" t="str">
        <f>HLOOKUP(INDICE!$F$2,Nombres!$C$3:$D$636,263,FALSE)</f>
        <v>Rest of Business</v>
      </c>
      <c r="C62" s="265"/>
      <c r="D62" s="265"/>
      <c r="E62" s="265"/>
      <c r="F62" s="265"/>
      <c r="G62" s="265"/>
      <c r="H62" s="265"/>
      <c r="I62" s="265"/>
      <c r="L62" s="14"/>
    </row>
    <row r="63" spans="1:14">
      <c r="A63" s="236"/>
      <c r="B63" s="140">
        <f>+B$5</f>
        <v>45747</v>
      </c>
      <c r="C63" s="140">
        <f t="shared" ref="C63:I63" si="6">+C$5</f>
        <v>45838</v>
      </c>
      <c r="D63" s="140">
        <f t="shared" si="6"/>
        <v>45930</v>
      </c>
      <c r="E63" s="140">
        <f t="shared" si="6"/>
        <v>46022</v>
      </c>
      <c r="F63" s="140">
        <f t="shared" si="6"/>
        <v>46112</v>
      </c>
      <c r="G63" s="140">
        <f t="shared" si="6"/>
        <v>46203</v>
      </c>
      <c r="H63" s="140">
        <f t="shared" si="6"/>
        <v>46295</v>
      </c>
      <c r="I63" s="140">
        <f t="shared" si="6"/>
        <v>46387</v>
      </c>
      <c r="L63" s="14"/>
    </row>
    <row r="64" spans="1:14">
      <c r="A64" s="12" t="str">
        <f>HLOOKUP(INDICE!$F$2,Nombres!$C$3:$D$636,105,FALSE)</f>
        <v>Mortages</v>
      </c>
      <c r="B64" s="237">
        <v>698.62687211886725</v>
      </c>
      <c r="C64" s="237">
        <v>760.36792003003927</v>
      </c>
      <c r="D64" s="237">
        <v>813.17649517365589</v>
      </c>
      <c r="E64" s="237">
        <v>872.04588686961824</v>
      </c>
      <c r="F64" s="237">
        <v>882.25277224879392</v>
      </c>
      <c r="G64" s="237">
        <v>878.22086839999872</v>
      </c>
      <c r="H64" s="237">
        <v>0</v>
      </c>
      <c r="I64" s="237">
        <v>0</v>
      </c>
      <c r="L64" s="14"/>
    </row>
    <row r="65" spans="1:12">
      <c r="A65" s="12" t="str">
        <f>HLOOKUP(INDICE!$F$2,Nombres!$C$3:$D$636,106,FALSE)</f>
        <v>Consumer</v>
      </c>
      <c r="B65" s="237">
        <v>715.93222250524002</v>
      </c>
      <c r="C65" s="237">
        <v>743.41518523730599</v>
      </c>
      <c r="D65" s="237">
        <v>780.09975981054345</v>
      </c>
      <c r="E65" s="237">
        <v>815.22815324389092</v>
      </c>
      <c r="F65" s="237">
        <v>859.6568171491906</v>
      </c>
      <c r="G65" s="237">
        <v>885.68894276000003</v>
      </c>
      <c r="H65" s="237">
        <v>0</v>
      </c>
      <c r="I65" s="237">
        <v>0</v>
      </c>
      <c r="L65" s="14"/>
    </row>
    <row r="66" spans="1:12">
      <c r="A66" s="12" t="str">
        <f>HLOOKUP(INDICE!$F$2,Nombres!$C$3:$D$636,107,FALSE)</f>
        <v>Credit Cards</v>
      </c>
      <c r="B66" s="237">
        <v>19.419609530000006</v>
      </c>
      <c r="C66" s="237">
        <v>23.608631690000006</v>
      </c>
      <c r="D66" s="237">
        <v>23.431353569999999</v>
      </c>
      <c r="E66" s="237">
        <v>25.996339990000003</v>
      </c>
      <c r="F66" s="237">
        <v>25.83692121</v>
      </c>
      <c r="G66" s="237">
        <v>29.584197820000004</v>
      </c>
      <c r="H66" s="237">
        <v>0</v>
      </c>
      <c r="I66" s="237">
        <v>0</v>
      </c>
      <c r="L66" s="14"/>
    </row>
    <row r="67" spans="1:12">
      <c r="A67" s="12" t="str">
        <f>HLOOKUP(INDICE!$F$2,Nombres!$C$3:$D$636,108,FALSE)</f>
        <v>Public Sector</v>
      </c>
      <c r="B67" s="237">
        <v>723.94716928632113</v>
      </c>
      <c r="C67" s="237">
        <v>2119.9857124800883</v>
      </c>
      <c r="D67" s="237">
        <v>1265.8879286205065</v>
      </c>
      <c r="E67" s="237">
        <v>822.62787739753685</v>
      </c>
      <c r="F67" s="237">
        <v>2434.4871042838013</v>
      </c>
      <c r="G67" s="237">
        <v>2501.9942717700487</v>
      </c>
      <c r="H67" s="237">
        <v>0</v>
      </c>
      <c r="I67" s="237">
        <v>0</v>
      </c>
      <c r="L67" s="14"/>
    </row>
    <row r="68" spans="1:12">
      <c r="A68" s="12" t="str">
        <f>HLOOKUP(INDICE!$F$2,Nombres!$C$3:$D$636,109,FALSE)</f>
        <v>Financial and Non Financial Companies</v>
      </c>
      <c r="B68" s="237">
        <v>46733.356506536002</v>
      </c>
      <c r="C68" s="237">
        <v>52694.761549641065</v>
      </c>
      <c r="D68" s="237">
        <v>55937.784080106998</v>
      </c>
      <c r="E68" s="237">
        <v>64533.1087385215</v>
      </c>
      <c r="F68" s="237">
        <v>71360.683720589048</v>
      </c>
      <c r="G68" s="237">
        <v>81640.280811281511</v>
      </c>
      <c r="H68" s="237">
        <v>0</v>
      </c>
      <c r="I68" s="237">
        <v>0</v>
      </c>
      <c r="L68" s="14"/>
    </row>
    <row r="69" spans="1:12">
      <c r="A69" s="12" t="str">
        <f>HLOOKUP(INDICE!$F$2,Nombres!$C$3:$D$636,111,FALSE)</f>
        <v>Others</v>
      </c>
      <c r="B69" s="237">
        <v>192.26650181305496</v>
      </c>
      <c r="C69" s="237">
        <v>192.21677678869139</v>
      </c>
      <c r="D69" s="237">
        <v>219.80887638813871</v>
      </c>
      <c r="E69" s="237">
        <v>239.2912285671548</v>
      </c>
      <c r="F69" s="237">
        <v>246.82811590281409</v>
      </c>
      <c r="G69" s="237">
        <v>298.00588147001207</v>
      </c>
      <c r="H69" s="237">
        <v>0</v>
      </c>
      <c r="I69" s="237">
        <v>0</v>
      </c>
      <c r="L69" s="14"/>
    </row>
    <row r="70" spans="1:12">
      <c r="A70" s="13" t="str">
        <f>HLOOKUP(INDICE!$F$2,Nombres!$C$3:$D$636,112,FALSE)</f>
        <v>Performing Loans under management (*)</v>
      </c>
      <c r="B70" s="239">
        <v>49083.548881789466</v>
      </c>
      <c r="C70" s="239">
        <v>56534.355775867196</v>
      </c>
      <c r="D70" s="239">
        <v>59040.188493669848</v>
      </c>
      <c r="E70" s="239">
        <v>67308.298224589729</v>
      </c>
      <c r="F70" s="239">
        <v>75809.745451383613</v>
      </c>
      <c r="G70" s="239">
        <v>86233.774973501539</v>
      </c>
      <c r="H70" s="239">
        <v>0</v>
      </c>
      <c r="I70" s="239">
        <v>0</v>
      </c>
    </row>
    <row r="71" spans="1:12">
      <c r="A71" s="13"/>
      <c r="B71" s="239"/>
      <c r="C71" s="239"/>
      <c r="D71" s="239"/>
      <c r="E71" s="239"/>
      <c r="F71" s="239"/>
      <c r="G71" s="239"/>
      <c r="H71" s="239"/>
      <c r="I71" s="239"/>
    </row>
    <row r="73" spans="1:12">
      <c r="A73" s="15" t="str">
        <f>HLOOKUP(INDICE!$F$2,Nombres!$C$3:$D$636,71,FALSE)</f>
        <v xml:space="preserve">(*) Excluding repos. </v>
      </c>
    </row>
    <row r="995" spans="1:1">
      <c r="A995" s="233" t="s">
        <v>557</v>
      </c>
    </row>
  </sheetData>
  <mergeCells count="6">
    <mergeCell ref="B62:I62"/>
    <mergeCell ref="B4:I4"/>
    <mergeCell ref="B17:I17"/>
    <mergeCell ref="B30:I30"/>
    <mergeCell ref="B42:I42"/>
    <mergeCell ref="B51:I51"/>
  </mergeCells>
  <conditionalFormatting sqref="B14:I14">
    <cfRule type="cellIs" dxfId="10" priority="3" operator="notBetween">
      <formula>0.5</formula>
      <formula>-0.5</formula>
    </cfRule>
  </conditionalFormatting>
  <conditionalFormatting sqref="B27:I27">
    <cfRule type="cellIs" dxfId="9" priority="2" operator="notBetween">
      <formula>0.5</formula>
      <formula>-0.5</formula>
    </cfRule>
  </conditionalFormatting>
  <conditionalFormatting sqref="B48:I48">
    <cfRule type="cellIs" dxfId="8" priority="1" operator="notBetween">
      <formula>0.5</formula>
      <formula>-0.5</formula>
    </cfRule>
  </conditionalFormatting>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8EB16-5CA3-4C09-8658-47CA42037007}">
  <sheetPr>
    <tabColor theme="8"/>
  </sheetPr>
  <dimension ref="A1:L1010"/>
  <sheetViews>
    <sheetView showGridLines="0" zoomScale="85" zoomScaleNormal="85" workbookViewId="0">
      <pane xSplit="1" ySplit="4" topLeftCell="B5" activePane="bottomRight" state="frozen"/>
      <selection activeCell="N23" sqref="N23:N24"/>
      <selection pane="topRight" activeCell="N23" sqref="N23:N24"/>
      <selection pane="bottomLeft" activeCell="N23" sqref="N23:N24"/>
      <selection pane="bottomRight" activeCell="N23" sqref="N23:N24"/>
    </sheetView>
  </sheetViews>
  <sheetFormatPr baseColWidth="10" defaultColWidth="11.453125" defaultRowHeight="14.5"/>
  <cols>
    <col min="1" max="1" width="35.7265625" style="233" customWidth="1"/>
    <col min="2" max="2" width="12.26953125" style="233" customWidth="1"/>
    <col min="3" max="6" width="11.453125" style="233"/>
    <col min="7" max="7" width="11.453125" style="233" customWidth="1"/>
    <col min="8" max="9" width="11.453125" style="233" hidden="1" customWidth="1"/>
    <col min="10" max="11" width="5.7265625" style="233" customWidth="1"/>
    <col min="12" max="12" width="19.54296875" style="233" customWidth="1"/>
    <col min="13" max="16384" width="11.453125" style="233"/>
  </cols>
  <sheetData>
    <row r="1" spans="1:12" ht="17">
      <c r="A1" s="16" t="str">
        <f>HLOOKUP(INDICE!$F$2,Nombres!$C$3:$D$636,120,FALSE)</f>
        <v>Breakdown of customer funds under management</v>
      </c>
      <c r="B1" s="231"/>
      <c r="C1" s="231"/>
      <c r="D1" s="231"/>
      <c r="E1" s="231"/>
      <c r="F1" s="231"/>
      <c r="G1" s="231"/>
      <c r="H1" s="231"/>
      <c r="I1" s="231"/>
    </row>
    <row r="2" spans="1:12">
      <c r="A2" s="234" t="str">
        <f>HLOOKUP(INDICE!$F$2,Nombres!$C$3:$D$636,73,FALSE)</f>
        <v xml:space="preserve">(Constant million euros)    </v>
      </c>
      <c r="B2" s="14"/>
      <c r="C2" s="14"/>
      <c r="D2" s="14"/>
      <c r="E2" s="14"/>
      <c r="F2" s="14"/>
    </row>
    <row r="3" spans="1:12" ht="15.75" customHeight="1">
      <c r="A3" s="22"/>
      <c r="B3" s="265" t="str">
        <f>HLOOKUP(INDICE!$F$2,Nombres!$C$3:$D$636,7,FALSE)</f>
        <v>Spain</v>
      </c>
      <c r="C3" s="265"/>
      <c r="D3" s="265"/>
      <c r="E3" s="265"/>
      <c r="F3" s="265"/>
      <c r="G3" s="265"/>
      <c r="H3" s="265"/>
      <c r="I3" s="265"/>
      <c r="L3" s="246"/>
    </row>
    <row r="4" spans="1:12">
      <c r="A4" s="236"/>
      <c r="B4" s="140">
        <f>+España!B32</f>
        <v>45747</v>
      </c>
      <c r="C4" s="140">
        <f>+España!C32</f>
        <v>45838</v>
      </c>
      <c r="D4" s="140">
        <f>+España!D32</f>
        <v>45930</v>
      </c>
      <c r="E4" s="140">
        <f>+España!E32</f>
        <v>46022</v>
      </c>
      <c r="F4" s="140">
        <f>+España!F32</f>
        <v>46112</v>
      </c>
      <c r="G4" s="140">
        <f>+España!G32</f>
        <v>46203</v>
      </c>
      <c r="H4" s="140">
        <f>+España!H32</f>
        <v>46295</v>
      </c>
      <c r="I4" s="140">
        <f>+España!I32</f>
        <v>46387</v>
      </c>
    </row>
    <row r="5" spans="1:12">
      <c r="A5" s="12" t="str">
        <f>HLOOKUP(INDICE!$F$2,Nombres!$C$3:$D$636,114,FALSE)</f>
        <v>Demand deposits</v>
      </c>
      <c r="B5" s="237">
        <v>186924.4033243302</v>
      </c>
      <c r="C5" s="237">
        <v>192063.46965543</v>
      </c>
      <c r="D5" s="237">
        <v>194462.76948304015</v>
      </c>
      <c r="E5" s="237">
        <v>198559.12843727021</v>
      </c>
      <c r="F5" s="237">
        <v>197385.43985551022</v>
      </c>
      <c r="G5" s="237">
        <v>201787.29344338973</v>
      </c>
      <c r="H5" s="237">
        <v>0</v>
      </c>
      <c r="I5" s="237">
        <v>0</v>
      </c>
      <c r="L5" s="12"/>
    </row>
    <row r="6" spans="1:12">
      <c r="A6" s="12" t="str">
        <f>HLOOKUP(INDICE!$F$2,Nombres!$C$3:$D$636,115,FALSE)</f>
        <v>Time deposits</v>
      </c>
      <c r="B6" s="237">
        <v>30223.225120350005</v>
      </c>
      <c r="C6" s="237">
        <v>28299.935668330003</v>
      </c>
      <c r="D6" s="237">
        <v>35352.078029039993</v>
      </c>
      <c r="E6" s="237">
        <v>39887.427593530017</v>
      </c>
      <c r="F6" s="237">
        <v>36819.550754240016</v>
      </c>
      <c r="G6" s="237">
        <v>38689.105823449994</v>
      </c>
      <c r="H6" s="237">
        <v>0</v>
      </c>
      <c r="I6" s="237">
        <v>0</v>
      </c>
      <c r="L6" s="12"/>
    </row>
    <row r="7" spans="1:12">
      <c r="A7" s="12" t="str">
        <f>HLOOKUP(INDICE!$F$2,Nombres!$C$3:$D$636,116,FALSE)</f>
        <v>Off balance sheet funds (*)</v>
      </c>
      <c r="B7" s="237">
        <v>110572.18854551029</v>
      </c>
      <c r="C7" s="237">
        <v>112680.49556722051</v>
      </c>
      <c r="D7" s="237">
        <v>116067.28841376968</v>
      </c>
      <c r="E7" s="237">
        <v>119534.55892089968</v>
      </c>
      <c r="F7" s="237">
        <v>118975.56070095119</v>
      </c>
      <c r="G7" s="237">
        <v>126530.48370956049</v>
      </c>
      <c r="H7" s="237">
        <v>0</v>
      </c>
      <c r="I7" s="237">
        <v>0</v>
      </c>
      <c r="L7" s="12"/>
    </row>
    <row r="8" spans="1:12">
      <c r="A8" s="13" t="str">
        <f>HLOOKUP(INDICE!$F$2,Nombres!$C$3:$D$636,208,FALSE)</f>
        <v>Customer funds under management (**)</v>
      </c>
      <c r="B8" s="13">
        <v>327719.81699019048</v>
      </c>
      <c r="C8" s="13">
        <v>333043.9008909805</v>
      </c>
      <c r="D8" s="13">
        <v>345882.13592584978</v>
      </c>
      <c r="E8" s="13">
        <v>357981.11495169991</v>
      </c>
      <c r="F8" s="13">
        <v>353180.55131070141</v>
      </c>
      <c r="G8" s="13">
        <v>367006.8829764002</v>
      </c>
      <c r="H8" s="13">
        <v>0</v>
      </c>
      <c r="I8" s="13">
        <v>0</v>
      </c>
      <c r="L8" s="13"/>
    </row>
    <row r="9" spans="1:12">
      <c r="A9" s="12" t="str">
        <f>HLOOKUP(INDICE!$F$2,Nombres!$C$3:$D$636,118,FALSE)</f>
        <v>Demand + Time deposits</v>
      </c>
      <c r="B9" s="237">
        <f>+B5+B6</f>
        <v>217147.62844468019</v>
      </c>
      <c r="C9" s="237">
        <f>+C5+C6</f>
        <v>220363.40532376</v>
      </c>
      <c r="D9" s="237">
        <f t="shared" ref="D9:I9" si="0">+D5+D6</f>
        <v>229814.84751208013</v>
      </c>
      <c r="E9" s="237">
        <f t="shared" si="0"/>
        <v>238446.55603080022</v>
      </c>
      <c r="F9" s="237">
        <f>+F5+F6</f>
        <v>234204.99060975024</v>
      </c>
      <c r="G9" s="237">
        <f t="shared" si="0"/>
        <v>240476.39926683973</v>
      </c>
      <c r="H9" s="237">
        <f t="shared" si="0"/>
        <v>0</v>
      </c>
      <c r="I9" s="237">
        <f t="shared" si="0"/>
        <v>0</v>
      </c>
      <c r="L9" s="14"/>
    </row>
    <row r="10" spans="1:12">
      <c r="A10" s="14"/>
      <c r="B10" s="240">
        <f t="shared" ref="B10:I10" si="1">+B5+B6+B7-B8</f>
        <v>0</v>
      </c>
      <c r="C10" s="240">
        <f t="shared" si="1"/>
        <v>0</v>
      </c>
      <c r="D10" s="240">
        <f t="shared" si="1"/>
        <v>0</v>
      </c>
      <c r="E10" s="240">
        <f t="shared" si="1"/>
        <v>0</v>
      </c>
      <c r="F10" s="240">
        <f>+B5+B6+B7-B8</f>
        <v>0</v>
      </c>
      <c r="G10" s="240">
        <f t="shared" si="1"/>
        <v>0</v>
      </c>
      <c r="H10" s="240">
        <f t="shared" si="1"/>
        <v>0</v>
      </c>
      <c r="I10" s="240">
        <f t="shared" si="1"/>
        <v>0</v>
      </c>
    </row>
    <row r="11" spans="1:12">
      <c r="A11" s="14"/>
      <c r="B11" s="240" t="e">
        <f>+#REF!-España!B54</f>
        <v>#REF!</v>
      </c>
      <c r="C11" s="240">
        <f>+C9-España!C54</f>
        <v>0</v>
      </c>
      <c r="D11" s="240">
        <f>+D9-España!D54</f>
        <v>0</v>
      </c>
      <c r="E11" s="240">
        <f>+E9-España!E54</f>
        <v>0</v>
      </c>
      <c r="F11" s="240">
        <f>+F9-España!F54</f>
        <v>0</v>
      </c>
      <c r="G11" s="240">
        <f>+G9-España!G54</f>
        <v>0</v>
      </c>
      <c r="H11" s="240">
        <f>+H9-España!H54</f>
        <v>0</v>
      </c>
      <c r="I11" s="240">
        <f>+I9-España!I54</f>
        <v>0</v>
      </c>
    </row>
    <row r="12" spans="1:12" ht="15.75" customHeight="1">
      <c r="A12" s="22"/>
      <c r="B12" s="265" t="str">
        <f>HLOOKUP(INDICE!$F$2,Nombres!$C$3:$D$636,204,FALSE)</f>
        <v>Mexico (***)</v>
      </c>
      <c r="C12" s="265"/>
      <c r="D12" s="265"/>
      <c r="E12" s="265"/>
      <c r="F12" s="265"/>
      <c r="G12" s="265"/>
      <c r="H12" s="265"/>
      <c r="I12" s="265"/>
      <c r="L12" s="246"/>
    </row>
    <row r="13" spans="1:12">
      <c r="A13" s="236"/>
      <c r="B13" s="140">
        <f>+B$4</f>
        <v>45747</v>
      </c>
      <c r="C13" s="140">
        <f t="shared" ref="C13:I13" si="2">+C$4</f>
        <v>45838</v>
      </c>
      <c r="D13" s="140">
        <f t="shared" si="2"/>
        <v>45930</v>
      </c>
      <c r="E13" s="140">
        <f t="shared" si="2"/>
        <v>46022</v>
      </c>
      <c r="F13" s="140">
        <f t="shared" si="2"/>
        <v>46112</v>
      </c>
      <c r="G13" s="140">
        <f t="shared" si="2"/>
        <v>46203</v>
      </c>
      <c r="H13" s="140">
        <f t="shared" si="2"/>
        <v>46295</v>
      </c>
      <c r="I13" s="140">
        <f t="shared" si="2"/>
        <v>46387</v>
      </c>
    </row>
    <row r="14" spans="1:12">
      <c r="A14" s="12" t="str">
        <f>HLOOKUP(INDICE!$F$2,Nombres!$C$3:$D$636,114,FALSE)</f>
        <v>Demand deposits</v>
      </c>
      <c r="B14" s="237">
        <v>80321.63385634408</v>
      </c>
      <c r="C14" s="237">
        <v>79863.957321903552</v>
      </c>
      <c r="D14" s="237">
        <v>79355.298366705407</v>
      </c>
      <c r="E14" s="237">
        <v>83872.616016465865</v>
      </c>
      <c r="F14" s="237">
        <v>84965.891967318152</v>
      </c>
      <c r="G14" s="237">
        <v>83814.50414997754</v>
      </c>
      <c r="H14" s="237">
        <v>0</v>
      </c>
      <c r="I14" s="237">
        <v>0</v>
      </c>
      <c r="J14" s="237"/>
      <c r="L14" s="12"/>
    </row>
    <row r="15" spans="1:12">
      <c r="A15" s="12" t="str">
        <f>HLOOKUP(INDICE!$F$2,Nombres!$C$3:$D$636,115,FALSE)</f>
        <v>Time deposits</v>
      </c>
      <c r="B15" s="237">
        <v>13458.385412043213</v>
      </c>
      <c r="C15" s="237">
        <v>14155.247672600348</v>
      </c>
      <c r="D15" s="237">
        <v>15193.817103261557</v>
      </c>
      <c r="E15" s="237">
        <v>15778.537587059222</v>
      </c>
      <c r="F15" s="237">
        <v>16902.561963517306</v>
      </c>
      <c r="G15" s="237">
        <v>16929.594636567192</v>
      </c>
      <c r="H15" s="237">
        <v>0</v>
      </c>
      <c r="I15" s="237">
        <v>0</v>
      </c>
      <c r="J15" s="237"/>
      <c r="L15" s="12"/>
    </row>
    <row r="16" spans="1:12">
      <c r="A16" s="12" t="str">
        <f>HLOOKUP(INDICE!$F$2,Nombres!$C$3:$D$636,116,FALSE)</f>
        <v>Off balance sheet funds (*)</v>
      </c>
      <c r="B16" s="237">
        <v>65019.971543419393</v>
      </c>
      <c r="C16" s="237">
        <v>68519.541652952816</v>
      </c>
      <c r="D16" s="237">
        <v>73122.942288827064</v>
      </c>
      <c r="E16" s="237">
        <v>73777.68296658597</v>
      </c>
      <c r="F16" s="237">
        <v>75095.796404467765</v>
      </c>
      <c r="G16" s="237">
        <v>78956.567121250322</v>
      </c>
      <c r="H16" s="237">
        <v>0</v>
      </c>
      <c r="I16" s="237">
        <v>0</v>
      </c>
      <c r="J16" s="237"/>
      <c r="L16" s="12"/>
    </row>
    <row r="17" spans="1:12">
      <c r="A17" s="13" t="str">
        <f>HLOOKUP(INDICE!$F$2,Nombres!$C$3:$D$636,208,FALSE)</f>
        <v>Customer funds under management (**)</v>
      </c>
      <c r="B17" s="13">
        <v>158799.9908118067</v>
      </c>
      <c r="C17" s="13">
        <v>162538.74664745672</v>
      </c>
      <c r="D17" s="13">
        <v>167672.05775879402</v>
      </c>
      <c r="E17" s="13">
        <v>173428.83657011105</v>
      </c>
      <c r="F17" s="13">
        <v>176964.25033530322</v>
      </c>
      <c r="G17" s="13">
        <v>179700.66590779505</v>
      </c>
      <c r="H17" s="13">
        <v>0</v>
      </c>
      <c r="I17" s="13">
        <v>0</v>
      </c>
      <c r="J17" s="237"/>
      <c r="L17" s="12"/>
    </row>
    <row r="18" spans="1:12">
      <c r="A18" s="12" t="str">
        <f>HLOOKUP(INDICE!$F$2,Nombres!$C$3:$D$636,118,FALSE)</f>
        <v>Demand + Time deposits</v>
      </c>
      <c r="B18" s="237">
        <f t="shared" ref="B18:I18" si="3">+B14+B15</f>
        <v>93780.019268387288</v>
      </c>
      <c r="C18" s="237">
        <f t="shared" si="3"/>
        <v>94019.204994503903</v>
      </c>
      <c r="D18" s="237">
        <f t="shared" si="3"/>
        <v>94549.115469966957</v>
      </c>
      <c r="E18" s="237">
        <f t="shared" si="3"/>
        <v>99651.15360352509</v>
      </c>
      <c r="F18" s="237">
        <f t="shared" si="3"/>
        <v>101868.45393083546</v>
      </c>
      <c r="G18" s="237">
        <f t="shared" si="3"/>
        <v>100744.09878654472</v>
      </c>
      <c r="H18" s="237">
        <f t="shared" si="3"/>
        <v>0</v>
      </c>
      <c r="I18" s="237">
        <f t="shared" si="3"/>
        <v>0</v>
      </c>
      <c r="J18" s="13"/>
      <c r="L18" s="13"/>
    </row>
    <row r="19" spans="1:12">
      <c r="A19" s="244" t="str">
        <f>HLOOKUP(INDICE!$F$2,Nombres!$C$3:$D$636,205,FALSE)</f>
        <v xml:space="preserve">According to Local GAAP(***) </v>
      </c>
      <c r="B19" s="240">
        <f>+B14+B15+B16-B17</f>
        <v>0</v>
      </c>
      <c r="C19" s="240">
        <f t="shared" ref="C19:I19" si="4">+C14+C15+C16-C17</f>
        <v>0</v>
      </c>
      <c r="D19" s="240">
        <f t="shared" si="4"/>
        <v>0</v>
      </c>
      <c r="E19" s="240">
        <f t="shared" si="4"/>
        <v>0</v>
      </c>
      <c r="F19" s="240">
        <f t="shared" si="4"/>
        <v>0</v>
      </c>
      <c r="G19" s="240">
        <f t="shared" si="4"/>
        <v>0</v>
      </c>
      <c r="H19" s="240">
        <f t="shared" si="4"/>
        <v>0</v>
      </c>
      <c r="I19" s="240">
        <f t="shared" si="4"/>
        <v>0</v>
      </c>
    </row>
    <row r="20" spans="1:12">
      <c r="A20" s="14"/>
      <c r="B20" s="247"/>
      <c r="C20" s="247"/>
      <c r="D20" s="247"/>
      <c r="E20" s="247"/>
      <c r="F20" s="247"/>
      <c r="G20" s="247"/>
      <c r="H20" s="247">
        <f t="shared" ref="H20:I20" si="5">+H14+H15+H16-H17</f>
        <v>0</v>
      </c>
      <c r="I20" s="247">
        <f t="shared" si="5"/>
        <v>0</v>
      </c>
      <c r="K20" s="248"/>
      <c r="L20" s="246"/>
    </row>
    <row r="21" spans="1:12" ht="15.75" customHeight="1">
      <c r="A21" s="22"/>
      <c r="B21" s="265" t="str">
        <f>HLOOKUP(INDICE!$F$2,Nombres!$C$3:$D$636,12,FALSE)</f>
        <v xml:space="preserve">Turkey </v>
      </c>
      <c r="C21" s="265"/>
      <c r="D21" s="265"/>
      <c r="E21" s="265"/>
      <c r="F21" s="265"/>
      <c r="G21" s="265"/>
      <c r="H21" s="265"/>
      <c r="I21" s="265"/>
      <c r="L21" s="246"/>
    </row>
    <row r="22" spans="1:12">
      <c r="A22" s="236"/>
      <c r="B22" s="140">
        <f>+B$4</f>
        <v>45747</v>
      </c>
      <c r="C22" s="140">
        <f t="shared" ref="C22:I22" si="6">+C$4</f>
        <v>45838</v>
      </c>
      <c r="D22" s="140">
        <f t="shared" si="6"/>
        <v>45930</v>
      </c>
      <c r="E22" s="140">
        <f t="shared" si="6"/>
        <v>46022</v>
      </c>
      <c r="F22" s="140">
        <f t="shared" si="6"/>
        <v>46112</v>
      </c>
      <c r="G22" s="140">
        <f t="shared" si="6"/>
        <v>46203</v>
      </c>
      <c r="H22" s="140">
        <f t="shared" si="6"/>
        <v>46295</v>
      </c>
      <c r="I22" s="140">
        <f t="shared" si="6"/>
        <v>46387</v>
      </c>
    </row>
    <row r="23" spans="1:12">
      <c r="A23" s="12" t="str">
        <f>HLOOKUP(INDICE!$F$2,Nombres!$C$3:$D$636,114,FALSE)</f>
        <v>Demand deposits</v>
      </c>
      <c r="B23" s="237">
        <v>23355.288643729546</v>
      </c>
      <c r="C23" s="237">
        <v>25202.059667566198</v>
      </c>
      <c r="D23" s="237">
        <v>26478.889533102931</v>
      </c>
      <c r="E23" s="237">
        <v>29936.347513994577</v>
      </c>
      <c r="F23" s="237">
        <v>31314.858930680148</v>
      </c>
      <c r="G23" s="237">
        <v>31403.728000000036</v>
      </c>
      <c r="H23" s="237">
        <v>0</v>
      </c>
      <c r="I23" s="237">
        <v>0</v>
      </c>
      <c r="L23" s="12"/>
    </row>
    <row r="24" spans="1:12">
      <c r="A24" s="12" t="str">
        <f>HLOOKUP(INDICE!$F$2,Nombres!$C$3:$D$636,115,FALSE)</f>
        <v>Time deposits</v>
      </c>
      <c r="B24" s="237">
        <v>26828.336703268</v>
      </c>
      <c r="C24" s="237">
        <v>26003.649811380794</v>
      </c>
      <c r="D24" s="237">
        <v>29201.700620438416</v>
      </c>
      <c r="E24" s="237">
        <v>29961.125563040325</v>
      </c>
      <c r="F24" s="237">
        <v>31946.821142718156</v>
      </c>
      <c r="G24" s="237">
        <v>36784.710999996889</v>
      </c>
      <c r="H24" s="237">
        <v>0</v>
      </c>
      <c r="I24" s="237">
        <v>0</v>
      </c>
      <c r="L24" s="12"/>
    </row>
    <row r="25" spans="1:12">
      <c r="A25" s="12" t="str">
        <f>HLOOKUP(INDICE!$F$2,Nombres!$C$3:$D$636,116,FALSE)</f>
        <v>Off balance sheet funds (*)</v>
      </c>
      <c r="B25" s="237">
        <v>14336.663579994909</v>
      </c>
      <c r="C25" s="237">
        <v>17801.614660119536</v>
      </c>
      <c r="D25" s="237">
        <v>21756.386447269342</v>
      </c>
      <c r="E25" s="237">
        <v>24964.960877699952</v>
      </c>
      <c r="F25" s="237">
        <v>25803.126336959125</v>
      </c>
      <c r="G25" s="237">
        <v>27668.601000000181</v>
      </c>
      <c r="H25" s="237">
        <v>0</v>
      </c>
      <c r="I25" s="237">
        <v>0</v>
      </c>
      <c r="L25" s="12"/>
    </row>
    <row r="26" spans="1:12">
      <c r="A26" s="13" t="str">
        <f>HLOOKUP(INDICE!$F$2,Nombres!$C$3:$D$636,208,FALSE)</f>
        <v>Customer funds under management (**)</v>
      </c>
      <c r="B26" s="13">
        <v>64520.288926992456</v>
      </c>
      <c r="C26" s="13">
        <v>69007.324139066535</v>
      </c>
      <c r="D26" s="13">
        <v>77436.976600810682</v>
      </c>
      <c r="E26" s="13">
        <v>84862.43395473485</v>
      </c>
      <c r="F26" s="13">
        <v>89064.806410357429</v>
      </c>
      <c r="G26" s="13">
        <v>95857.039999997112</v>
      </c>
      <c r="H26" s="13">
        <v>0</v>
      </c>
      <c r="I26" s="13">
        <v>0</v>
      </c>
      <c r="L26" s="13"/>
    </row>
    <row r="27" spans="1:12">
      <c r="A27" s="12" t="str">
        <f>HLOOKUP(INDICE!$F$2,Nombres!$C$3:$D$636,118,FALSE)</f>
        <v>Demand + Time deposits</v>
      </c>
      <c r="B27" s="237">
        <f t="shared" ref="B27:I27" si="7">+B23+B24</f>
        <v>50183.625346997549</v>
      </c>
      <c r="C27" s="237">
        <f t="shared" si="7"/>
        <v>51205.709478946992</v>
      </c>
      <c r="D27" s="237">
        <f t="shared" si="7"/>
        <v>55680.590153541343</v>
      </c>
      <c r="E27" s="237">
        <f t="shared" si="7"/>
        <v>59897.473077034898</v>
      </c>
      <c r="F27" s="237">
        <f t="shared" si="7"/>
        <v>63261.680073398304</v>
      </c>
      <c r="G27" s="237">
        <f t="shared" si="7"/>
        <v>68188.438999996928</v>
      </c>
      <c r="H27" s="237">
        <f t="shared" si="7"/>
        <v>0</v>
      </c>
      <c r="I27" s="237">
        <f t="shared" si="7"/>
        <v>0</v>
      </c>
    </row>
    <row r="28" spans="1:12">
      <c r="A28" s="14"/>
      <c r="B28" s="240">
        <f>+B23+B24+B25-B26</f>
        <v>0</v>
      </c>
      <c r="C28" s="240">
        <f t="shared" ref="C28:I28" si="8">+C23+C24+C25-C26</f>
        <v>0</v>
      </c>
      <c r="D28" s="240">
        <f t="shared" si="8"/>
        <v>0</v>
      </c>
      <c r="E28" s="240">
        <f t="shared" si="8"/>
        <v>0</v>
      </c>
      <c r="F28" s="240">
        <f t="shared" si="8"/>
        <v>0</v>
      </c>
      <c r="G28" s="240">
        <f t="shared" si="8"/>
        <v>0</v>
      </c>
      <c r="H28" s="240">
        <f t="shared" si="8"/>
        <v>0</v>
      </c>
      <c r="I28" s="240">
        <f t="shared" si="8"/>
        <v>0</v>
      </c>
    </row>
    <row r="29" spans="1:12">
      <c r="A29" s="13"/>
      <c r="B29" s="240">
        <f>+B26-Turquia!B108-Turquia!B109-Turquia!B110</f>
        <v>5.4569682106375694E-12</v>
      </c>
      <c r="C29" s="240">
        <f>+C26-Turquia!C108-Turquia!C109-Turquia!C110</f>
        <v>7.2759576141834259E-12</v>
      </c>
      <c r="D29" s="240">
        <f>+D26-Turquia!D108-Turquia!D109-Turquia!D110</f>
        <v>-1.0913936421275139E-11</v>
      </c>
      <c r="E29" s="240">
        <f>+E26-Turquia!E108-Turquia!E109-Turquia!E110</f>
        <v>-8.1854523159563541E-12</v>
      </c>
      <c r="F29" s="240">
        <f>+F26-Turquia!F108-Turquia!F109-Turquia!F110</f>
        <v>1.4551915228366852E-11</v>
      </c>
      <c r="G29" s="247">
        <f>+G26-Turquia!G108-Turquia!G109-Turquia!G110</f>
        <v>0</v>
      </c>
      <c r="H29" s="240">
        <f>+H26-Turquia!H108-Turquia!H109-Turquia!H110</f>
        <v>0</v>
      </c>
      <c r="I29" s="240">
        <f>+I26-Turquia!I108-Turquia!I109-Turquia!I110</f>
        <v>0</v>
      </c>
    </row>
    <row r="30" spans="1:12" ht="15.75" customHeight="1">
      <c r="A30" s="22"/>
      <c r="B30" s="265" t="str">
        <f>HLOOKUP(INDICE!$F$2,Nombres!$C$3:$D$636,296,FALSE)</f>
        <v>Turkey Bank only</v>
      </c>
      <c r="C30" s="265"/>
      <c r="D30" s="265"/>
      <c r="E30" s="265"/>
      <c r="F30" s="265"/>
      <c r="G30" s="265"/>
      <c r="H30" s="265"/>
      <c r="I30" s="265"/>
      <c r="L30" s="246"/>
    </row>
    <row r="31" spans="1:12">
      <c r="A31" s="236"/>
      <c r="B31" s="140">
        <f>+B$4</f>
        <v>45747</v>
      </c>
      <c r="C31" s="140">
        <f t="shared" ref="C31:I31" si="9">+C$4</f>
        <v>45838</v>
      </c>
      <c r="D31" s="140">
        <f t="shared" si="9"/>
        <v>45930</v>
      </c>
      <c r="E31" s="140">
        <f t="shared" si="9"/>
        <v>46022</v>
      </c>
      <c r="F31" s="140">
        <f t="shared" si="9"/>
        <v>46112</v>
      </c>
      <c r="G31" s="140">
        <f t="shared" si="9"/>
        <v>46203</v>
      </c>
      <c r="H31" s="140">
        <f t="shared" si="9"/>
        <v>46295</v>
      </c>
      <c r="I31" s="140">
        <f t="shared" si="9"/>
        <v>46387</v>
      </c>
    </row>
    <row r="32" spans="1:12">
      <c r="A32" s="12" t="str">
        <f>HLOOKUP(INDICE!$F$2,Nombres!$C$3:$D$636,289,FALSE)</f>
        <v>Demand Deposits TL</v>
      </c>
      <c r="B32" s="237">
        <v>4795.7656517306295</v>
      </c>
      <c r="C32" s="237">
        <v>4592.5307764024246</v>
      </c>
      <c r="D32" s="237">
        <v>5075.4973826286332</v>
      </c>
      <c r="E32" s="237">
        <v>5291.6412672929046</v>
      </c>
      <c r="F32" s="237">
        <v>5110.4559588810971</v>
      </c>
      <c r="G32" s="237">
        <v>5712.7325679857049</v>
      </c>
      <c r="H32" s="237">
        <v>0</v>
      </c>
      <c r="I32" s="237">
        <v>0</v>
      </c>
    </row>
    <row r="33" spans="1:12">
      <c r="A33" s="12" t="str">
        <f>HLOOKUP(INDICE!$F$2,Nombres!$C$3:$D$636,290,FALSE)</f>
        <v>Total Time Deposits TL</v>
      </c>
      <c r="B33" s="237">
        <v>20902.567932767928</v>
      </c>
      <c r="C33" s="237">
        <v>22056.861732551104</v>
      </c>
      <c r="D33" s="237">
        <v>22106.21390892817</v>
      </c>
      <c r="E33" s="237">
        <v>24382.425784171392</v>
      </c>
      <c r="F33" s="237">
        <v>25943.653915750732</v>
      </c>
      <c r="G33" s="237">
        <v>31280.535463096654</v>
      </c>
      <c r="H33" s="237">
        <v>0</v>
      </c>
      <c r="I33" s="237">
        <v>0</v>
      </c>
    </row>
    <row r="34" spans="1:12">
      <c r="A34" s="13" t="str">
        <f>HLOOKUP(INDICE!$F$2,Nombres!$C$3:$D$636,291,FALSE)</f>
        <v>Total Deposits TL</v>
      </c>
      <c r="B34" s="13">
        <v>25698.333584498563</v>
      </c>
      <c r="C34" s="13">
        <v>26649.392508953526</v>
      </c>
      <c r="D34" s="13">
        <v>27181.7112915568</v>
      </c>
      <c r="E34" s="13">
        <v>29674.067051464299</v>
      </c>
      <c r="F34" s="13">
        <v>31054.109874631828</v>
      </c>
      <c r="G34" s="13">
        <v>36993.268031082356</v>
      </c>
      <c r="H34" s="13">
        <v>0</v>
      </c>
      <c r="I34" s="13">
        <v>0</v>
      </c>
    </row>
    <row r="35" spans="1:12">
      <c r="A35" s="12" t="str">
        <f>HLOOKUP(INDICE!$F$2,Nombres!$C$3:$D$636,292,FALSE)</f>
        <v>Demand Deposits FC</v>
      </c>
      <c r="B35" s="237">
        <v>13603.634633900965</v>
      </c>
      <c r="C35" s="237">
        <v>14404.078336075585</v>
      </c>
      <c r="D35" s="237">
        <v>15310.458661078779</v>
      </c>
      <c r="E35" s="237">
        <v>16304.708599354542</v>
      </c>
      <c r="F35" s="237">
        <v>16613.302391376743</v>
      </c>
      <c r="G35" s="237">
        <v>15339.423952941484</v>
      </c>
      <c r="H35" s="237">
        <v>0</v>
      </c>
      <c r="I35" s="237">
        <v>0</v>
      </c>
    </row>
    <row r="36" spans="1:12">
      <c r="A36" s="12" t="str">
        <f>HLOOKUP(INDICE!$F$2,Nombres!$C$3:$D$636,293,FALSE)</f>
        <v>Total Time Deposits FC</v>
      </c>
      <c r="B36" s="237">
        <v>3665.7808862494903</v>
      </c>
      <c r="C36" s="237">
        <v>1880.7970432728089</v>
      </c>
      <c r="D36" s="237">
        <v>2629.9196789638909</v>
      </c>
      <c r="E36" s="237">
        <v>2940.2204628427839</v>
      </c>
      <c r="F36" s="237">
        <v>3195.4322906032812</v>
      </c>
      <c r="G36" s="237">
        <v>3201.3498719843901</v>
      </c>
      <c r="H36" s="237">
        <v>0</v>
      </c>
      <c r="I36" s="237">
        <v>0</v>
      </c>
    </row>
    <row r="37" spans="1:12">
      <c r="A37" s="13" t="str">
        <f>HLOOKUP(INDICE!$F$2,Nombres!$C$3:$D$636,294,FALSE)</f>
        <v>Total Deposits FC</v>
      </c>
      <c r="B37" s="13">
        <v>17269.415520150458</v>
      </c>
      <c r="C37" s="13">
        <v>16284.875379348392</v>
      </c>
      <c r="D37" s="13">
        <v>17940.378340042669</v>
      </c>
      <c r="E37" s="13">
        <v>19244.929062197327</v>
      </c>
      <c r="F37" s="13">
        <v>19808.734681980022</v>
      </c>
      <c r="G37" s="13">
        <v>18540.773824925876</v>
      </c>
      <c r="H37" s="13">
        <v>0</v>
      </c>
      <c r="I37" s="13">
        <v>0</v>
      </c>
    </row>
    <row r="38" spans="1:12">
      <c r="A38" s="244" t="str">
        <f>HLOOKUP(INDICE!$F$2,Nombres!$C$3:$D$636,295,FALSE)</f>
        <v>(TL Turkish Lira FC Foreign Currency)</v>
      </c>
      <c r="B38" s="13"/>
      <c r="C38" s="13"/>
      <c r="D38" s="13"/>
      <c r="E38" s="13"/>
      <c r="F38" s="13"/>
      <c r="G38" s="13"/>
      <c r="H38" s="13"/>
      <c r="I38" s="13"/>
    </row>
    <row r="39" spans="1:12">
      <c r="A39" s="13"/>
      <c r="B39" s="13"/>
      <c r="C39" s="13"/>
      <c r="D39" s="13"/>
      <c r="E39" s="13"/>
      <c r="F39" s="13"/>
      <c r="G39" s="13"/>
      <c r="H39" s="13"/>
      <c r="I39" s="13"/>
    </row>
    <row r="40" spans="1:12">
      <c r="A40" s="22"/>
      <c r="B40" s="265" t="str">
        <f>HLOOKUP(INDICE!$F$2,Nombres!$C$3:$D$636,283,FALSE)</f>
        <v xml:space="preserve">South America </v>
      </c>
      <c r="C40" s="265"/>
      <c r="D40" s="265"/>
      <c r="E40" s="265"/>
      <c r="F40" s="265"/>
      <c r="G40" s="265"/>
      <c r="H40" s="265"/>
      <c r="I40" s="265"/>
      <c r="L40" s="246"/>
    </row>
    <row r="41" spans="1:12">
      <c r="A41" s="236"/>
      <c r="B41" s="140">
        <f>+B$4</f>
        <v>45747</v>
      </c>
      <c r="C41" s="140">
        <f t="shared" ref="C41:I41" si="10">+C$4</f>
        <v>45838</v>
      </c>
      <c r="D41" s="140">
        <f t="shared" si="10"/>
        <v>45930</v>
      </c>
      <c r="E41" s="140">
        <f t="shared" si="10"/>
        <v>46022</v>
      </c>
      <c r="F41" s="140">
        <f t="shared" si="10"/>
        <v>46112</v>
      </c>
      <c r="G41" s="140">
        <f t="shared" si="10"/>
        <v>46203</v>
      </c>
      <c r="H41" s="140">
        <f t="shared" si="10"/>
        <v>46295</v>
      </c>
      <c r="I41" s="140">
        <f t="shared" si="10"/>
        <v>46387</v>
      </c>
    </row>
    <row r="42" spans="1:12">
      <c r="A42" s="12" t="s">
        <v>29</v>
      </c>
      <c r="B42" s="237">
        <v>8624.0358538491982</v>
      </c>
      <c r="C42" s="237">
        <v>9780.4092016073428</v>
      </c>
      <c r="D42" s="237">
        <v>11643.05801634421</v>
      </c>
      <c r="E42" s="237">
        <v>12373.091704940789</v>
      </c>
      <c r="F42" s="237">
        <v>13137.200014501075</v>
      </c>
      <c r="G42" s="237">
        <v>14265.176643865134</v>
      </c>
      <c r="H42" s="237">
        <v>0</v>
      </c>
      <c r="I42" s="237">
        <v>0</v>
      </c>
      <c r="L42" s="12"/>
    </row>
    <row r="43" spans="1:12">
      <c r="A43" s="12" t="s">
        <v>30</v>
      </c>
      <c r="B43" s="237">
        <v>9.7362406557798388E-4</v>
      </c>
      <c r="C43" s="237">
        <v>2.0871130639445036E-3</v>
      </c>
      <c r="D43" s="237">
        <v>9.665224630191923E-3</v>
      </c>
      <c r="E43" s="237">
        <v>2.4341726591175422E-2</v>
      </c>
      <c r="F43" s="237">
        <v>1.847827434539795E-8</v>
      </c>
      <c r="G43" s="237">
        <v>-1.7546117305755616E-10</v>
      </c>
      <c r="H43" s="237">
        <v>0</v>
      </c>
      <c r="I43" s="237">
        <v>0</v>
      </c>
      <c r="L43" s="12"/>
    </row>
    <row r="44" spans="1:12">
      <c r="A44" s="12" t="s">
        <v>31</v>
      </c>
      <c r="B44" s="237">
        <v>23120.478709997664</v>
      </c>
      <c r="C44" s="237">
        <v>23469.853125281388</v>
      </c>
      <c r="D44" s="237">
        <v>23485.46717244251</v>
      </c>
      <c r="E44" s="237">
        <v>24301.96884525205</v>
      </c>
      <c r="F44" s="237">
        <v>25129.849723427837</v>
      </c>
      <c r="G44" s="237">
        <v>25990.135600597856</v>
      </c>
      <c r="H44" s="237">
        <v>0</v>
      </c>
      <c r="I44" s="237">
        <v>0</v>
      </c>
      <c r="L44" s="12"/>
    </row>
    <row r="45" spans="1:12">
      <c r="A45" s="12" t="s">
        <v>32</v>
      </c>
      <c r="B45" s="237">
        <v>22599.084490723424</v>
      </c>
      <c r="C45" s="237">
        <v>22598.529798169126</v>
      </c>
      <c r="D45" s="237">
        <v>23444.045863873103</v>
      </c>
      <c r="E45" s="237">
        <v>24398.50930456178</v>
      </c>
      <c r="F45" s="237">
        <v>25845.812180010755</v>
      </c>
      <c r="G45" s="237">
        <v>25849.962670944366</v>
      </c>
      <c r="H45" s="237">
        <v>0</v>
      </c>
      <c r="I45" s="237">
        <v>0</v>
      </c>
      <c r="L45" s="12"/>
    </row>
    <row r="46" spans="1:12">
      <c r="A46" s="12" t="s">
        <v>214</v>
      </c>
      <c r="B46" s="237">
        <f t="shared" ref="B46:I46" si="11">+B47-B45-B44-B43-B42</f>
        <v>4107.4930641745741</v>
      </c>
      <c r="C46" s="237">
        <f t="shared" si="11"/>
        <v>4023.4735345499503</v>
      </c>
      <c r="D46" s="237">
        <f t="shared" si="11"/>
        <v>4003.3634124122018</v>
      </c>
      <c r="E46" s="237">
        <f t="shared" si="11"/>
        <v>3860.0281831506527</v>
      </c>
      <c r="F46" s="237">
        <f t="shared" si="11"/>
        <v>4356.9444752906275</v>
      </c>
      <c r="G46" s="237">
        <f t="shared" si="11"/>
        <v>4538.5711359129727</v>
      </c>
      <c r="H46" s="237">
        <f t="shared" si="11"/>
        <v>0</v>
      </c>
      <c r="I46" s="237">
        <f t="shared" si="11"/>
        <v>0</v>
      </c>
      <c r="L46" s="12"/>
    </row>
    <row r="47" spans="1:12">
      <c r="A47" s="13" t="str">
        <f>HLOOKUP(INDICE!$F$2,Nombres!$C$3:$D$636,208,FALSE)</f>
        <v>Customer funds under management (**)</v>
      </c>
      <c r="B47" s="13">
        <v>58451.093092368923</v>
      </c>
      <c r="C47" s="13">
        <v>59872.26774672087</v>
      </c>
      <c r="D47" s="13">
        <v>62575.944130296659</v>
      </c>
      <c r="E47" s="13">
        <v>64933.622379631866</v>
      </c>
      <c r="F47" s="13">
        <v>68469.806393248771</v>
      </c>
      <c r="G47" s="13">
        <v>70643.846051320157</v>
      </c>
      <c r="H47" s="13">
        <v>0</v>
      </c>
      <c r="I47" s="13">
        <v>0</v>
      </c>
      <c r="L47" s="13"/>
    </row>
    <row r="48" spans="1:12">
      <c r="A48" s="14"/>
      <c r="B48" s="240">
        <f>+B42+B43+B44+B45+B46-B47</f>
        <v>0</v>
      </c>
      <c r="C48" s="240">
        <f t="shared" ref="C48:I48" si="12">+C42+C43+C44+C45+C46-C47</f>
        <v>0</v>
      </c>
      <c r="D48" s="240">
        <f t="shared" si="12"/>
        <v>0</v>
      </c>
      <c r="E48" s="240">
        <f t="shared" si="12"/>
        <v>0</v>
      </c>
      <c r="F48" s="240">
        <f t="shared" si="12"/>
        <v>0</v>
      </c>
      <c r="G48" s="240">
        <f t="shared" si="12"/>
        <v>0</v>
      </c>
      <c r="H48" s="240">
        <f t="shared" si="12"/>
        <v>0</v>
      </c>
      <c r="I48" s="240">
        <f t="shared" si="12"/>
        <v>0</v>
      </c>
    </row>
    <row r="49" spans="1:12">
      <c r="A49" s="14"/>
      <c r="B49" s="240"/>
      <c r="C49" s="240"/>
      <c r="D49" s="240"/>
      <c r="E49" s="240"/>
      <c r="F49" s="240"/>
      <c r="G49" s="240"/>
      <c r="H49" s="240"/>
      <c r="I49" s="240"/>
    </row>
    <row r="50" spans="1:12" ht="15.75" customHeight="1">
      <c r="A50" s="22"/>
      <c r="B50" s="265" t="str">
        <f>HLOOKUP(INDICE!$F$2,Nombres!$C$3:$D$636,263,FALSE)</f>
        <v>Rest of Business</v>
      </c>
      <c r="C50" s="265"/>
      <c r="D50" s="265"/>
      <c r="E50" s="265"/>
      <c r="F50" s="265"/>
      <c r="G50" s="265"/>
      <c r="H50" s="265"/>
      <c r="I50" s="265"/>
      <c r="L50" s="246"/>
    </row>
    <row r="51" spans="1:12">
      <c r="A51" s="236"/>
      <c r="B51" s="140">
        <f>+B$4</f>
        <v>45747</v>
      </c>
      <c r="C51" s="140">
        <f t="shared" ref="C51:I51" si="13">+C$4</f>
        <v>45838</v>
      </c>
      <c r="D51" s="140">
        <f t="shared" si="13"/>
        <v>45930</v>
      </c>
      <c r="E51" s="140">
        <f t="shared" si="13"/>
        <v>46022</v>
      </c>
      <c r="F51" s="140">
        <f t="shared" si="13"/>
        <v>46112</v>
      </c>
      <c r="G51" s="140">
        <f t="shared" si="13"/>
        <v>46203</v>
      </c>
      <c r="H51" s="140">
        <f t="shared" si="13"/>
        <v>46295</v>
      </c>
      <c r="I51" s="140">
        <f t="shared" si="13"/>
        <v>46387</v>
      </c>
    </row>
    <row r="52" spans="1:12">
      <c r="A52" s="12" t="str">
        <f>HLOOKUP(INDICE!$F$2,Nombres!$C$3:$D$636,114,FALSE)</f>
        <v>Demand deposits</v>
      </c>
      <c r="B52" s="237">
        <v>12233.737412120932</v>
      </c>
      <c r="C52" s="237">
        <v>12344.88672269408</v>
      </c>
      <c r="D52" s="237">
        <v>16549.722491508779</v>
      </c>
      <c r="E52" s="237">
        <v>20934.562023285296</v>
      </c>
      <c r="F52" s="237">
        <v>20404.135334013004</v>
      </c>
      <c r="G52" s="237">
        <v>19334.26526975981</v>
      </c>
      <c r="H52" s="237">
        <v>0</v>
      </c>
      <c r="I52" s="237">
        <v>0</v>
      </c>
      <c r="L52" s="12"/>
    </row>
    <row r="53" spans="1:12">
      <c r="A53" s="12" t="str">
        <f>HLOOKUP(INDICE!$F$2,Nombres!$C$3:$D$636,115,FALSE)</f>
        <v>Time deposits</v>
      </c>
      <c r="B53" s="237">
        <v>15244.543574132755</v>
      </c>
      <c r="C53" s="237">
        <v>13832.935145181433</v>
      </c>
      <c r="D53" s="237">
        <v>18960.473338658485</v>
      </c>
      <c r="E53" s="237">
        <v>20374.262101500713</v>
      </c>
      <c r="F53" s="237">
        <v>17748.3982049113</v>
      </c>
      <c r="G53" s="237">
        <v>21692.831651079636</v>
      </c>
      <c r="H53" s="237">
        <v>0</v>
      </c>
      <c r="I53" s="237">
        <v>0</v>
      </c>
      <c r="L53" s="12"/>
    </row>
    <row r="54" spans="1:12">
      <c r="A54" s="12" t="str">
        <f>HLOOKUP(INDICE!$F$2,Nombres!$C$3:$D$636,116,FALSE)</f>
        <v>Off balance sheet funds (*)</v>
      </c>
      <c r="B54" s="237">
        <v>655</v>
      </c>
      <c r="C54" s="237">
        <v>681.75939010000002</v>
      </c>
      <c r="D54" s="237">
        <v>686.829971</v>
      </c>
      <c r="E54" s="237">
        <v>735.87697260000004</v>
      </c>
      <c r="F54" s="237">
        <v>754.70387359999995</v>
      </c>
      <c r="G54" s="237">
        <v>783.15508629999999</v>
      </c>
      <c r="H54" s="237">
        <v>0</v>
      </c>
      <c r="I54" s="237">
        <v>0</v>
      </c>
      <c r="L54" s="12"/>
    </row>
    <row r="55" spans="1:12">
      <c r="A55" s="13" t="str">
        <f>HLOOKUP(INDICE!$F$2,Nombres!$C$3:$D$636,208,FALSE)</f>
        <v>Customer funds under management (**)</v>
      </c>
      <c r="B55" s="13">
        <v>28133.280986253678</v>
      </c>
      <c r="C55" s="13">
        <v>26859.581257975518</v>
      </c>
      <c r="D55" s="13">
        <v>36197.02580116727</v>
      </c>
      <c r="E55" s="13">
        <v>42044.701097386038</v>
      </c>
      <c r="F55" s="13">
        <v>38907.2374125243</v>
      </c>
      <c r="G55" s="13">
        <v>41810.252007139461</v>
      </c>
      <c r="H55" s="13">
        <v>0</v>
      </c>
      <c r="I55" s="13">
        <v>0</v>
      </c>
      <c r="L55" s="13"/>
    </row>
    <row r="56" spans="1:12">
      <c r="A56" s="12" t="str">
        <f>HLOOKUP(INDICE!$F$2,Nombres!$C$3:$D$636,118,FALSE)</f>
        <v>Demand + Time deposits</v>
      </c>
      <c r="B56" s="237">
        <f>+B52+B53</f>
        <v>27478.280986253689</v>
      </c>
      <c r="C56" s="237">
        <f>+C52+C53</f>
        <v>26177.821867875515</v>
      </c>
      <c r="D56" s="237">
        <f t="shared" ref="D56:I56" si="14">+D52+D53</f>
        <v>35510.195830167264</v>
      </c>
      <c r="E56" s="237">
        <f t="shared" si="14"/>
        <v>41308.824124786013</v>
      </c>
      <c r="F56" s="237">
        <f t="shared" si="14"/>
        <v>38152.533538924305</v>
      </c>
      <c r="G56" s="237">
        <f t="shared" si="14"/>
        <v>41027.096920839445</v>
      </c>
      <c r="H56" s="237">
        <f t="shared" si="14"/>
        <v>0</v>
      </c>
      <c r="I56" s="237">
        <f t="shared" si="14"/>
        <v>0</v>
      </c>
      <c r="L56" s="14"/>
    </row>
    <row r="57" spans="1:12">
      <c r="A57" s="14"/>
      <c r="B57" s="240"/>
      <c r="C57" s="240"/>
      <c r="D57" s="240"/>
      <c r="E57" s="240"/>
      <c r="F57" s="240"/>
      <c r="G57" s="240"/>
      <c r="H57" s="240"/>
      <c r="I57" s="240"/>
    </row>
    <row r="60" spans="1:12">
      <c r="A60" s="15" t="str">
        <f>HLOOKUP(INDICE!$F$2,Nombres!$C$3:$D$636,206,FALSE)</f>
        <v xml:space="preserve">Includes investment funds, managed portfolios, pension funds and other off-balance sheet funds. (*) </v>
      </c>
    </row>
    <row r="61" spans="1:12">
      <c r="A61" s="15" t="str">
        <f>HLOOKUP(INDICE!$F$2,Nombres!$C$3:$D$636,207,FALSE)</f>
        <v>Excluding repos  (**)</v>
      </c>
    </row>
    <row r="62" spans="1:12">
      <c r="A62" s="15"/>
    </row>
    <row r="63" spans="1:12">
      <c r="B63" s="249"/>
      <c r="C63" s="249"/>
      <c r="D63" s="249"/>
      <c r="E63" s="249"/>
      <c r="F63" s="249"/>
      <c r="G63" s="249"/>
      <c r="H63" s="249"/>
      <c r="I63" s="249"/>
    </row>
    <row r="64" spans="1:12">
      <c r="B64" s="240">
        <f>+B42-Argentina!B108-Argentina!B109-Argentina!B110-Argentina!B111</f>
        <v>4.5474735088646412E-13</v>
      </c>
      <c r="C64" s="240">
        <f>+C42-Argentina!C108-Argentina!C109-Argentina!C110-Argentina!C111</f>
        <v>-1.5916157281026244E-12</v>
      </c>
      <c r="D64" s="240">
        <f>+D42-Argentina!D108-Argentina!D109-Argentina!D110-Argentina!D111</f>
        <v>1.3642420526593924E-12</v>
      </c>
      <c r="E64" s="240">
        <f>+E42-Argentina!E108-Argentina!E109-Argentina!E110-Argentina!E111</f>
        <v>-1.3642420526593924E-12</v>
      </c>
      <c r="F64" s="240">
        <f>+F42-Argentina!F108-Argentina!F109-Argentina!F110-Argentina!F111</f>
        <v>-9.0949470177292824E-13</v>
      </c>
      <c r="G64" s="240">
        <f>+G42-Argentina!G108-Argentina!G109-Argentina!G110-Argentina!G111</f>
        <v>2.2737367544323206E-12</v>
      </c>
      <c r="H64" s="240">
        <f>+H42-Argentina!H108-Argentina!H109-Argentina!H110-Argentina!H111</f>
        <v>0</v>
      </c>
      <c r="I64" s="240">
        <f>+I42-Argentina!I108-Argentina!I109-Argentina!I110-Argentina!I111</f>
        <v>0</v>
      </c>
    </row>
    <row r="65" spans="2:9">
      <c r="B65" s="240">
        <f>+B43-Chile!B108-Chile!B109-Chile!B110-Chile!B111</f>
        <v>0</v>
      </c>
      <c r="C65" s="240">
        <f>+C43-Chile!C108-Chile!C109-Chile!C110-Chile!C111</f>
        <v>0</v>
      </c>
      <c r="D65" s="240">
        <f>+D43-Chile!D108-Chile!D109-Chile!D110-Chile!D111</f>
        <v>0</v>
      </c>
      <c r="E65" s="240">
        <f>+E43-Chile!E108-Chile!E109-Chile!E110-Chile!E111</f>
        <v>0</v>
      </c>
      <c r="F65" s="240">
        <f>+F43-Chile!F108-Chile!F109-Chile!F110-Chile!F111</f>
        <v>0</v>
      </c>
      <c r="G65" s="240">
        <f>+G43-Chile!G108-Chile!G109-Chile!G110-Chile!G111</f>
        <v>0</v>
      </c>
      <c r="H65" s="240">
        <f>+H43-Chile!H108-Chile!H109-Chile!H110-Chile!H111</f>
        <v>0</v>
      </c>
      <c r="I65" s="240">
        <f>+I43-Chile!I108-Chile!I109-Chile!I110-Chile!I111</f>
        <v>0</v>
      </c>
    </row>
    <row r="66" spans="2:9">
      <c r="B66" s="240">
        <f>+B44-Colombia!B108-Colombia!B109-Colombia!B110-Colombia!B111</f>
        <v>7.73070496506989E-12</v>
      </c>
      <c r="C66" s="240">
        <f>+C44-Colombia!C108-Colombia!C109-Colombia!C110-Colombia!C111</f>
        <v>6.3664629124104977E-12</v>
      </c>
      <c r="D66" s="240">
        <f>+D44-Colombia!D108-Colombia!D109-Colombia!D110-Colombia!D111</f>
        <v>1.5916157281026244E-11</v>
      </c>
      <c r="E66" s="240">
        <f>+E44-Colombia!E108-Colombia!E109-Colombia!E110-Colombia!E111</f>
        <v>1.8189894035458565E-12</v>
      </c>
      <c r="F66" s="240">
        <f>+F44-Colombia!F108-Colombia!F109-Colombia!F110-Colombia!F111</f>
        <v>-6.8212102632969618E-12</v>
      </c>
      <c r="G66" s="240">
        <f>+G44-Colombia!G108-Colombia!G109-Colombia!G110-Colombia!G111</f>
        <v>-7.73070496506989E-12</v>
      </c>
      <c r="H66" s="240">
        <f>+H44-Colombia!H108-Colombia!H109-Colombia!H110-Colombia!H111</f>
        <v>0</v>
      </c>
      <c r="I66" s="240">
        <f>+I44-Colombia!I108-Colombia!I109-Colombia!I110-Colombia!I111</f>
        <v>0</v>
      </c>
    </row>
    <row r="67" spans="2:9">
      <c r="B67" s="240">
        <f>+B45-Peru!B108-Peru!B109-Peru!B110-Peru!B111</f>
        <v>1.3642420526593924E-12</v>
      </c>
      <c r="C67" s="240">
        <f>+C45-Peru!C108-Peru!C109-Peru!C110-Peru!C111</f>
        <v>7.73070496506989E-12</v>
      </c>
      <c r="D67" s="240">
        <f>+D45-Peru!D108-Peru!D109-Peru!D110-Peru!D111</f>
        <v>3.637978807091713E-12</v>
      </c>
      <c r="E67" s="240">
        <f>+E45-Peru!E108-Peru!E109-Peru!E110-Peru!E111</f>
        <v>-5.4569682106375694E-12</v>
      </c>
      <c r="F67" s="240">
        <f>+F45-Peru!F108-Peru!F109-Peru!F110-Peru!F111</f>
        <v>-7.2759576141834259E-12</v>
      </c>
      <c r="G67" s="240">
        <f>+G45-Peru!G108-Peru!G109-Peru!G110-Peru!G111</f>
        <v>3.1832314562052488E-12</v>
      </c>
      <c r="H67" s="240">
        <f>+H45-Peru!H108-Peru!H109-Peru!H110-Peru!H111</f>
        <v>0</v>
      </c>
      <c r="I67" s="240">
        <f>+I45-Peru!I108-Peru!I109-Peru!I110-Peru!I111</f>
        <v>0</v>
      </c>
    </row>
    <row r="68" spans="2:9">
      <c r="B68" s="240">
        <f>+B47-AdS!B108-AdS!B109-AdS!B110-AdS!B111</f>
        <v>4.5474735088646412E-12</v>
      </c>
      <c r="C68" s="240">
        <f>+C47-AdS!C108-AdS!C109-AdS!C110-AdS!C111</f>
        <v>-7.2759576141834259E-12</v>
      </c>
      <c r="D68" s="240">
        <f>+D47-AdS!D108-AdS!D109-AdS!D110-AdS!D111</f>
        <v>-2.0008883439004421E-11</v>
      </c>
      <c r="E68" s="240">
        <f>+E47-AdS!E108-AdS!E109-AdS!E110-AdS!E111</f>
        <v>-7.2759576141834259E-12</v>
      </c>
      <c r="F68" s="240">
        <f>+F47-AdS!F108-AdS!F109-AdS!F110-AdS!F111</f>
        <v>1.4551915228366852E-11</v>
      </c>
      <c r="G68" s="240">
        <f>+G47-AdS!G108-AdS!G109-AdS!G110-AdS!G111</f>
        <v>-9.0949470177292824E-12</v>
      </c>
      <c r="H68" s="240">
        <f>+H47-AdS!H108-AdS!H109-AdS!H110-AdS!H111</f>
        <v>0</v>
      </c>
      <c r="I68" s="240">
        <f>+I47-AdS!I108-AdS!I109-AdS!I110-AdS!I111</f>
        <v>0</v>
      </c>
    </row>
    <row r="69" spans="2:9">
      <c r="B69" s="249"/>
      <c r="C69" s="249"/>
      <c r="D69" s="249"/>
      <c r="E69" s="249"/>
      <c r="F69" s="249"/>
      <c r="G69" s="249"/>
      <c r="H69" s="249"/>
      <c r="I69" s="249"/>
    </row>
    <row r="70" spans="2:9">
      <c r="B70" s="249"/>
      <c r="C70" s="249"/>
      <c r="D70" s="249"/>
      <c r="E70" s="249"/>
      <c r="F70" s="249"/>
      <c r="G70" s="249"/>
      <c r="H70" s="249"/>
      <c r="I70" s="249"/>
    </row>
    <row r="71" spans="2:9">
      <c r="B71" s="249"/>
      <c r="C71" s="249"/>
      <c r="D71" s="249"/>
      <c r="E71" s="249"/>
      <c r="F71" s="249"/>
      <c r="G71" s="249"/>
      <c r="H71" s="249"/>
      <c r="I71" s="249"/>
    </row>
    <row r="72" spans="2:9">
      <c r="B72" s="249"/>
      <c r="C72" s="249"/>
      <c r="D72" s="249"/>
      <c r="E72" s="249"/>
      <c r="F72" s="249"/>
      <c r="G72" s="249"/>
      <c r="H72" s="249"/>
      <c r="I72" s="249"/>
    </row>
    <row r="73" spans="2:9">
      <c r="B73" s="249"/>
      <c r="C73" s="249"/>
      <c r="D73" s="249"/>
      <c r="E73" s="249"/>
      <c r="F73" s="249"/>
      <c r="G73" s="249"/>
      <c r="H73" s="249"/>
      <c r="I73" s="249"/>
    </row>
    <row r="74" spans="2:9">
      <c r="B74" s="249"/>
      <c r="C74" s="249"/>
      <c r="D74" s="249"/>
      <c r="E74" s="249"/>
      <c r="F74" s="249"/>
      <c r="G74" s="249"/>
      <c r="H74" s="249"/>
      <c r="I74" s="249"/>
    </row>
    <row r="1010" spans="1:1">
      <c r="A1010" s="233" t="s">
        <v>557</v>
      </c>
    </row>
  </sheetData>
  <mergeCells count="6">
    <mergeCell ref="B50:I50"/>
    <mergeCell ref="B3:I3"/>
    <mergeCell ref="B12:I12"/>
    <mergeCell ref="B21:I21"/>
    <mergeCell ref="B30:I30"/>
    <mergeCell ref="B40:I40"/>
  </mergeCells>
  <conditionalFormatting sqref="B10:I11">
    <cfRule type="cellIs" dxfId="7" priority="4" operator="notBetween">
      <formula>0.5</formula>
      <formula>-0.5</formula>
    </cfRule>
  </conditionalFormatting>
  <conditionalFormatting sqref="B19:I20">
    <cfRule type="cellIs" dxfId="6" priority="3" operator="notBetween">
      <formula>0.5</formula>
      <formula>-0.5</formula>
    </cfRule>
  </conditionalFormatting>
  <conditionalFormatting sqref="B28:I29">
    <cfRule type="cellIs" dxfId="5" priority="2" operator="notBetween">
      <formula>0.5</formula>
      <formula>-0.5</formula>
    </cfRule>
  </conditionalFormatting>
  <conditionalFormatting sqref="B48:I49 B57:I57">
    <cfRule type="cellIs" dxfId="4" priority="5" operator="notBetween">
      <formula>0.5</formula>
      <formula>-0.5</formula>
    </cfRule>
  </conditionalFormatting>
  <conditionalFormatting sqref="B64:I68">
    <cfRule type="cellIs" dxfId="3" priority="1" operator="notBetween">
      <formula>0.5</formula>
      <formula>-0.5</formula>
    </cfRule>
  </conditionalFormatting>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676F2-2131-4F3A-8299-5B6D3F1FBF24}">
  <sheetPr>
    <tabColor theme="8"/>
  </sheetPr>
  <dimension ref="A1:I997"/>
  <sheetViews>
    <sheetView showGridLines="0" zoomScale="90" zoomScaleNormal="90" workbookViewId="0">
      <selection activeCell="N23" sqref="N23:N24"/>
    </sheetView>
  </sheetViews>
  <sheetFormatPr baseColWidth="10" defaultColWidth="11.453125" defaultRowHeight="14.5"/>
  <cols>
    <col min="1" max="1" width="33.7265625" customWidth="1"/>
    <col min="8" max="9" width="0" hidden="1" customWidth="1"/>
  </cols>
  <sheetData>
    <row r="1" spans="1:9" ht="17">
      <c r="A1" s="250" t="str">
        <f>HLOOKUP(INDICE!$F$2,Nombres!$C$3:$D$636,242,FALSE)</f>
        <v>ALCO Portfolio</v>
      </c>
      <c r="B1" s="231"/>
      <c r="C1" s="231"/>
      <c r="D1" s="231"/>
      <c r="E1" s="231"/>
      <c r="F1" s="231"/>
      <c r="G1" s="231"/>
      <c r="H1" s="231"/>
      <c r="I1" s="231"/>
    </row>
    <row r="2" spans="1:9">
      <c r="A2" s="107" t="str">
        <f>HLOOKUP(INDICE!$F$2,Nombres!$C$3:$D$636,32,FALSE)</f>
        <v>(Million euros)</v>
      </c>
      <c r="B2" s="14"/>
      <c r="C2" s="14"/>
      <c r="D2" s="14"/>
      <c r="E2" s="14"/>
      <c r="F2" s="14"/>
      <c r="G2" s="233"/>
      <c r="H2" s="233"/>
      <c r="I2" s="233"/>
    </row>
    <row r="3" spans="1:9">
      <c r="A3" s="235"/>
      <c r="B3" s="14"/>
      <c r="C3" s="14"/>
      <c r="D3" s="14"/>
      <c r="E3" s="14"/>
      <c r="F3" s="14"/>
      <c r="G3" s="233"/>
      <c r="H3" s="233"/>
      <c r="I3" s="233"/>
    </row>
    <row r="4" spans="1:9">
      <c r="A4" s="22"/>
      <c r="B4" s="266" t="str">
        <f>HLOOKUP(INDICE!$F$2,Nombres!$C$3:$D$636,239,FALSE)</f>
        <v>Total ALCO Portfolio</v>
      </c>
      <c r="C4" s="265"/>
      <c r="D4" s="265"/>
      <c r="E4" s="265"/>
      <c r="F4" s="265"/>
      <c r="G4" s="265"/>
      <c r="H4" s="265"/>
      <c r="I4" s="265"/>
    </row>
    <row r="5" spans="1:9">
      <c r="A5" s="236"/>
      <c r="B5" s="140">
        <f>+España!B32</f>
        <v>45747</v>
      </c>
      <c r="C5" s="140">
        <f>+España!C32</f>
        <v>45838</v>
      </c>
      <c r="D5" s="140">
        <f>+España!D32</f>
        <v>45930</v>
      </c>
      <c r="E5" s="140">
        <f>+España!E32</f>
        <v>46022</v>
      </c>
      <c r="F5" s="140">
        <f>+España!F32</f>
        <v>46112</v>
      </c>
      <c r="G5" s="140">
        <f>+España!G32</f>
        <v>46203</v>
      </c>
      <c r="H5" s="140">
        <f>+España!H32</f>
        <v>46295</v>
      </c>
      <c r="I5" s="140">
        <f>+España!I32</f>
        <v>46387</v>
      </c>
    </row>
    <row r="6" spans="1:9">
      <c r="A6" s="251" t="str">
        <f>HLOOKUP(INDICE!$F$2,Nombres!$C$3:$D$636,230,FALSE)</f>
        <v>BBVA Group</v>
      </c>
      <c r="B6" s="239">
        <v>82561.2</v>
      </c>
      <c r="C6" s="239">
        <v>80111.22823719999</v>
      </c>
      <c r="D6" s="239">
        <v>83997</v>
      </c>
      <c r="E6" s="239">
        <v>87867</v>
      </c>
      <c r="F6" s="239">
        <v>93092</v>
      </c>
      <c r="G6" s="239">
        <v>89639</v>
      </c>
      <c r="H6" s="239">
        <v>0</v>
      </c>
      <c r="I6" s="239">
        <v>0</v>
      </c>
    </row>
    <row r="7" spans="1:9">
      <c r="A7" s="252" t="str">
        <f>HLOOKUP(INDICE!$F$2,Nombres!$C$3:$D$636,231,FALSE)</f>
        <v>Euro Balance</v>
      </c>
      <c r="B7" s="237">
        <v>50482.8</v>
      </c>
      <c r="C7" s="237">
        <v>50516</v>
      </c>
      <c r="D7" s="237">
        <v>53582</v>
      </c>
      <c r="E7" s="237">
        <v>56588</v>
      </c>
      <c r="F7" s="237">
        <v>58334</v>
      </c>
      <c r="G7" s="237">
        <v>54771</v>
      </c>
      <c r="H7" s="237">
        <v>0</v>
      </c>
      <c r="I7" s="237">
        <v>0</v>
      </c>
    </row>
    <row r="8" spans="1:9">
      <c r="A8" s="253" t="str">
        <f>HLOOKUP(INDICE!$F$2,Nombres!$C$3:$D$636,232,FALSE)</f>
        <v>Spain</v>
      </c>
      <c r="B8" s="237">
        <v>34723.4</v>
      </c>
      <c r="C8" s="237">
        <v>34102</v>
      </c>
      <c r="D8" s="237">
        <v>34138</v>
      </c>
      <c r="E8" s="237">
        <v>35681</v>
      </c>
      <c r="F8" s="237">
        <v>37608</v>
      </c>
      <c r="G8" s="237">
        <v>33430</v>
      </c>
      <c r="H8" s="237">
        <v>0</v>
      </c>
      <c r="I8" s="237">
        <v>0</v>
      </c>
    </row>
    <row r="9" spans="1:9">
      <c r="A9" s="253" t="str">
        <f>HLOOKUP(INDICE!$F$2,Nombres!$C$3:$D$636,233,FALSE)</f>
        <v>Italy</v>
      </c>
      <c r="B9" s="237">
        <v>6990.4</v>
      </c>
      <c r="C9" s="237">
        <v>6979</v>
      </c>
      <c r="D9" s="237">
        <v>6966</v>
      </c>
      <c r="E9" s="237">
        <v>7810</v>
      </c>
      <c r="F9" s="237">
        <v>8122</v>
      </c>
      <c r="G9" s="237">
        <v>8898</v>
      </c>
      <c r="H9" s="237">
        <v>0</v>
      </c>
      <c r="I9" s="237">
        <v>0</v>
      </c>
    </row>
    <row r="10" spans="1:9">
      <c r="A10" s="254" t="str">
        <f>HLOOKUP(INDICE!$F$2,Nombres!$C$3:$D$636,234,FALSE)</f>
        <v>Rest</v>
      </c>
      <c r="B10" s="255">
        <v>8769</v>
      </c>
      <c r="C10" s="255">
        <v>9435</v>
      </c>
      <c r="D10" s="255">
        <v>12478</v>
      </c>
      <c r="E10" s="255">
        <v>13097</v>
      </c>
      <c r="F10" s="255">
        <v>12604</v>
      </c>
      <c r="G10" s="255">
        <v>12443</v>
      </c>
      <c r="H10" s="255">
        <v>0</v>
      </c>
      <c r="I10" s="255">
        <v>0</v>
      </c>
    </row>
    <row r="11" spans="1:9">
      <c r="A11" s="252" t="str">
        <f>HLOOKUP(INDICE!$F$2,Nombres!$C$3:$D$636,236,FALSE)</f>
        <v>Turkey</v>
      </c>
      <c r="B11" s="237">
        <v>9487</v>
      </c>
      <c r="C11" s="237">
        <v>8288</v>
      </c>
      <c r="D11" s="237">
        <v>8391</v>
      </c>
      <c r="E11" s="237">
        <v>8088</v>
      </c>
      <c r="F11" s="237">
        <v>10688</v>
      </c>
      <c r="G11" s="237">
        <v>8421</v>
      </c>
      <c r="H11" s="237">
        <v>0</v>
      </c>
      <c r="I11" s="237">
        <v>0</v>
      </c>
    </row>
    <row r="12" spans="1:9">
      <c r="A12" s="252" t="str">
        <f>HLOOKUP(INDICE!$F$2,Nombres!$C$3:$D$636,237,FALSE)</f>
        <v>Mexico</v>
      </c>
      <c r="B12" s="237">
        <v>15466.2</v>
      </c>
      <c r="C12" s="237">
        <v>15005.528237199998</v>
      </c>
      <c r="D12" s="237">
        <v>15607</v>
      </c>
      <c r="E12" s="237">
        <v>16843</v>
      </c>
      <c r="F12" s="237">
        <v>17513</v>
      </c>
      <c r="G12" s="237">
        <v>19123</v>
      </c>
      <c r="H12" s="237">
        <v>0</v>
      </c>
      <c r="I12" s="237">
        <v>0</v>
      </c>
    </row>
    <row r="13" spans="1:9">
      <c r="A13" s="252" t="str">
        <f>HLOOKUP(INDICE!$F$2,Nombres!$C$3:$D$636,238,FALSE)</f>
        <v>South America</v>
      </c>
      <c r="B13" s="237">
        <v>7125.2</v>
      </c>
      <c r="C13" s="237">
        <v>6301.7000000000007</v>
      </c>
      <c r="D13" s="237">
        <v>6417</v>
      </c>
      <c r="E13" s="237">
        <v>6348</v>
      </c>
      <c r="F13" s="237">
        <v>6557</v>
      </c>
      <c r="G13" s="237">
        <v>7324</v>
      </c>
      <c r="H13" s="237">
        <v>0</v>
      </c>
      <c r="I13" s="237">
        <v>0</v>
      </c>
    </row>
    <row r="14" spans="1:9">
      <c r="A14" s="242"/>
      <c r="B14" s="256">
        <f t="shared" ref="B14:I14" si="0">+B6-B8-B9-B10-B11-B12-B13</f>
        <v>0</v>
      </c>
      <c r="C14" s="256">
        <f t="shared" si="0"/>
        <v>-9.0949470177292824E-12</v>
      </c>
      <c r="D14" s="256">
        <f t="shared" si="0"/>
        <v>0</v>
      </c>
      <c r="E14" s="256">
        <f t="shared" si="0"/>
        <v>0</v>
      </c>
      <c r="F14" s="256">
        <f t="shared" si="0"/>
        <v>0</v>
      </c>
      <c r="G14" s="256">
        <f t="shared" si="0"/>
        <v>0</v>
      </c>
      <c r="H14" s="256">
        <f t="shared" si="0"/>
        <v>0</v>
      </c>
      <c r="I14" s="256">
        <f t="shared" si="0"/>
        <v>0</v>
      </c>
    </row>
    <row r="15" spans="1:9">
      <c r="A15" s="242"/>
      <c r="B15" s="256"/>
      <c r="C15" s="256"/>
      <c r="D15" s="256"/>
      <c r="E15" s="256"/>
      <c r="F15" s="256"/>
      <c r="G15" s="256"/>
      <c r="H15" s="256"/>
      <c r="I15" s="256"/>
    </row>
    <row r="16" spans="1:9">
      <c r="A16" s="242"/>
      <c r="B16" s="256"/>
      <c r="C16" s="256"/>
      <c r="D16" s="256"/>
      <c r="E16" s="256"/>
      <c r="F16" s="256"/>
      <c r="G16" s="256"/>
      <c r="H16" s="256"/>
      <c r="I16" s="256"/>
    </row>
    <row r="17" spans="1:9">
      <c r="A17" s="22"/>
      <c r="B17" s="266" t="str">
        <f>HLOOKUP(INDICE!$F$2,Nombres!$C$3:$D$636,240,FALSE)</f>
        <v>ALCO Portfolio Hold to Collect</v>
      </c>
      <c r="C17" s="265"/>
      <c r="D17" s="265"/>
      <c r="E17" s="265"/>
      <c r="F17" s="265"/>
      <c r="G17" s="265"/>
      <c r="H17" s="265"/>
      <c r="I17" s="265"/>
    </row>
    <row r="18" spans="1:9">
      <c r="A18" s="236"/>
      <c r="B18" s="140">
        <f t="shared" ref="B18:I18" si="1">+B$5</f>
        <v>45747</v>
      </c>
      <c r="C18" s="140">
        <f t="shared" si="1"/>
        <v>45838</v>
      </c>
      <c r="D18" s="140">
        <f t="shared" si="1"/>
        <v>45930</v>
      </c>
      <c r="E18" s="140">
        <f t="shared" si="1"/>
        <v>46022</v>
      </c>
      <c r="F18" s="140">
        <f t="shared" si="1"/>
        <v>46112</v>
      </c>
      <c r="G18" s="140">
        <f t="shared" si="1"/>
        <v>46203</v>
      </c>
      <c r="H18" s="140">
        <f t="shared" si="1"/>
        <v>46295</v>
      </c>
      <c r="I18" s="140">
        <f t="shared" si="1"/>
        <v>46387</v>
      </c>
    </row>
    <row r="19" spans="1:9">
      <c r="A19" s="251" t="str">
        <f>HLOOKUP(INDICE!$F$2,Nombres!$C$3:$D$636,230,FALSE)</f>
        <v>BBVA Group</v>
      </c>
      <c r="B19" s="239">
        <v>51694</v>
      </c>
      <c r="C19" s="239">
        <v>52196.940145</v>
      </c>
      <c r="D19" s="239">
        <v>56165</v>
      </c>
      <c r="E19" s="239">
        <v>59461</v>
      </c>
      <c r="F19" s="239">
        <v>61458</v>
      </c>
      <c r="G19" s="239">
        <v>59816</v>
      </c>
      <c r="H19" s="239">
        <v>0</v>
      </c>
      <c r="I19" s="239">
        <v>0</v>
      </c>
    </row>
    <row r="20" spans="1:9">
      <c r="A20" s="252" t="str">
        <f>HLOOKUP(INDICE!$F$2,Nombres!$C$3:$D$636,231,FALSE)</f>
        <v>Euro Balance</v>
      </c>
      <c r="B20" s="237">
        <v>41106.400000000001</v>
      </c>
      <c r="C20" s="237">
        <v>41389</v>
      </c>
      <c r="D20" s="237">
        <v>44500</v>
      </c>
      <c r="E20" s="237">
        <v>48086</v>
      </c>
      <c r="F20" s="237">
        <v>50781</v>
      </c>
      <c r="G20" s="237">
        <v>47230</v>
      </c>
      <c r="H20" s="237">
        <v>0</v>
      </c>
      <c r="I20" s="237">
        <v>0</v>
      </c>
    </row>
    <row r="21" spans="1:9">
      <c r="A21" s="253" t="str">
        <f>HLOOKUP(INDICE!$F$2,Nombres!$C$3:$D$636,232,FALSE)</f>
        <v>Spain</v>
      </c>
      <c r="B21" s="237">
        <v>31335.200000000001</v>
      </c>
      <c r="C21" s="237">
        <v>30766</v>
      </c>
      <c r="D21" s="237">
        <v>30794</v>
      </c>
      <c r="E21" s="237">
        <v>32463</v>
      </c>
      <c r="F21" s="237">
        <v>34382</v>
      </c>
      <c r="G21" s="237">
        <v>30196</v>
      </c>
      <c r="H21" s="237">
        <v>0</v>
      </c>
      <c r="I21" s="237">
        <v>0</v>
      </c>
    </row>
    <row r="22" spans="1:9">
      <c r="A22" s="253" t="str">
        <f>HLOOKUP(INDICE!$F$2,Nombres!$C$3:$D$636,233,FALSE)</f>
        <v>Italy</v>
      </c>
      <c r="B22" s="237">
        <v>2890.2</v>
      </c>
      <c r="C22" s="237">
        <v>2886</v>
      </c>
      <c r="D22" s="237">
        <v>2881</v>
      </c>
      <c r="E22" s="237">
        <v>4148</v>
      </c>
      <c r="F22" s="237">
        <v>5400</v>
      </c>
      <c r="G22" s="237">
        <v>6180</v>
      </c>
      <c r="H22" s="237">
        <v>0</v>
      </c>
      <c r="I22" s="237">
        <v>0</v>
      </c>
    </row>
    <row r="23" spans="1:9">
      <c r="A23" s="254" t="str">
        <f>HLOOKUP(INDICE!$F$2,Nombres!$C$3:$D$636,234,FALSE)</f>
        <v>Rest</v>
      </c>
      <c r="B23" s="237">
        <v>6881</v>
      </c>
      <c r="C23" s="237">
        <v>7737</v>
      </c>
      <c r="D23" s="237">
        <v>10825</v>
      </c>
      <c r="E23" s="237">
        <v>11475</v>
      </c>
      <c r="F23" s="237">
        <v>10999</v>
      </c>
      <c r="G23" s="237">
        <v>10854</v>
      </c>
      <c r="H23" s="237">
        <v>0</v>
      </c>
      <c r="I23" s="237">
        <v>0</v>
      </c>
    </row>
    <row r="24" spans="1:9">
      <c r="A24" s="252" t="str">
        <f>HLOOKUP(INDICE!$F$2,Nombres!$C$3:$D$636,236,FALSE)</f>
        <v>Turkey</v>
      </c>
      <c r="B24" s="237">
        <v>6162</v>
      </c>
      <c r="C24" s="237">
        <v>5325</v>
      </c>
      <c r="D24" s="237">
        <v>5491</v>
      </c>
      <c r="E24" s="237">
        <v>5280</v>
      </c>
      <c r="F24" s="237">
        <v>4851</v>
      </c>
      <c r="G24" s="237">
        <v>4871</v>
      </c>
      <c r="H24" s="237">
        <v>0</v>
      </c>
      <c r="I24" s="237">
        <v>0</v>
      </c>
    </row>
    <row r="25" spans="1:9">
      <c r="A25" s="252" t="str">
        <f>HLOOKUP(INDICE!$F$2,Nombres!$C$3:$D$636,237,FALSE)</f>
        <v>Mexico</v>
      </c>
      <c r="B25" s="237">
        <v>4125.6000000000004</v>
      </c>
      <c r="C25" s="237">
        <v>5244.3401450000001</v>
      </c>
      <c r="D25" s="237">
        <v>5455</v>
      </c>
      <c r="E25" s="237">
        <v>5556</v>
      </c>
      <c r="F25" s="237">
        <v>5601</v>
      </c>
      <c r="G25" s="237">
        <v>7482</v>
      </c>
      <c r="H25" s="237">
        <v>0</v>
      </c>
      <c r="I25" s="237">
        <v>0</v>
      </c>
    </row>
    <row r="26" spans="1:9">
      <c r="A26" s="252" t="str">
        <f>HLOOKUP(INDICE!$F$2,Nombres!$C$3:$D$636,238,FALSE)</f>
        <v>South America</v>
      </c>
      <c r="B26" s="237">
        <v>299</v>
      </c>
      <c r="C26" s="237">
        <v>238.6</v>
      </c>
      <c r="D26" s="237">
        <v>719</v>
      </c>
      <c r="E26" s="237">
        <v>539</v>
      </c>
      <c r="F26" s="237">
        <v>225</v>
      </c>
      <c r="G26" s="237">
        <v>233</v>
      </c>
      <c r="H26" s="237">
        <v>0</v>
      </c>
      <c r="I26" s="237">
        <v>0</v>
      </c>
    </row>
    <row r="27" spans="1:9">
      <c r="A27" s="242"/>
      <c r="B27" s="256">
        <f t="shared" ref="B27:I27" si="2">+B19-B21-B22-B23-B24-B25-B26</f>
        <v>0.99999999999818101</v>
      </c>
      <c r="C27" s="256">
        <f t="shared" si="2"/>
        <v>3.694822225952521E-13</v>
      </c>
      <c r="D27" s="256">
        <f t="shared" si="2"/>
        <v>0</v>
      </c>
      <c r="E27" s="256">
        <f t="shared" si="2"/>
        <v>0</v>
      </c>
      <c r="F27" s="256">
        <f t="shared" si="2"/>
        <v>0</v>
      </c>
      <c r="G27" s="256">
        <f t="shared" si="2"/>
        <v>0</v>
      </c>
      <c r="H27" s="256">
        <f t="shared" si="2"/>
        <v>0</v>
      </c>
      <c r="I27" s="256">
        <f t="shared" si="2"/>
        <v>0</v>
      </c>
    </row>
    <row r="28" spans="1:9">
      <c r="A28" s="242"/>
      <c r="B28" s="233"/>
      <c r="C28" s="233"/>
      <c r="D28" s="233"/>
      <c r="E28" s="233"/>
      <c r="F28" s="243"/>
      <c r="G28" s="243"/>
      <c r="H28" s="243"/>
      <c r="I28" s="243"/>
    </row>
    <row r="29" spans="1:9">
      <c r="A29" s="14"/>
      <c r="B29" s="243"/>
      <c r="C29" s="243"/>
      <c r="D29" s="243"/>
      <c r="E29" s="243"/>
      <c r="F29" s="243"/>
      <c r="G29" s="233"/>
      <c r="H29" s="233"/>
      <c r="I29" s="233"/>
    </row>
    <row r="30" spans="1:9">
      <c r="A30" s="22"/>
      <c r="B30" s="266" t="str">
        <f>HLOOKUP(INDICE!$F$2,Nombres!$C$3:$D$636,241,FALSE)</f>
        <v>ALCO Portfolio Hold to Collect and Sell</v>
      </c>
      <c r="C30" s="265"/>
      <c r="D30" s="265"/>
      <c r="E30" s="265"/>
      <c r="F30" s="265"/>
      <c r="G30" s="265"/>
      <c r="H30" s="265"/>
      <c r="I30" s="265"/>
    </row>
    <row r="31" spans="1:9">
      <c r="A31" s="236"/>
      <c r="B31" s="140">
        <f t="shared" ref="B31:I31" si="3">+B$5</f>
        <v>45747</v>
      </c>
      <c r="C31" s="140">
        <f t="shared" si="3"/>
        <v>45838</v>
      </c>
      <c r="D31" s="140">
        <f t="shared" si="3"/>
        <v>45930</v>
      </c>
      <c r="E31" s="140">
        <f t="shared" si="3"/>
        <v>46022</v>
      </c>
      <c r="F31" s="140">
        <f t="shared" si="3"/>
        <v>46112</v>
      </c>
      <c r="G31" s="140">
        <f t="shared" si="3"/>
        <v>46203</v>
      </c>
      <c r="H31" s="140">
        <f t="shared" si="3"/>
        <v>46295</v>
      </c>
      <c r="I31" s="140">
        <f t="shared" si="3"/>
        <v>46387</v>
      </c>
    </row>
    <row r="32" spans="1:9">
      <c r="A32" s="251" t="str">
        <f>HLOOKUP(INDICE!$F$2,Nombres!$C$3:$D$636,230,FALSE)</f>
        <v>BBVA Group</v>
      </c>
      <c r="B32" s="239">
        <v>30867.5</v>
      </c>
      <c r="C32" s="239">
        <v>27914.288092199997</v>
      </c>
      <c r="D32" s="239">
        <v>27832</v>
      </c>
      <c r="E32" s="239">
        <v>28406</v>
      </c>
      <c r="F32" s="239">
        <v>31634</v>
      </c>
      <c r="G32" s="239">
        <v>29823</v>
      </c>
      <c r="H32" s="239">
        <v>0</v>
      </c>
      <c r="I32" s="239">
        <v>0</v>
      </c>
    </row>
    <row r="33" spans="1:9">
      <c r="A33" s="12" t="str">
        <f>HLOOKUP(INDICE!$F$2,Nombres!$C$3:$D$636,231,FALSE)</f>
        <v>Euro Balance</v>
      </c>
      <c r="B33" s="237">
        <v>9376.4</v>
      </c>
      <c r="C33" s="237">
        <v>9127</v>
      </c>
      <c r="D33" s="237">
        <v>9082</v>
      </c>
      <c r="E33" s="237">
        <v>8502</v>
      </c>
      <c r="F33" s="237">
        <v>7553</v>
      </c>
      <c r="G33" s="237">
        <v>7541</v>
      </c>
      <c r="H33" s="237">
        <v>0</v>
      </c>
      <c r="I33" s="237">
        <v>0</v>
      </c>
    </row>
    <row r="34" spans="1:9">
      <c r="A34" s="254" t="str">
        <f>HLOOKUP(INDICE!$F$2,Nombres!$C$3:$D$636,232,FALSE)</f>
        <v>Spain</v>
      </c>
      <c r="B34" s="237">
        <v>3388.2</v>
      </c>
      <c r="C34" s="237">
        <v>3336</v>
      </c>
      <c r="D34" s="237">
        <v>3344</v>
      </c>
      <c r="E34" s="237">
        <v>3218</v>
      </c>
      <c r="F34" s="237">
        <v>3226</v>
      </c>
      <c r="G34" s="237">
        <v>3234</v>
      </c>
      <c r="H34" s="237">
        <v>0</v>
      </c>
      <c r="I34" s="237">
        <v>0</v>
      </c>
    </row>
    <row r="35" spans="1:9">
      <c r="A35" s="254" t="str">
        <f>HLOOKUP(INDICE!$F$2,Nombres!$C$3:$D$636,233,FALSE)</f>
        <v>Italy</v>
      </c>
      <c r="B35" s="237">
        <v>4100.2</v>
      </c>
      <c r="C35" s="237">
        <v>4093</v>
      </c>
      <c r="D35" s="237">
        <v>4085</v>
      </c>
      <c r="E35" s="237">
        <v>3662</v>
      </c>
      <c r="F35" s="237">
        <v>2722</v>
      </c>
      <c r="G35" s="237">
        <v>2718</v>
      </c>
      <c r="H35" s="237">
        <v>0</v>
      </c>
      <c r="I35" s="237">
        <v>0</v>
      </c>
    </row>
    <row r="36" spans="1:9">
      <c r="A36" s="254" t="str">
        <f>HLOOKUP(INDICE!$F$2,Nombres!$C$3:$D$636,234,FALSE)</f>
        <v>Rest</v>
      </c>
      <c r="B36" s="237">
        <v>1888</v>
      </c>
      <c r="C36" s="237">
        <v>1698</v>
      </c>
      <c r="D36" s="237">
        <v>1653</v>
      </c>
      <c r="E36" s="237">
        <v>1622</v>
      </c>
      <c r="F36" s="237">
        <v>1605</v>
      </c>
      <c r="G36" s="237">
        <v>1589</v>
      </c>
      <c r="H36" s="237">
        <v>0</v>
      </c>
      <c r="I36" s="237">
        <v>0</v>
      </c>
    </row>
    <row r="37" spans="1:9">
      <c r="A37" s="12" t="str">
        <f>HLOOKUP(INDICE!$F$2,Nombres!$C$3:$D$636,236,FALSE)</f>
        <v>Turkey</v>
      </c>
      <c r="B37" s="237">
        <v>3325</v>
      </c>
      <c r="C37" s="237">
        <v>2963</v>
      </c>
      <c r="D37" s="237">
        <v>2900</v>
      </c>
      <c r="E37" s="237">
        <v>2808</v>
      </c>
      <c r="F37" s="237">
        <v>5837</v>
      </c>
      <c r="G37" s="237">
        <v>3550</v>
      </c>
      <c r="H37" s="237">
        <v>0</v>
      </c>
      <c r="I37" s="237">
        <v>0</v>
      </c>
    </row>
    <row r="38" spans="1:9">
      <c r="A38" s="12" t="str">
        <f>HLOOKUP(INDICE!$F$2,Nombres!$C$3:$D$636,237,FALSE)</f>
        <v>Mexico</v>
      </c>
      <c r="B38" s="237">
        <v>11340.6</v>
      </c>
      <c r="C38" s="237">
        <v>9761.1880921999982</v>
      </c>
      <c r="D38" s="237">
        <v>10152</v>
      </c>
      <c r="E38" s="237">
        <v>11287</v>
      </c>
      <c r="F38" s="237">
        <v>11912</v>
      </c>
      <c r="G38" s="237">
        <v>11641</v>
      </c>
      <c r="H38" s="237">
        <v>0</v>
      </c>
      <c r="I38" s="237">
        <v>0</v>
      </c>
    </row>
    <row r="39" spans="1:9">
      <c r="A39" s="12" t="str">
        <f>HLOOKUP(INDICE!$F$2,Nombres!$C$3:$D$636,238,FALSE)</f>
        <v>South America</v>
      </c>
      <c r="B39" s="237">
        <v>6825.5</v>
      </c>
      <c r="C39" s="237">
        <v>6063.1</v>
      </c>
      <c r="D39" s="237">
        <v>5698</v>
      </c>
      <c r="E39" s="237">
        <v>5809</v>
      </c>
      <c r="F39" s="237">
        <v>6332</v>
      </c>
      <c r="G39" s="237">
        <v>7091</v>
      </c>
      <c r="H39" s="237">
        <v>0</v>
      </c>
      <c r="I39" s="237">
        <v>0</v>
      </c>
    </row>
    <row r="40" spans="1:9">
      <c r="B40" s="256">
        <f t="shared" ref="B40:I40" si="4">+B32-B34-B35-B36-B37-B38-B39</f>
        <v>0</v>
      </c>
      <c r="C40" s="256">
        <f t="shared" si="4"/>
        <v>0</v>
      </c>
      <c r="D40" s="256">
        <f t="shared" si="4"/>
        <v>0</v>
      </c>
      <c r="E40" s="256">
        <f t="shared" si="4"/>
        <v>0</v>
      </c>
      <c r="F40" s="256">
        <f t="shared" si="4"/>
        <v>0</v>
      </c>
      <c r="G40" s="256">
        <f t="shared" si="4"/>
        <v>0</v>
      </c>
      <c r="H40" s="256">
        <f t="shared" si="4"/>
        <v>0</v>
      </c>
      <c r="I40" s="256">
        <f t="shared" si="4"/>
        <v>0</v>
      </c>
    </row>
    <row r="997" spans="1:1">
      <c r="A997" s="233" t="s">
        <v>557</v>
      </c>
    </row>
  </sheetData>
  <mergeCells count="3">
    <mergeCell ref="B4:I4"/>
    <mergeCell ref="B17:I17"/>
    <mergeCell ref="B30:I30"/>
  </mergeCells>
  <conditionalFormatting sqref="B14:I16">
    <cfRule type="cellIs" dxfId="2" priority="1" operator="notBetween">
      <formula>1</formula>
      <formula>-1</formula>
    </cfRule>
  </conditionalFormatting>
  <conditionalFormatting sqref="B27:I27">
    <cfRule type="cellIs" dxfId="1" priority="3" operator="notBetween">
      <formula>1</formula>
      <formula>-1</formula>
    </cfRule>
  </conditionalFormatting>
  <conditionalFormatting sqref="B40:I40">
    <cfRule type="cellIs" dxfId="0" priority="2" operator="notBetween">
      <formula>1</formula>
      <formula>-1</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A03EC-BB93-4874-B7B9-A7C5A308A666}">
  <sheetPr>
    <tabColor theme="8"/>
  </sheetPr>
  <dimension ref="A1:T995"/>
  <sheetViews>
    <sheetView showGridLines="0" zoomScale="90" zoomScaleNormal="90" workbookViewId="0">
      <selection activeCell="I1" sqref="H1:I1048576"/>
    </sheetView>
  </sheetViews>
  <sheetFormatPr baseColWidth="10" defaultColWidth="11.453125" defaultRowHeight="14.5"/>
  <cols>
    <col min="1" max="1" width="79.1796875" customWidth="1"/>
    <col min="5" max="5" width="10.453125" customWidth="1"/>
    <col min="7" max="7" width="11.81640625" customWidth="1"/>
    <col min="8" max="9" width="11.54296875" hidden="1" customWidth="1"/>
  </cols>
  <sheetData>
    <row r="1" spans="1:20" ht="17">
      <c r="A1" s="56" t="str">
        <f>HLOOKUP(INDICE!$F$2,Nombres!$C$3:$D$636,91,FALSE)</f>
        <v xml:space="preserve">BBVA Group. Consolidated Income statement </v>
      </c>
      <c r="B1" s="57"/>
      <c r="C1" s="57"/>
      <c r="D1" s="57"/>
      <c r="E1" s="57"/>
      <c r="F1" s="57"/>
      <c r="G1" s="57"/>
      <c r="H1" s="57"/>
      <c r="I1" s="57"/>
    </row>
    <row r="2" spans="1:20" ht="19.5">
      <c r="A2" s="58"/>
      <c r="B2" s="57"/>
      <c r="C2" s="57"/>
      <c r="D2" s="57"/>
      <c r="E2" s="57"/>
      <c r="F2" s="57"/>
      <c r="G2" s="57"/>
      <c r="H2" s="57"/>
      <c r="I2" s="57"/>
    </row>
    <row r="3" spans="1:20" ht="17">
      <c r="A3" s="59" t="str">
        <f>HLOOKUP(INDICE!$F$2,Nombres!$C$3:$D$636,31,FALSE)</f>
        <v xml:space="preserve">Income statement  </v>
      </c>
      <c r="B3" s="60"/>
      <c r="C3" s="60"/>
      <c r="D3" s="60"/>
      <c r="E3" s="60"/>
      <c r="F3" s="60"/>
      <c r="G3" s="60"/>
      <c r="H3" s="60"/>
      <c r="I3" s="60"/>
    </row>
    <row r="4" spans="1:20">
      <c r="A4" s="9" t="str">
        <f>HLOOKUP(INDICE!$F$2,Nombres!$C$3:$D$636,32,FALSE)</f>
        <v>(Million euros)</v>
      </c>
      <c r="B4" s="57"/>
      <c r="C4" s="61"/>
      <c r="D4" s="61"/>
      <c r="E4" s="61"/>
      <c r="F4" s="57"/>
      <c r="G4" s="57"/>
      <c r="H4" s="57"/>
      <c r="I4" s="57"/>
    </row>
    <row r="5" spans="1:20">
      <c r="A5" s="62"/>
      <c r="B5" s="57"/>
      <c r="C5" s="61"/>
      <c r="D5" s="61"/>
      <c r="E5" s="61"/>
      <c r="F5" s="57"/>
      <c r="G5" s="57"/>
      <c r="H5" s="57"/>
      <c r="I5" s="57"/>
    </row>
    <row r="6" spans="1:20">
      <c r="A6" s="63"/>
      <c r="B6" s="257">
        <f>+España!B6</f>
        <v>2025</v>
      </c>
      <c r="C6" s="257"/>
      <c r="D6" s="257"/>
      <c r="E6" s="258"/>
      <c r="F6" s="259">
        <f>+España!F6</f>
        <v>2026</v>
      </c>
      <c r="G6" s="257"/>
      <c r="H6" s="257"/>
      <c r="I6" s="257"/>
    </row>
    <row r="7" spans="1:20">
      <c r="A7" s="63"/>
      <c r="B7" s="64" t="str">
        <f>+España!B7</f>
        <v>1Q</v>
      </c>
      <c r="C7" s="64" t="str">
        <f>+España!C7</f>
        <v>2Q</v>
      </c>
      <c r="D7" s="64" t="str">
        <f>+España!D7</f>
        <v>3Q</v>
      </c>
      <c r="E7" s="65" t="str">
        <f>+España!E7</f>
        <v>4Q</v>
      </c>
      <c r="F7" s="64" t="str">
        <f>+España!F7</f>
        <v>1Q</v>
      </c>
      <c r="G7" s="64" t="str">
        <f>+España!G7</f>
        <v>2Q</v>
      </c>
      <c r="H7" s="64" t="str">
        <f>+España!H7</f>
        <v>3Q</v>
      </c>
      <c r="I7" s="64" t="str">
        <f>+España!I7</f>
        <v>4Q</v>
      </c>
    </row>
    <row r="8" spans="1:20">
      <c r="A8" s="17" t="str">
        <f>HLOOKUP(INDICE!$F$2,Nombres!$C$3:$D$636,33,FALSE)</f>
        <v>Net interest income</v>
      </c>
      <c r="B8" s="17">
        <v>6398.4729999999927</v>
      </c>
      <c r="C8" s="17">
        <v>6208.2710000000015</v>
      </c>
      <c r="D8" s="17">
        <v>6639.569999999997</v>
      </c>
      <c r="E8" s="66">
        <v>7033.8080000000073</v>
      </c>
      <c r="F8" s="17">
        <v>7537.2569999999951</v>
      </c>
      <c r="G8" s="67">
        <v>7626.9800000000114</v>
      </c>
      <c r="H8" s="67">
        <v>0</v>
      </c>
      <c r="I8" s="67">
        <v>0</v>
      </c>
      <c r="L8" s="68"/>
      <c r="M8" s="68"/>
      <c r="N8" s="69"/>
      <c r="Q8" s="69"/>
      <c r="R8" s="69"/>
      <c r="S8" s="69"/>
      <c r="T8" s="69"/>
    </row>
    <row r="9" spans="1:20">
      <c r="A9" s="7" t="str">
        <f>HLOOKUP(INDICE!$F$2,Nombres!$C$3:$D$636,34,FALSE)</f>
        <v>Net fees and commissions</v>
      </c>
      <c r="B9" s="70">
        <v>2059.880000000001</v>
      </c>
      <c r="C9" s="70">
        <v>1950.603000000003</v>
      </c>
      <c r="D9" s="70">
        <v>2060.2159999999999</v>
      </c>
      <c r="E9" s="71">
        <v>2144.6869999999994</v>
      </c>
      <c r="F9" s="70">
        <v>2255.9640000000027</v>
      </c>
      <c r="G9" s="70">
        <v>2315.5920000000024</v>
      </c>
      <c r="H9" s="70">
        <v>0</v>
      </c>
      <c r="I9" s="70">
        <v>0</v>
      </c>
      <c r="L9" s="68"/>
      <c r="M9" s="68"/>
      <c r="N9" s="69"/>
      <c r="Q9" s="69"/>
      <c r="R9" s="69"/>
      <c r="S9" s="69"/>
      <c r="T9" s="69"/>
    </row>
    <row r="10" spans="1:20">
      <c r="A10" s="7" t="str">
        <f>HLOOKUP(INDICE!$F$2,Nombres!$C$3:$D$636,35,FALSE)</f>
        <v>Net trading income</v>
      </c>
      <c r="B10" s="70">
        <v>947.62299999999959</v>
      </c>
      <c r="C10" s="70">
        <v>483.7560000000006</v>
      </c>
      <c r="D10" s="70">
        <v>530.53500000000042</v>
      </c>
      <c r="E10" s="71">
        <v>694.15500000000122</v>
      </c>
      <c r="F10" s="70">
        <v>915.33899999999926</v>
      </c>
      <c r="G10" s="70">
        <v>582.20799999999906</v>
      </c>
      <c r="H10" s="70">
        <v>0</v>
      </c>
      <c r="I10" s="70">
        <v>0</v>
      </c>
      <c r="L10" s="68"/>
      <c r="M10" s="68"/>
      <c r="N10" s="69"/>
      <c r="Q10" s="69"/>
      <c r="R10" s="69"/>
      <c r="S10" s="69"/>
      <c r="T10" s="69"/>
    </row>
    <row r="11" spans="1:20">
      <c r="A11" s="7" t="str">
        <f>HLOOKUP(INDICE!$F$2,Nombres!$C$3:$D$636,96,FALSE)</f>
        <v>Dividend income</v>
      </c>
      <c r="B11" s="70">
        <v>9.149999999999725</v>
      </c>
      <c r="C11" s="70">
        <v>66.752999999999474</v>
      </c>
      <c r="D11" s="70">
        <v>3.582000000000404</v>
      </c>
      <c r="E11" s="71">
        <v>43.467000000000176</v>
      </c>
      <c r="F11" s="70">
        <v>22.177999999999763</v>
      </c>
      <c r="G11" s="70">
        <v>61.851999999998405</v>
      </c>
      <c r="H11" s="70">
        <v>0</v>
      </c>
      <c r="I11" s="70">
        <v>0</v>
      </c>
      <c r="L11" s="68"/>
      <c r="M11" s="68"/>
      <c r="N11" s="69"/>
      <c r="Q11" s="69"/>
      <c r="R11" s="69"/>
      <c r="S11" s="69"/>
      <c r="T11" s="69"/>
    </row>
    <row r="12" spans="1:20">
      <c r="A12" s="7" t="str">
        <f>HLOOKUP(INDICE!$F$2,Nombres!$C$3:$D$636,97,FALSE)</f>
        <v>Share of  profit/loss of invest. in subsidaries, joint ventures and associates</v>
      </c>
      <c r="B12" s="70">
        <v>9.3079999999999998</v>
      </c>
      <c r="C12" s="70">
        <v>20.484000000000012</v>
      </c>
      <c r="D12" s="70">
        <v>12.315999999999981</v>
      </c>
      <c r="E12" s="71">
        <v>19.747000000000011</v>
      </c>
      <c r="F12" s="70">
        <v>26.327000000000005</v>
      </c>
      <c r="G12" s="70">
        <v>29.493000000000002</v>
      </c>
      <c r="H12" s="70">
        <v>0</v>
      </c>
      <c r="I12" s="70">
        <v>0</v>
      </c>
      <c r="L12" s="68"/>
      <c r="M12" s="68"/>
      <c r="N12" s="69"/>
      <c r="Q12" s="69"/>
      <c r="R12" s="69"/>
      <c r="S12" s="69"/>
      <c r="T12" s="69"/>
    </row>
    <row r="13" spans="1:20">
      <c r="A13" s="7" t="str">
        <f>HLOOKUP(INDICE!$F$2,Nombres!$C$3:$D$636,98,FALSE)</f>
        <v>Other products and expenses</v>
      </c>
      <c r="B13" s="70">
        <v>-100.13399999999976</v>
      </c>
      <c r="C13" s="70">
        <v>-20.159999999999791</v>
      </c>
      <c r="D13" s="70">
        <v>-144.0289999999998</v>
      </c>
      <c r="E13" s="71">
        <v>-141.35299999999978</v>
      </c>
      <c r="F13" s="70">
        <v>-104.58299999999967</v>
      </c>
      <c r="G13" s="70">
        <v>-110.026</v>
      </c>
      <c r="H13" s="70">
        <v>0</v>
      </c>
      <c r="I13" s="70">
        <v>0</v>
      </c>
      <c r="L13" s="68"/>
      <c r="M13" s="68"/>
      <c r="N13" s="69"/>
      <c r="Q13" s="69"/>
      <c r="R13" s="69"/>
      <c r="S13" s="69"/>
      <c r="T13" s="69"/>
    </row>
    <row r="14" spans="1:20">
      <c r="A14" s="17" t="str">
        <f>HLOOKUP(INDICE!$F$2,Nombres!$C$3:$D$636,37,FALSE)</f>
        <v>Gross income</v>
      </c>
      <c r="B14" s="17">
        <f>+SUM(B8:B13)</f>
        <v>9324.2999999999938</v>
      </c>
      <c r="C14" s="17">
        <f t="shared" ref="C14:I14" si="0">+SUM(C8:C13)</f>
        <v>8709.707000000004</v>
      </c>
      <c r="D14" s="17">
        <f t="shared" si="0"/>
        <v>9102.1899999999969</v>
      </c>
      <c r="E14" s="66">
        <f t="shared" si="0"/>
        <v>9794.5110000000077</v>
      </c>
      <c r="F14" s="17">
        <f t="shared" si="0"/>
        <v>10652.481999999996</v>
      </c>
      <c r="G14" s="67">
        <f t="shared" si="0"/>
        <v>10506.099000000013</v>
      </c>
      <c r="H14" s="67">
        <f t="shared" si="0"/>
        <v>0</v>
      </c>
      <c r="I14" s="67">
        <f t="shared" si="0"/>
        <v>0</v>
      </c>
      <c r="L14" s="68"/>
      <c r="M14" s="68"/>
      <c r="N14" s="69"/>
      <c r="Q14" s="69"/>
      <c r="R14" s="69"/>
      <c r="S14" s="69"/>
      <c r="T14" s="69"/>
    </row>
    <row r="15" spans="1:20">
      <c r="A15" s="7" t="str">
        <f>HLOOKUP(INDICE!$F$2,Nombres!$C$3:$D$636,38,FALSE)</f>
        <v>Operating expenses</v>
      </c>
      <c r="B15" s="70">
        <v>-3562.2879999999523</v>
      </c>
      <c r="C15" s="70">
        <v>-3224.380000000087</v>
      </c>
      <c r="D15" s="70">
        <v>-3573.7800000001071</v>
      </c>
      <c r="E15" s="71">
        <v>-3971.3649999998743</v>
      </c>
      <c r="F15" s="70">
        <v>-4048.6889999999976</v>
      </c>
      <c r="G15" s="70">
        <v>-3951.1820000000034</v>
      </c>
      <c r="H15" s="70">
        <v>0</v>
      </c>
      <c r="I15" s="70">
        <v>0</v>
      </c>
      <c r="L15" s="68"/>
      <c r="M15" s="68"/>
      <c r="N15" s="69"/>
      <c r="Q15" s="69"/>
      <c r="R15" s="69"/>
      <c r="S15" s="69"/>
      <c r="T15" s="69"/>
    </row>
    <row r="16" spans="1:20">
      <c r="A16" s="7" t="str">
        <f>HLOOKUP(INDICE!$F$2,Nombres!$C$3:$D$636,39,FALSE)</f>
        <v xml:space="preserve">  Administration expenses</v>
      </c>
      <c r="B16" s="70">
        <v>-3183.8659999999518</v>
      </c>
      <c r="C16" s="70">
        <v>-2854.0280000000866</v>
      </c>
      <c r="D16" s="70">
        <v>-3194.4300000001062</v>
      </c>
      <c r="E16" s="71">
        <v>-3578.671999999875</v>
      </c>
      <c r="F16" s="70">
        <v>-3630.9039999999982</v>
      </c>
      <c r="G16" s="70">
        <v>-3534.8060000000032</v>
      </c>
      <c r="H16" s="70">
        <v>0</v>
      </c>
      <c r="I16" s="70">
        <v>0</v>
      </c>
      <c r="L16" s="68"/>
      <c r="M16" s="68"/>
      <c r="N16" s="69"/>
      <c r="Q16" s="69"/>
      <c r="R16" s="69"/>
      <c r="S16" s="69"/>
      <c r="T16" s="69"/>
    </row>
    <row r="17" spans="1:20">
      <c r="A17" s="72" t="str">
        <f>HLOOKUP(INDICE!$F$2,Nombres!$C$3:$D$636,40,FALSE)</f>
        <v xml:space="preserve">  Personnel expenses</v>
      </c>
      <c r="B17" s="70">
        <v>-1900.8380000000034</v>
      </c>
      <c r="C17" s="70">
        <v>-1792.3770000000034</v>
      </c>
      <c r="D17" s="70">
        <v>-1898.6580000000001</v>
      </c>
      <c r="E17" s="71">
        <v>-2180.822000000001</v>
      </c>
      <c r="F17" s="70">
        <v>-2201.3959999999975</v>
      </c>
      <c r="G17" s="70">
        <v>-2163.7900000000036</v>
      </c>
      <c r="H17" s="70">
        <v>0</v>
      </c>
      <c r="I17" s="70">
        <v>0</v>
      </c>
      <c r="L17" s="68"/>
      <c r="M17" s="68"/>
      <c r="N17" s="69"/>
      <c r="Q17" s="69"/>
      <c r="R17" s="69"/>
      <c r="S17" s="69"/>
      <c r="T17" s="69"/>
    </row>
    <row r="18" spans="1:20">
      <c r="A18" s="72" t="str">
        <f>HLOOKUP(INDICE!$F$2,Nombres!$C$3:$D$636,41,FALSE)</f>
        <v xml:space="preserve">  General and administrative expenses</v>
      </c>
      <c r="B18" s="70">
        <v>-1283.0279999999482</v>
      </c>
      <c r="C18" s="70">
        <v>-1061.6510000000837</v>
      </c>
      <c r="D18" s="70">
        <v>-1295.7720000001063</v>
      </c>
      <c r="E18" s="71">
        <v>-1397.8499999998733</v>
      </c>
      <c r="F18" s="70">
        <v>-1429.5080000000005</v>
      </c>
      <c r="G18" s="70">
        <v>-1371.0160000000003</v>
      </c>
      <c r="H18" s="70">
        <v>0</v>
      </c>
      <c r="I18" s="70">
        <v>0</v>
      </c>
      <c r="L18" s="68"/>
      <c r="M18" s="68"/>
      <c r="N18" s="69"/>
      <c r="Q18" s="69"/>
      <c r="R18" s="69"/>
      <c r="S18" s="69"/>
      <c r="T18" s="69"/>
    </row>
    <row r="19" spans="1:20">
      <c r="A19" s="7" t="str">
        <f>HLOOKUP(INDICE!$F$2,Nombres!$C$3:$D$636,42,FALSE)</f>
        <v xml:space="preserve">  Depreciation</v>
      </c>
      <c r="B19" s="70">
        <v>-378.42200000000037</v>
      </c>
      <c r="C19" s="70">
        <v>-370.35199999999998</v>
      </c>
      <c r="D19" s="70">
        <v>-379.35000000000014</v>
      </c>
      <c r="E19" s="71">
        <v>-392.69299999999964</v>
      </c>
      <c r="F19" s="70">
        <v>-417.78499999999985</v>
      </c>
      <c r="G19" s="70">
        <v>-416.3760000000002</v>
      </c>
      <c r="H19" s="70">
        <v>0</v>
      </c>
      <c r="I19" s="70">
        <v>0</v>
      </c>
      <c r="L19" s="68"/>
      <c r="M19" s="68"/>
      <c r="N19" s="69"/>
      <c r="Q19" s="69"/>
      <c r="R19" s="69"/>
      <c r="S19" s="69"/>
      <c r="T19" s="69"/>
    </row>
    <row r="20" spans="1:20">
      <c r="A20" s="17" t="str">
        <f>HLOOKUP(INDICE!$F$2,Nombres!$C$3:$D$636,43,FALSE)</f>
        <v>Operating income</v>
      </c>
      <c r="B20" s="17">
        <f>+B14+B15</f>
        <v>5762.0120000000416</v>
      </c>
      <c r="C20" s="17">
        <f t="shared" ref="C20:I20" si="1">+C14+C15</f>
        <v>5485.3269999999175</v>
      </c>
      <c r="D20" s="17">
        <f t="shared" si="1"/>
        <v>5528.4099999998898</v>
      </c>
      <c r="E20" s="66">
        <f t="shared" si="1"/>
        <v>5823.1460000001334</v>
      </c>
      <c r="F20" s="17">
        <f t="shared" si="1"/>
        <v>6603.7929999999988</v>
      </c>
      <c r="G20" s="67">
        <f t="shared" si="1"/>
        <v>6554.9170000000095</v>
      </c>
      <c r="H20" s="67">
        <f t="shared" si="1"/>
        <v>0</v>
      </c>
      <c r="I20" s="67">
        <f t="shared" si="1"/>
        <v>0</v>
      </c>
      <c r="L20" s="68"/>
      <c r="M20" s="68"/>
      <c r="N20" s="69"/>
      <c r="Q20" s="69"/>
      <c r="R20" s="69"/>
      <c r="S20" s="69"/>
      <c r="T20" s="69"/>
    </row>
    <row r="21" spans="1:20">
      <c r="A21" s="7" t="str">
        <f>HLOOKUP(INDICE!$F$2,Nombres!$C$3:$D$636,44,FALSE)</f>
        <v>Impaiment on financial assets not measured at fair value through profit or loss</v>
      </c>
      <c r="B21" s="70">
        <v>-1384.9640000000009</v>
      </c>
      <c r="C21" s="70">
        <v>-1376.5129999999986</v>
      </c>
      <c r="D21" s="70">
        <v>-1566.7639999999992</v>
      </c>
      <c r="E21" s="71">
        <v>-1744.7280000000012</v>
      </c>
      <c r="F21" s="70">
        <v>-1819.5679999999998</v>
      </c>
      <c r="G21" s="70">
        <v>-1676.9709999999993</v>
      </c>
      <c r="H21" s="70">
        <v>0</v>
      </c>
      <c r="I21" s="70">
        <v>0</v>
      </c>
      <c r="L21" s="68"/>
      <c r="M21" s="68"/>
      <c r="N21" s="69"/>
      <c r="Q21" s="69"/>
      <c r="R21" s="69"/>
      <c r="S21" s="69"/>
      <c r="T21" s="69"/>
    </row>
    <row r="22" spans="1:20">
      <c r="A22" s="7" t="str">
        <f>HLOOKUP(INDICE!$F$2,Nombres!$C$3:$D$636,247,FALSE)</f>
        <v>Provisions or reversal of provisions</v>
      </c>
      <c r="B22" s="70">
        <v>-50.6490000000001</v>
      </c>
      <c r="C22" s="70">
        <v>-82.491000000000042</v>
      </c>
      <c r="D22" s="70">
        <v>-99.38900000000001</v>
      </c>
      <c r="E22" s="71">
        <v>-140.47399999999985</v>
      </c>
      <c r="F22" s="70">
        <v>-63.936000000000064</v>
      </c>
      <c r="G22" s="70">
        <v>-31.339999999999964</v>
      </c>
      <c r="H22" s="70">
        <v>0</v>
      </c>
      <c r="I22" s="70">
        <v>0</v>
      </c>
      <c r="L22" s="68"/>
      <c r="M22" s="68"/>
      <c r="N22" s="69"/>
      <c r="Q22" s="69"/>
      <c r="R22" s="69"/>
      <c r="S22" s="69"/>
      <c r="T22" s="69"/>
    </row>
    <row r="23" spans="1:20">
      <c r="A23" s="7" t="str">
        <f>HLOOKUP(INDICE!$F$2,Nombres!$C$3:$D$636,248,FALSE)</f>
        <v>Other results</v>
      </c>
      <c r="B23" s="70">
        <v>21.757999999999999</v>
      </c>
      <c r="C23" s="70">
        <v>49.789000000000122</v>
      </c>
      <c r="D23" s="70">
        <v>5.8129999999998629</v>
      </c>
      <c r="E23" s="71">
        <v>-3.7059999999998969</v>
      </c>
      <c r="F23" s="70">
        <v>2.1380000000000021</v>
      </c>
      <c r="G23" s="70">
        <v>12.213999999999992</v>
      </c>
      <c r="H23" s="70">
        <v>0</v>
      </c>
      <c r="I23" s="70">
        <v>0</v>
      </c>
      <c r="L23" s="68"/>
      <c r="M23" s="68"/>
      <c r="N23" s="69"/>
      <c r="Q23" s="69"/>
      <c r="R23" s="69"/>
      <c r="S23" s="69"/>
      <c r="T23" s="69"/>
    </row>
    <row r="24" spans="1:20">
      <c r="A24" s="17" t="str">
        <f>HLOOKUP(INDICE!$F$2,Nombres!$C$3:$D$636,46,FALSE)</f>
        <v>Profit/(loss) before tax</v>
      </c>
      <c r="B24" s="67">
        <f t="shared" ref="B24:I24" si="2">+B20+B21+B22+B23</f>
        <v>4348.1570000000402</v>
      </c>
      <c r="C24" s="67">
        <f t="shared" si="2"/>
        <v>4076.1119999999187</v>
      </c>
      <c r="D24" s="67">
        <f t="shared" si="2"/>
        <v>3868.0699999998901</v>
      </c>
      <c r="E24" s="66">
        <f t="shared" si="2"/>
        <v>3934.2380000001331</v>
      </c>
      <c r="F24" s="67">
        <f t="shared" si="2"/>
        <v>4722.4269999999988</v>
      </c>
      <c r="G24" s="67">
        <f t="shared" si="2"/>
        <v>4858.8200000000097</v>
      </c>
      <c r="H24" s="67">
        <f t="shared" si="2"/>
        <v>0</v>
      </c>
      <c r="I24" s="67">
        <f t="shared" si="2"/>
        <v>0</v>
      </c>
      <c r="L24" s="68"/>
      <c r="M24" s="68"/>
      <c r="N24" s="69"/>
      <c r="Q24" s="69"/>
      <c r="R24" s="69"/>
      <c r="S24" s="69"/>
      <c r="T24" s="69"/>
    </row>
    <row r="25" spans="1:20">
      <c r="A25" s="7" t="str">
        <f>HLOOKUP(INDICE!$F$2,Nombres!$C$3:$D$636,47,FALSE)</f>
        <v>Income tax</v>
      </c>
      <c r="B25" s="70">
        <v>-1465.7646549999997</v>
      </c>
      <c r="C25" s="70">
        <v>-1160.0816169770003</v>
      </c>
      <c r="D25" s="70">
        <v>-1205.6767029969988</v>
      </c>
      <c r="E25" s="71">
        <v>-1268.8456869960009</v>
      </c>
      <c r="F25" s="70">
        <v>-1533.8449999960014</v>
      </c>
      <c r="G25" s="70">
        <v>-1578.1459999969998</v>
      </c>
      <c r="H25" s="70">
        <v>0</v>
      </c>
      <c r="I25" s="70">
        <v>0</v>
      </c>
      <c r="L25" s="68"/>
      <c r="M25" s="68"/>
      <c r="N25" s="69"/>
      <c r="Q25" s="69"/>
      <c r="R25" s="69"/>
      <c r="S25" s="69"/>
      <c r="T25" s="69"/>
    </row>
    <row r="26" spans="1:20">
      <c r="A26" s="17" t="str">
        <f>HLOOKUP(INDICE!$F$2,Nombres!$C$3:$D$636,48,FALSE)</f>
        <v>Profit/(loss) for the year</v>
      </c>
      <c r="B26" s="67">
        <f t="shared" ref="B26:I26" si="3">+B24+B25</f>
        <v>2882.3923450000402</v>
      </c>
      <c r="C26" s="67">
        <f t="shared" si="3"/>
        <v>2916.0303830229186</v>
      </c>
      <c r="D26" s="67">
        <f t="shared" si="3"/>
        <v>2662.3932970028914</v>
      </c>
      <c r="E26" s="66">
        <f t="shared" si="3"/>
        <v>2665.3923130041321</v>
      </c>
      <c r="F26" s="67">
        <f t="shared" si="3"/>
        <v>3188.5820000039976</v>
      </c>
      <c r="G26" s="67">
        <f t="shared" si="3"/>
        <v>3280.67400000301</v>
      </c>
      <c r="H26" s="67">
        <f t="shared" si="3"/>
        <v>0</v>
      </c>
      <c r="I26" s="67">
        <f t="shared" si="3"/>
        <v>0</v>
      </c>
      <c r="L26" s="68"/>
      <c r="M26" s="68"/>
      <c r="N26" s="69"/>
      <c r="Q26" s="69"/>
      <c r="R26" s="69"/>
      <c r="S26" s="69"/>
      <c r="T26" s="69"/>
    </row>
    <row r="27" spans="1:20">
      <c r="A27" s="7" t="str">
        <f>HLOOKUP(INDICE!$F$2,Nombres!$C$3:$D$636,49,FALSE)</f>
        <v>Non-controlling interests</v>
      </c>
      <c r="B27" s="70">
        <v>-184.33699995717441</v>
      </c>
      <c r="C27" s="70">
        <v>-166.85599996322841</v>
      </c>
      <c r="D27" s="70">
        <v>-131.83999996214666</v>
      </c>
      <c r="E27" s="71">
        <v>-132.09299994900942</v>
      </c>
      <c r="F27" s="70">
        <v>-199.33199997189629</v>
      </c>
      <c r="G27" s="70">
        <v>-218.63699997282478</v>
      </c>
      <c r="H27" s="70">
        <v>0</v>
      </c>
      <c r="I27" s="70">
        <v>0</v>
      </c>
      <c r="L27" s="68"/>
      <c r="M27" s="68"/>
      <c r="N27" s="69"/>
      <c r="Q27" s="69"/>
      <c r="R27" s="69"/>
      <c r="S27" s="69"/>
      <c r="T27" s="69"/>
    </row>
    <row r="28" spans="1:20">
      <c r="A28" s="18" t="str">
        <f>HLOOKUP(INDICE!$F$2,Nombres!$C$3:$D$636,50,FALSE)</f>
        <v>Net attributable profit</v>
      </c>
      <c r="B28" s="18">
        <f>+B26+B27</f>
        <v>2698.0553450428656</v>
      </c>
      <c r="C28" s="18">
        <f t="shared" ref="C28:I28" si="4">+C26+C27</f>
        <v>2749.1743830596902</v>
      </c>
      <c r="D28" s="18">
        <f t="shared" si="4"/>
        <v>2530.5532970407448</v>
      </c>
      <c r="E28" s="18">
        <f t="shared" si="4"/>
        <v>2533.2993130551226</v>
      </c>
      <c r="F28" s="18">
        <f t="shared" si="4"/>
        <v>2989.2500000321011</v>
      </c>
      <c r="G28" s="18">
        <f t="shared" si="4"/>
        <v>3062.037000030185</v>
      </c>
      <c r="H28" s="18">
        <f t="shared" si="4"/>
        <v>0</v>
      </c>
      <c r="I28" s="18">
        <f t="shared" si="4"/>
        <v>0</v>
      </c>
      <c r="L28" s="68"/>
      <c r="M28" s="68"/>
      <c r="N28" s="69"/>
      <c r="O28" s="68"/>
      <c r="P28" s="68"/>
      <c r="Q28" s="69"/>
      <c r="R28" s="69"/>
      <c r="S28" s="69"/>
      <c r="T28" s="69"/>
    </row>
    <row r="29" spans="1:20">
      <c r="B29" s="73"/>
      <c r="C29" s="73"/>
      <c r="D29" s="73"/>
      <c r="E29" s="73"/>
      <c r="F29" s="73"/>
      <c r="G29" s="73"/>
      <c r="H29" s="73"/>
      <c r="I29" s="73"/>
    </row>
    <row r="30" spans="1:20" ht="22.5" customHeight="1">
      <c r="A30" s="7"/>
      <c r="B30" s="73">
        <v>-7.73070496506989E-12</v>
      </c>
      <c r="C30" s="73">
        <v>0</v>
      </c>
      <c r="D30" s="73">
        <v>-3.637978807091713E-12</v>
      </c>
      <c r="E30" s="73">
        <v>0</v>
      </c>
      <c r="F30" s="73">
        <v>0</v>
      </c>
      <c r="G30" s="73">
        <v>0</v>
      </c>
      <c r="H30" s="73">
        <v>0</v>
      </c>
      <c r="I30" s="73">
        <v>0</v>
      </c>
    </row>
    <row r="31" spans="1:20" ht="15" customHeight="1">
      <c r="A31" s="26" t="s">
        <v>558</v>
      </c>
      <c r="B31" s="26"/>
      <c r="C31" s="26"/>
      <c r="D31" s="26"/>
      <c r="E31" s="26"/>
      <c r="F31" s="26"/>
      <c r="G31" s="26"/>
      <c r="H31" s="26"/>
      <c r="I31" s="26"/>
    </row>
    <row r="32" spans="1:20" ht="15" customHeight="1">
      <c r="A32" s="26"/>
      <c r="B32" s="26"/>
      <c r="C32" s="26"/>
      <c r="D32" s="26"/>
      <c r="E32" s="26"/>
      <c r="F32" s="26"/>
      <c r="G32" s="26"/>
      <c r="H32" s="26"/>
      <c r="I32" s="26"/>
    </row>
    <row r="33" spans="1:20">
      <c r="A33" s="26"/>
      <c r="B33" s="26"/>
      <c r="C33" s="26"/>
      <c r="D33" s="26"/>
      <c r="E33" s="26"/>
      <c r="F33" s="26"/>
      <c r="G33" s="26"/>
      <c r="H33" s="26"/>
      <c r="I33" s="26"/>
    </row>
    <row r="34" spans="1:20">
      <c r="A34" s="7"/>
      <c r="B34" s="75"/>
      <c r="C34" s="75"/>
      <c r="D34" s="75"/>
      <c r="E34" s="75"/>
      <c r="F34" s="76"/>
      <c r="G34" s="75"/>
      <c r="H34" s="75"/>
      <c r="I34" s="75"/>
    </row>
    <row r="35" spans="1:20">
      <c r="B35" s="77"/>
      <c r="C35" s="77"/>
      <c r="D35" s="77"/>
      <c r="E35" s="77"/>
      <c r="F35" s="77"/>
      <c r="G35" s="77"/>
      <c r="H35" s="77"/>
      <c r="I35" s="77"/>
    </row>
    <row r="37" spans="1:20" ht="17">
      <c r="A37" s="59" t="str">
        <f>HLOOKUP(INDICE!$F$2,Nombres!$C$3:$D$636,31,FALSE)</f>
        <v xml:space="preserve">Income statement  </v>
      </c>
      <c r="B37" s="60"/>
      <c r="C37" s="60"/>
      <c r="D37" s="60"/>
      <c r="E37" s="60"/>
      <c r="F37" s="60"/>
      <c r="G37" s="60"/>
      <c r="H37" s="60"/>
      <c r="I37" s="60"/>
    </row>
    <row r="38" spans="1:20">
      <c r="A38" s="9" t="str">
        <f>HLOOKUP(INDICE!$F$2,Nombres!$C$3:$D$636,73,FALSE)</f>
        <v xml:space="preserve">(Constant million euros)    </v>
      </c>
      <c r="B38" s="57"/>
      <c r="C38" s="61"/>
      <c r="D38" s="61"/>
      <c r="E38" s="61"/>
      <c r="F38" s="57"/>
      <c r="G38" s="57"/>
      <c r="H38" s="57"/>
      <c r="I38" s="57"/>
    </row>
    <row r="39" spans="1:20">
      <c r="A39" s="62"/>
      <c r="B39" s="57"/>
      <c r="C39" s="61"/>
      <c r="D39" s="61"/>
      <c r="E39" s="61"/>
      <c r="F39" s="57"/>
      <c r="G39" s="57"/>
      <c r="H39" s="57"/>
      <c r="I39" s="57"/>
    </row>
    <row r="40" spans="1:20">
      <c r="A40" s="63"/>
      <c r="B40" s="257">
        <f>+España!B6</f>
        <v>2025</v>
      </c>
      <c r="C40" s="257"/>
      <c r="D40" s="257"/>
      <c r="E40" s="258"/>
      <c r="F40" s="259">
        <f>+España!F6</f>
        <v>2026</v>
      </c>
      <c r="G40" s="257"/>
      <c r="H40" s="257"/>
      <c r="I40" s="257"/>
    </row>
    <row r="41" spans="1:20">
      <c r="A41" s="63"/>
      <c r="B41" s="64" t="str">
        <f>+España!B7</f>
        <v>1Q</v>
      </c>
      <c r="C41" s="64" t="str">
        <f>+España!C7</f>
        <v>2Q</v>
      </c>
      <c r="D41" s="64" t="str">
        <f>+España!D7</f>
        <v>3Q</v>
      </c>
      <c r="E41" s="65" t="str">
        <f>+España!E7</f>
        <v>4Q</v>
      </c>
      <c r="F41" s="64" t="str">
        <f>+España!F7</f>
        <v>1Q</v>
      </c>
      <c r="G41" s="64" t="str">
        <f>+España!G7</f>
        <v>2Q</v>
      </c>
      <c r="H41" s="64" t="str">
        <f>+España!H7</f>
        <v>3Q</v>
      </c>
      <c r="I41" s="64" t="str">
        <f>+España!I7</f>
        <v>4Q</v>
      </c>
    </row>
    <row r="42" spans="1:20">
      <c r="A42" s="17" t="str">
        <f>HLOOKUP(INDICE!$F$2,Nombres!$C$3:$D$636,33,FALSE)</f>
        <v>Net interest income</v>
      </c>
      <c r="B42" s="17">
        <v>6264.5701201521006</v>
      </c>
      <c r="C42" s="17">
        <v>6504.1019383952862</v>
      </c>
      <c r="D42" s="17">
        <v>6941.5170280801449</v>
      </c>
      <c r="E42" s="66">
        <v>7299.8077931746202</v>
      </c>
      <c r="F42" s="17">
        <v>7502.7444169905966</v>
      </c>
      <c r="G42" s="67">
        <v>7661.4925830099237</v>
      </c>
      <c r="H42" s="67">
        <v>0</v>
      </c>
      <c r="I42" s="67">
        <v>0</v>
      </c>
      <c r="L42" s="68"/>
      <c r="M42" s="68"/>
      <c r="N42" s="69"/>
      <c r="Q42" s="69"/>
      <c r="R42" s="69"/>
      <c r="S42" s="69"/>
      <c r="T42" s="69"/>
    </row>
    <row r="43" spans="1:20">
      <c r="A43" s="7" t="str">
        <f>HLOOKUP(INDICE!$F$2,Nombres!$C$3:$D$636,34,FALSE)</f>
        <v>Net fees and commissions</v>
      </c>
      <c r="B43" s="70">
        <v>1939.0685973282141</v>
      </c>
      <c r="C43" s="70">
        <v>2008.8384777138749</v>
      </c>
      <c r="D43" s="70">
        <v>2126.1812326026484</v>
      </c>
      <c r="E43" s="71">
        <v>2219.6544319135601</v>
      </c>
      <c r="F43" s="70">
        <v>2236.3552497393025</v>
      </c>
      <c r="G43" s="70">
        <v>2335.2007502613114</v>
      </c>
      <c r="H43" s="70">
        <v>0</v>
      </c>
      <c r="I43" s="70">
        <v>0</v>
      </c>
      <c r="L43" s="68"/>
      <c r="M43" s="68"/>
      <c r="N43" s="69"/>
      <c r="Q43" s="69"/>
      <c r="R43" s="69"/>
      <c r="S43" s="69"/>
      <c r="T43" s="69"/>
    </row>
    <row r="44" spans="1:20">
      <c r="A44" s="7" t="str">
        <f>HLOOKUP(INDICE!$F$2,Nombres!$C$3:$D$636,35,FALSE)</f>
        <v>Net trading income</v>
      </c>
      <c r="B44" s="70">
        <v>902.07788970314539</v>
      </c>
      <c r="C44" s="70">
        <v>517.64474505384226</v>
      </c>
      <c r="D44" s="70">
        <v>562.9940318286973</v>
      </c>
      <c r="E44" s="71">
        <v>722.70563182879516</v>
      </c>
      <c r="F44" s="70">
        <v>911.8774431118311</v>
      </c>
      <c r="G44" s="70">
        <v>585.66955688813721</v>
      </c>
      <c r="H44" s="70">
        <v>0</v>
      </c>
      <c r="I44" s="70">
        <v>0</v>
      </c>
      <c r="L44" s="68"/>
      <c r="M44" s="68"/>
      <c r="N44" s="69"/>
      <c r="Q44" s="69"/>
      <c r="R44" s="69"/>
      <c r="S44" s="69"/>
      <c r="T44" s="69"/>
    </row>
    <row r="45" spans="1:20">
      <c r="A45" s="7" t="str">
        <f>HLOOKUP(INDICE!$F$2,Nombres!$C$3:$D$636,96,FALSE)</f>
        <v>Dividend income</v>
      </c>
      <c r="B45" s="70">
        <v>9.1369371275528781</v>
      </c>
      <c r="C45" s="70">
        <v>67.344173515388931</v>
      </c>
      <c r="D45" s="70">
        <v>3.7770608062737923</v>
      </c>
      <c r="E45" s="71">
        <v>43.613774957315549</v>
      </c>
      <c r="F45" s="70">
        <v>22.105723214530705</v>
      </c>
      <c r="G45" s="70">
        <v>61.924276785467846</v>
      </c>
      <c r="H45" s="70">
        <v>0</v>
      </c>
      <c r="I45" s="70">
        <v>0</v>
      </c>
      <c r="L45" s="68"/>
      <c r="M45" s="68"/>
      <c r="N45" s="69"/>
      <c r="Q45" s="69"/>
      <c r="R45" s="69"/>
      <c r="S45" s="69"/>
      <c r="T45" s="69"/>
    </row>
    <row r="46" spans="1:20">
      <c r="A46" s="7" t="str">
        <f>HLOOKUP(INDICE!$F$2,Nombres!$C$3:$D$636,97,FALSE)</f>
        <v>Share of  profit/loss of invest. in subsidaries, joint ventures and associates</v>
      </c>
      <c r="B46" s="70">
        <v>9.1211674749552873</v>
      </c>
      <c r="C46" s="70">
        <v>20.83937514390357</v>
      </c>
      <c r="D46" s="70">
        <v>12.534550213736123</v>
      </c>
      <c r="E46" s="71">
        <v>20.130634940203652</v>
      </c>
      <c r="F46" s="70">
        <v>26.35268655075966</v>
      </c>
      <c r="G46" s="70">
        <v>29.467313449240329</v>
      </c>
      <c r="H46" s="70">
        <v>0</v>
      </c>
      <c r="I46" s="70">
        <v>0</v>
      </c>
      <c r="L46" s="68"/>
      <c r="M46" s="68"/>
      <c r="N46" s="69"/>
      <c r="Q46" s="69"/>
      <c r="R46" s="69"/>
      <c r="S46" s="69"/>
      <c r="T46" s="69"/>
    </row>
    <row r="47" spans="1:20">
      <c r="A47" s="7" t="str">
        <f>HLOOKUP(INDICE!$F$2,Nombres!$C$3:$D$636,98,FALSE)</f>
        <v>Other products and expenses</v>
      </c>
      <c r="B47" s="70">
        <v>-148.65496093634212</v>
      </c>
      <c r="C47" s="70">
        <v>11.119324847226023</v>
      </c>
      <c r="D47" s="70">
        <v>-141.52139121152194</v>
      </c>
      <c r="E47" s="71">
        <v>-136.73836034943062</v>
      </c>
      <c r="F47" s="70">
        <v>-108.22788055894628</v>
      </c>
      <c r="G47" s="70">
        <v>-106.38111944213804</v>
      </c>
      <c r="H47" s="70">
        <v>0</v>
      </c>
      <c r="I47" s="70">
        <v>0</v>
      </c>
      <c r="L47" s="68"/>
      <c r="M47" s="68"/>
      <c r="N47" s="69"/>
      <c r="Q47" s="69"/>
      <c r="R47" s="69"/>
      <c r="S47" s="69"/>
      <c r="T47" s="69"/>
    </row>
    <row r="48" spans="1:20">
      <c r="A48" s="17" t="str">
        <f>HLOOKUP(INDICE!$F$2,Nombres!$C$3:$D$636,37,FALSE)</f>
        <v>Gross income</v>
      </c>
      <c r="B48" s="17">
        <f>+SUM(B42:B47)</f>
        <v>8975.3197508496251</v>
      </c>
      <c r="C48" s="17">
        <f t="shared" ref="C48:I48" si="5">+SUM(C42:C47)</f>
        <v>9129.8880346695205</v>
      </c>
      <c r="D48" s="17">
        <f t="shared" si="5"/>
        <v>9505.4825123199807</v>
      </c>
      <c r="E48" s="66">
        <f t="shared" si="5"/>
        <v>10169.173906465065</v>
      </c>
      <c r="F48" s="17">
        <f t="shared" si="5"/>
        <v>10591.207639048072</v>
      </c>
      <c r="G48" s="67">
        <f t="shared" si="5"/>
        <v>10567.373360951944</v>
      </c>
      <c r="H48" s="67">
        <f t="shared" si="5"/>
        <v>0</v>
      </c>
      <c r="I48" s="67">
        <f t="shared" si="5"/>
        <v>0</v>
      </c>
      <c r="L48" s="68"/>
      <c r="M48" s="68"/>
      <c r="N48" s="69"/>
      <c r="Q48" s="69"/>
      <c r="R48" s="69"/>
      <c r="S48" s="69"/>
      <c r="T48" s="69"/>
    </row>
    <row r="49" spans="1:20">
      <c r="A49" s="7" t="str">
        <f>HLOOKUP(INDICE!$F$2,Nombres!$C$3:$D$636,38,FALSE)</f>
        <v>Operating expenses</v>
      </c>
      <c r="B49" s="70">
        <v>-3433.5031277710204</v>
      </c>
      <c r="C49" s="70">
        <v>-3351.686885555313</v>
      </c>
      <c r="D49" s="70">
        <v>-3713.2002264151465</v>
      </c>
      <c r="E49" s="71">
        <v>-4098.2344052523085</v>
      </c>
      <c r="F49" s="70">
        <v>-4028.1754161043332</v>
      </c>
      <c r="G49" s="70">
        <v>-3971.6955838957974</v>
      </c>
      <c r="H49" s="70">
        <v>0</v>
      </c>
      <c r="I49" s="70">
        <v>0</v>
      </c>
      <c r="L49" s="68"/>
      <c r="M49" s="68"/>
      <c r="N49" s="69"/>
      <c r="Q49" s="69"/>
      <c r="R49" s="69"/>
      <c r="S49" s="69"/>
      <c r="T49" s="69"/>
    </row>
    <row r="50" spans="1:20">
      <c r="A50" s="7" t="str">
        <f>HLOOKUP(INDICE!$F$2,Nombres!$C$3:$D$636,39,FALSE)</f>
        <v xml:space="preserve">  Administration expenses</v>
      </c>
      <c r="B50" s="70">
        <v>-3057.6339275687119</v>
      </c>
      <c r="C50" s="70">
        <v>-2969.3728954223711</v>
      </c>
      <c r="D50" s="70">
        <v>-3322.8341696480929</v>
      </c>
      <c r="E50" s="71">
        <v>-3696.734862844673</v>
      </c>
      <c r="F50" s="70">
        <v>-3610.9403980180477</v>
      </c>
      <c r="G50" s="70">
        <v>-3554.7696019820855</v>
      </c>
      <c r="H50" s="70">
        <v>0</v>
      </c>
      <c r="I50" s="70">
        <v>0</v>
      </c>
      <c r="L50" s="68"/>
      <c r="M50" s="68"/>
      <c r="N50" s="69"/>
      <c r="Q50" s="69"/>
      <c r="R50" s="69"/>
      <c r="S50" s="69"/>
      <c r="T50" s="69"/>
    </row>
    <row r="51" spans="1:20">
      <c r="A51" s="72" t="str">
        <f>HLOOKUP(INDICE!$F$2,Nombres!$C$3:$D$636,40,FALSE)</f>
        <v xml:space="preserve">  Personnel expenses</v>
      </c>
      <c r="B51" s="70">
        <v>-1825.8292243593073</v>
      </c>
      <c r="C51" s="70">
        <v>-1853.0239690989038</v>
      </c>
      <c r="D51" s="70">
        <v>-1963.8549799141044</v>
      </c>
      <c r="E51" s="71">
        <v>-2246.6475879409886</v>
      </c>
      <c r="F51" s="70">
        <v>-2188.0254008088841</v>
      </c>
      <c r="G51" s="70">
        <v>-2177.1605991911056</v>
      </c>
      <c r="H51" s="70">
        <v>0</v>
      </c>
      <c r="I51" s="70">
        <v>0</v>
      </c>
      <c r="L51" s="68"/>
      <c r="M51" s="68"/>
      <c r="N51" s="69"/>
      <c r="Q51" s="69"/>
      <c r="R51" s="69"/>
      <c r="S51" s="69"/>
      <c r="T51" s="69"/>
    </row>
    <row r="52" spans="1:20">
      <c r="A52" s="72" t="str">
        <f>HLOOKUP(INDICE!$F$2,Nombres!$C$3:$D$636,41,FALSE)</f>
        <v xml:space="preserve">  General and administrative expenses</v>
      </c>
      <c r="B52" s="70">
        <v>-1231.8047032094037</v>
      </c>
      <c r="C52" s="70">
        <v>-1116.3489263234669</v>
      </c>
      <c r="D52" s="70">
        <v>-1358.9791897339887</v>
      </c>
      <c r="E52" s="71">
        <v>-1450.087274903686</v>
      </c>
      <c r="F52" s="70">
        <v>-1422.9149972091636</v>
      </c>
      <c r="G52" s="70">
        <v>-1377.6090027909809</v>
      </c>
      <c r="H52" s="70">
        <v>0</v>
      </c>
      <c r="I52" s="70">
        <v>0</v>
      </c>
      <c r="L52" s="68"/>
      <c r="M52" s="68"/>
      <c r="N52" s="69"/>
      <c r="Q52" s="69"/>
      <c r="R52" s="69"/>
      <c r="S52" s="69"/>
      <c r="T52" s="69"/>
    </row>
    <row r="53" spans="1:20">
      <c r="A53" s="7" t="str">
        <f>HLOOKUP(INDICE!$F$2,Nombres!$C$3:$D$636,42,FALSE)</f>
        <v xml:space="preserve">  Depreciation</v>
      </c>
      <c r="B53" s="70">
        <v>-375.86920020230906</v>
      </c>
      <c r="C53" s="70">
        <v>-382.31399013294237</v>
      </c>
      <c r="D53" s="70">
        <v>-390.36605676705341</v>
      </c>
      <c r="E53" s="71">
        <v>-401.49954240763532</v>
      </c>
      <c r="F53" s="70">
        <v>-417.23501808628561</v>
      </c>
      <c r="G53" s="70">
        <v>-416.9259819137115</v>
      </c>
      <c r="H53" s="70">
        <v>0</v>
      </c>
      <c r="I53" s="70">
        <v>0</v>
      </c>
      <c r="L53" s="68"/>
      <c r="M53" s="68"/>
      <c r="N53" s="69"/>
      <c r="Q53" s="69"/>
      <c r="R53" s="69"/>
      <c r="S53" s="69"/>
      <c r="T53" s="69"/>
    </row>
    <row r="54" spans="1:20">
      <c r="A54" s="17" t="str">
        <f>HLOOKUP(INDICE!$F$2,Nombres!$C$3:$D$636,43,FALSE)</f>
        <v>Operating income</v>
      </c>
      <c r="B54" s="17">
        <f>+B48+B49</f>
        <v>5541.8166230786046</v>
      </c>
      <c r="C54" s="17">
        <f t="shared" ref="C54:I54" si="6">+C48+C49</f>
        <v>5778.2011491142075</v>
      </c>
      <c r="D54" s="17">
        <f t="shared" si="6"/>
        <v>5792.2822859048338</v>
      </c>
      <c r="E54" s="66">
        <f t="shared" si="6"/>
        <v>6070.9395012127561</v>
      </c>
      <c r="F54" s="17">
        <f t="shared" si="6"/>
        <v>6563.0322229437388</v>
      </c>
      <c r="G54" s="67">
        <f t="shared" si="6"/>
        <v>6595.6777770561466</v>
      </c>
      <c r="H54" s="67">
        <f t="shared" si="6"/>
        <v>0</v>
      </c>
      <c r="I54" s="67">
        <f t="shared" si="6"/>
        <v>0</v>
      </c>
      <c r="L54" s="68"/>
      <c r="M54" s="68"/>
      <c r="N54" s="69"/>
      <c r="Q54" s="69"/>
      <c r="R54" s="69"/>
      <c r="S54" s="69"/>
      <c r="T54" s="69"/>
    </row>
    <row r="55" spans="1:20">
      <c r="A55" s="7" t="str">
        <f>HLOOKUP(INDICE!$F$2,Nombres!$C$3:$D$636,44,FALSE)</f>
        <v>Impaiment on financial assets not measured at fair value through profit or loss</v>
      </c>
      <c r="B55" s="70">
        <v>-1345.1082745826934</v>
      </c>
      <c r="C55" s="70">
        <v>-1470.2164401726391</v>
      </c>
      <c r="D55" s="70">
        <v>-1638.6289036956259</v>
      </c>
      <c r="E55" s="71">
        <v>-1813.3710989919739</v>
      </c>
      <c r="F55" s="70">
        <v>-1806.8755119056182</v>
      </c>
      <c r="G55" s="70">
        <v>-1689.6634880943639</v>
      </c>
      <c r="H55" s="70">
        <v>0</v>
      </c>
      <c r="I55" s="70">
        <v>0</v>
      </c>
      <c r="L55" s="68"/>
      <c r="M55" s="68"/>
      <c r="N55" s="69"/>
      <c r="Q55" s="69"/>
      <c r="R55" s="69"/>
      <c r="S55" s="69"/>
      <c r="T55" s="69"/>
    </row>
    <row r="56" spans="1:20">
      <c r="A56" s="7" t="str">
        <f>HLOOKUP(INDICE!$F$2,Nombres!$C$3:$D$636,247,FALSE)</f>
        <v>Provisions or reversal of provisions</v>
      </c>
      <c r="B56" s="70">
        <v>-49.82439937410129</v>
      </c>
      <c r="C56" s="70">
        <v>-84.070177770654112</v>
      </c>
      <c r="D56" s="70">
        <v>-102.88346136541576</v>
      </c>
      <c r="E56" s="71">
        <v>-145.11989085547569</v>
      </c>
      <c r="F56" s="70">
        <v>-63.402274399951331</v>
      </c>
      <c r="G56" s="70">
        <v>-31.87372560004922</v>
      </c>
      <c r="H56" s="70">
        <v>0</v>
      </c>
      <c r="I56" s="70">
        <v>0</v>
      </c>
      <c r="L56" s="68"/>
      <c r="M56" s="68"/>
      <c r="N56" s="69"/>
      <c r="Q56" s="69"/>
      <c r="R56" s="69"/>
      <c r="S56" s="69"/>
      <c r="T56" s="69"/>
    </row>
    <row r="57" spans="1:20">
      <c r="A57" s="7" t="str">
        <f>HLOOKUP(INDICE!$F$2,Nombres!$C$3:$D$636,248,FALSE)</f>
        <v>Other results</v>
      </c>
      <c r="B57" s="70">
        <v>20.685960081453231</v>
      </c>
      <c r="C57" s="70">
        <v>49.375521726704484</v>
      </c>
      <c r="D57" s="70">
        <v>6.103657491922573</v>
      </c>
      <c r="E57" s="71">
        <v>-0.64574152452051126</v>
      </c>
      <c r="F57" s="70">
        <v>1.8301417114010727</v>
      </c>
      <c r="G57" s="70">
        <v>12.521858288599123</v>
      </c>
      <c r="H57" s="70">
        <v>0</v>
      </c>
      <c r="I57" s="70">
        <v>0</v>
      </c>
      <c r="L57" s="68"/>
      <c r="M57" s="68"/>
      <c r="N57" s="69"/>
      <c r="Q57" s="69"/>
      <c r="R57" s="69"/>
      <c r="S57" s="69"/>
      <c r="T57" s="69"/>
    </row>
    <row r="58" spans="1:20">
      <c r="A58" s="17" t="str">
        <f>HLOOKUP(INDICE!$F$2,Nombres!$C$3:$D$636,46,FALSE)</f>
        <v>Profit/(loss) before tax</v>
      </c>
      <c r="B58" s="67">
        <f t="shared" ref="B58:I58" si="7">+B54+B55+B56+B57</f>
        <v>4167.5699092032628</v>
      </c>
      <c r="C58" s="67">
        <f t="shared" si="7"/>
        <v>4273.2900528976188</v>
      </c>
      <c r="D58" s="67">
        <f t="shared" si="7"/>
        <v>4056.8735783357147</v>
      </c>
      <c r="E58" s="66">
        <f t="shared" si="7"/>
        <v>4111.8027698407859</v>
      </c>
      <c r="F58" s="67">
        <f t="shared" si="7"/>
        <v>4694.5845783495697</v>
      </c>
      <c r="G58" s="67">
        <f t="shared" si="7"/>
        <v>4886.6624216503324</v>
      </c>
      <c r="H58" s="67">
        <f t="shared" si="7"/>
        <v>0</v>
      </c>
      <c r="I58" s="67">
        <f t="shared" si="7"/>
        <v>0</v>
      </c>
      <c r="L58" s="68"/>
      <c r="M58" s="68"/>
      <c r="N58" s="69"/>
      <c r="Q58" s="69"/>
      <c r="R58" s="69"/>
      <c r="S58" s="69"/>
      <c r="T58" s="69"/>
    </row>
    <row r="59" spans="1:20">
      <c r="A59" s="7" t="str">
        <f>HLOOKUP(INDICE!$F$2,Nombres!$C$3:$D$636,47,FALSE)</f>
        <v>Income tax</v>
      </c>
      <c r="B59" s="70">
        <v>-1408.7993694066779</v>
      </c>
      <c r="C59" s="70">
        <v>-1214.5219908528236</v>
      </c>
      <c r="D59" s="70">
        <v>-1260.9526897886331</v>
      </c>
      <c r="E59" s="71">
        <v>-1323.9051757048137</v>
      </c>
      <c r="F59" s="70">
        <v>-1525.028346461035</v>
      </c>
      <c r="G59" s="70">
        <v>-1586.9626535319449</v>
      </c>
      <c r="H59" s="70">
        <v>0</v>
      </c>
      <c r="I59" s="70">
        <v>0</v>
      </c>
      <c r="L59" s="68"/>
      <c r="M59" s="68"/>
      <c r="N59" s="69"/>
      <c r="Q59" s="69"/>
      <c r="R59" s="69"/>
      <c r="S59" s="69"/>
      <c r="T59" s="69"/>
    </row>
    <row r="60" spans="1:20">
      <c r="A60" s="17" t="str">
        <f>HLOOKUP(INDICE!$F$2,Nombres!$C$3:$D$636,48,FALSE)</f>
        <v>Profit/(loss) for the year</v>
      </c>
      <c r="B60" s="67">
        <f t="shared" ref="B60:I60" si="8">+B58+B59</f>
        <v>2758.7705397965847</v>
      </c>
      <c r="C60" s="67">
        <f t="shared" si="8"/>
        <v>3058.7680620447954</v>
      </c>
      <c r="D60" s="67">
        <f t="shared" si="8"/>
        <v>2795.9208885470816</v>
      </c>
      <c r="E60" s="66">
        <f t="shared" si="8"/>
        <v>2787.8975941359722</v>
      </c>
      <c r="F60" s="67">
        <f t="shared" si="8"/>
        <v>3169.556231888535</v>
      </c>
      <c r="G60" s="67">
        <f t="shared" si="8"/>
        <v>3299.6997681183875</v>
      </c>
      <c r="H60" s="67">
        <f t="shared" si="8"/>
        <v>0</v>
      </c>
      <c r="I60" s="67">
        <f t="shared" si="8"/>
        <v>0</v>
      </c>
      <c r="L60" s="68"/>
      <c r="M60" s="68"/>
      <c r="N60" s="69"/>
      <c r="Q60" s="69"/>
      <c r="R60" s="69"/>
      <c r="S60" s="69"/>
      <c r="T60" s="69"/>
    </row>
    <row r="61" spans="1:20">
      <c r="A61" s="7" t="str">
        <f>HLOOKUP(INDICE!$F$2,Nombres!$C$3:$D$636,49,FALSE)</f>
        <v>Non-controlling interests</v>
      </c>
      <c r="B61" s="70">
        <v>-145.38086046730544</v>
      </c>
      <c r="C61" s="70">
        <v>-172.64185960641865</v>
      </c>
      <c r="D61" s="70">
        <v>-144.39880843934864</v>
      </c>
      <c r="E61" s="71">
        <v>-145.18654243293744</v>
      </c>
      <c r="F61" s="70">
        <v>-192.73807126272629</v>
      </c>
      <c r="G61" s="70">
        <v>-225.23092868198376</v>
      </c>
      <c r="H61" s="70">
        <v>0</v>
      </c>
      <c r="I61" s="70">
        <v>0</v>
      </c>
      <c r="L61" s="68"/>
      <c r="M61" s="68"/>
      <c r="N61" s="69"/>
      <c r="Q61" s="69"/>
      <c r="R61" s="69"/>
      <c r="S61" s="69"/>
      <c r="T61" s="69"/>
    </row>
    <row r="62" spans="1:20">
      <c r="A62" s="18" t="str">
        <f>HLOOKUP(INDICE!$F$2,Nombres!$C$3:$D$636,50,FALSE)</f>
        <v>Net attributable profit</v>
      </c>
      <c r="B62" s="18">
        <f>+B60+B61</f>
        <v>2613.3896793292793</v>
      </c>
      <c r="C62" s="18">
        <f t="shared" ref="C62:I62" si="9">+C60+C61</f>
        <v>2886.1262024383768</v>
      </c>
      <c r="D62" s="18">
        <f t="shared" si="9"/>
        <v>2651.522080107733</v>
      </c>
      <c r="E62" s="18">
        <f t="shared" si="9"/>
        <v>2642.7110517030346</v>
      </c>
      <c r="F62" s="18">
        <f t="shared" si="9"/>
        <v>2976.8181606258086</v>
      </c>
      <c r="G62" s="18">
        <f t="shared" si="9"/>
        <v>3074.4688394364039</v>
      </c>
      <c r="H62" s="18">
        <f t="shared" si="9"/>
        <v>0</v>
      </c>
      <c r="I62" s="18">
        <f t="shared" si="9"/>
        <v>0</v>
      </c>
      <c r="L62" s="68"/>
      <c r="M62" s="68"/>
      <c r="N62" s="69"/>
      <c r="O62" s="68"/>
      <c r="P62" s="68"/>
      <c r="Q62" s="69"/>
      <c r="R62" s="69"/>
      <c r="S62" s="69"/>
      <c r="T62" s="69"/>
    </row>
    <row r="63" spans="1:20">
      <c r="A63" s="7"/>
      <c r="B63" s="73">
        <v>0</v>
      </c>
      <c r="C63" s="73">
        <v>0</v>
      </c>
      <c r="D63" s="73">
        <v>4.5474735088646412E-12</v>
      </c>
      <c r="E63" s="73">
        <v>4.0927261579781771E-12</v>
      </c>
      <c r="F63" s="73">
        <v>-4.5474735088646412E-12</v>
      </c>
      <c r="G63" s="73">
        <v>-8.6401996668428183E-12</v>
      </c>
      <c r="H63" s="73">
        <v>0</v>
      </c>
      <c r="I63" s="73">
        <v>0</v>
      </c>
    </row>
    <row r="64" spans="1:20" ht="12.75" customHeight="1">
      <c r="A64" s="26"/>
      <c r="B64" s="73"/>
      <c r="C64" s="73"/>
      <c r="D64" s="73"/>
      <c r="E64" s="73"/>
      <c r="F64" s="73"/>
      <c r="G64" s="73"/>
      <c r="H64" s="73"/>
      <c r="I64" s="73"/>
    </row>
    <row r="65" spans="1:9" ht="15" customHeight="1">
      <c r="A65" s="26"/>
      <c r="B65" s="26"/>
      <c r="C65" s="26"/>
      <c r="D65" s="26"/>
      <c r="E65" s="26"/>
      <c r="F65" s="26"/>
      <c r="G65" s="26"/>
      <c r="H65" s="26"/>
      <c r="I65" s="26"/>
    </row>
    <row r="66" spans="1:9" ht="15" customHeight="1">
      <c r="A66" s="26"/>
      <c r="B66" s="26"/>
      <c r="C66" s="26"/>
      <c r="D66" s="26"/>
      <c r="E66" s="26"/>
      <c r="F66" s="26"/>
      <c r="G66" s="26"/>
      <c r="H66" s="26"/>
      <c r="I66" s="26"/>
    </row>
    <row r="67" spans="1:9">
      <c r="A67" s="7"/>
      <c r="B67" s="74"/>
      <c r="C67" s="74"/>
      <c r="D67" s="74"/>
      <c r="E67" s="74"/>
      <c r="F67" s="74"/>
      <c r="G67" s="74"/>
      <c r="H67" s="74"/>
      <c r="I67" s="74"/>
    </row>
    <row r="68" spans="1:9">
      <c r="B68" s="74"/>
      <c r="C68" s="74"/>
      <c r="D68" s="74"/>
      <c r="E68" s="74"/>
      <c r="F68" s="74"/>
      <c r="G68" s="74"/>
      <c r="H68" s="74"/>
      <c r="I68" s="74"/>
    </row>
    <row r="69" spans="1:9">
      <c r="B69" s="74"/>
      <c r="C69" s="74"/>
      <c r="D69" s="74"/>
      <c r="E69" s="74"/>
      <c r="F69" s="74"/>
      <c r="G69" s="74"/>
      <c r="H69" s="74"/>
      <c r="I69" s="74"/>
    </row>
    <row r="995" spans="1:1">
      <c r="A995" t="s">
        <v>557</v>
      </c>
    </row>
  </sheetData>
  <mergeCells count="4">
    <mergeCell ref="B6:E6"/>
    <mergeCell ref="F6:I6"/>
    <mergeCell ref="B40:E40"/>
    <mergeCell ref="F40:I40"/>
  </mergeCells>
  <conditionalFormatting sqref="B29">
    <cfRule type="cellIs" dxfId="52" priority="5" operator="notBetween">
      <formula>0.5</formula>
      <formula>-0.5</formula>
    </cfRule>
  </conditionalFormatting>
  <conditionalFormatting sqref="B29:I30">
    <cfRule type="cellIs" dxfId="51" priority="6" operator="notBetween">
      <formula>0.5</formula>
      <formula>-0.5</formula>
    </cfRule>
  </conditionalFormatting>
  <conditionalFormatting sqref="B34:I35">
    <cfRule type="cellIs" dxfId="50" priority="8" operator="notBetween">
      <formula>0.4</formula>
      <formula>-0.4</formula>
    </cfRule>
  </conditionalFormatting>
  <conditionalFormatting sqref="B63:I64">
    <cfRule type="cellIs" dxfId="49" priority="1" operator="notBetween">
      <formula>0.5</formula>
      <formula>-0.5</formula>
    </cfRule>
  </conditionalFormatting>
  <conditionalFormatting sqref="B67:I68">
    <cfRule type="cellIs" dxfId="48" priority="3" operator="notBetween">
      <formula>0.4</formula>
      <formula>-0.4</formula>
    </cfRule>
  </conditionalFormatting>
  <conditionalFormatting sqref="C63:I63">
    <cfRule type="cellIs" dxfId="47" priority="2" operator="notBetween">
      <formula>0.5</formula>
      <formula>-0.5</formula>
    </cfRule>
  </conditionalFormatting>
  <conditionalFormatting sqref="E29:I29">
    <cfRule type="cellIs" dxfId="46" priority="7" operator="notBetween">
      <formula>0.5</formula>
      <formula>-0.5</formula>
    </cfRule>
  </conditionalFormatting>
  <conditionalFormatting sqref="F30:I30">
    <cfRule type="cellIs" dxfId="45" priority="4" operator="notBetween">
      <formula>0.5</formula>
      <formula>-0.5</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BB8F4-5231-46B3-A4C2-503060B53A5E}">
  <sheetPr>
    <tabColor theme="8"/>
  </sheetPr>
  <dimension ref="A1:S1000"/>
  <sheetViews>
    <sheetView showGridLines="0" zoomScale="90" zoomScaleNormal="90" workbookViewId="0">
      <selection activeCell="I1" sqref="H1:I1048576"/>
    </sheetView>
  </sheetViews>
  <sheetFormatPr baseColWidth="10" defaultColWidth="11.453125" defaultRowHeight="14.5"/>
  <cols>
    <col min="1" max="1" width="86.453125" customWidth="1"/>
    <col min="2" max="2" width="10.453125" customWidth="1"/>
    <col min="8" max="9" width="0" hidden="1" customWidth="1"/>
  </cols>
  <sheetData>
    <row r="1" spans="1:19" ht="17">
      <c r="A1" s="56" t="str">
        <f>HLOOKUP(INDICE!$F$2,Nombres!$C$3:$D$636,104,FALSE)</f>
        <v>BBVA Group. Consolidated balance sheet</v>
      </c>
      <c r="B1" s="57"/>
      <c r="C1" s="57"/>
      <c r="D1" s="57"/>
      <c r="E1" s="57"/>
      <c r="F1" s="57"/>
      <c r="G1" s="57"/>
      <c r="H1" s="57"/>
      <c r="I1" s="57"/>
    </row>
    <row r="2" spans="1:19" ht="19.5">
      <c r="A2" s="58"/>
      <c r="B2" s="57"/>
      <c r="C2" s="57"/>
      <c r="D2" s="57"/>
      <c r="E2" s="57"/>
      <c r="F2" s="57"/>
      <c r="G2" s="57"/>
      <c r="H2" s="57"/>
      <c r="I2" s="57"/>
    </row>
    <row r="3" spans="1:19" ht="17">
      <c r="A3" s="59" t="str">
        <f>HLOOKUP(INDICE!$F$2,Nombres!$C$3:$D$636,51,FALSE)</f>
        <v>Balance sheets</v>
      </c>
      <c r="B3" s="60"/>
      <c r="C3" s="60"/>
      <c r="D3" s="60"/>
      <c r="E3" s="60"/>
      <c r="F3" s="60"/>
      <c r="G3" s="60"/>
      <c r="H3" s="60"/>
      <c r="I3" s="60"/>
    </row>
    <row r="4" spans="1:19">
      <c r="A4" s="9" t="str">
        <f>HLOOKUP(INDICE!$F$2,Nombres!$C$3:$D$636,32,FALSE)</f>
        <v>(Million euros)</v>
      </c>
      <c r="B4" s="57"/>
      <c r="C4" s="78"/>
      <c r="D4" s="78"/>
      <c r="E4" s="78"/>
      <c r="F4" s="57"/>
      <c r="G4" s="79"/>
      <c r="H4" s="79"/>
      <c r="I4" s="79"/>
    </row>
    <row r="5" spans="1:19">
      <c r="A5" s="57"/>
      <c r="B5" s="80">
        <f>+España!B32</f>
        <v>45747</v>
      </c>
      <c r="C5" s="80">
        <f>+España!C32</f>
        <v>45838</v>
      </c>
      <c r="D5" s="80">
        <f>+España!D32</f>
        <v>45930</v>
      </c>
      <c r="E5" s="80">
        <f>+España!E32</f>
        <v>46022</v>
      </c>
      <c r="F5" s="80">
        <f>+España!F32</f>
        <v>46112</v>
      </c>
      <c r="G5" s="80">
        <f>+España!G32</f>
        <v>46203</v>
      </c>
      <c r="H5" s="80">
        <f>+España!H32</f>
        <v>46295</v>
      </c>
      <c r="I5" s="80">
        <f>+España!I32</f>
        <v>46387</v>
      </c>
    </row>
    <row r="6" spans="1:19">
      <c r="A6" s="7" t="str">
        <f>HLOOKUP(INDICE!$F$2,Nombres!$C$3:$D$636,52,FALSE)</f>
        <v>Cash, cash balances at central banks and other demand deposits</v>
      </c>
      <c r="B6" s="70">
        <v>50405.86</v>
      </c>
      <c r="C6" s="70">
        <v>40017.243000000002</v>
      </c>
      <c r="D6" s="70">
        <v>57124.74</v>
      </c>
      <c r="E6" s="70">
        <v>58837.097999999998</v>
      </c>
      <c r="F6" s="70">
        <v>45909.004000000001</v>
      </c>
      <c r="G6" s="70">
        <v>64015.516000000003</v>
      </c>
      <c r="H6" s="70">
        <v>0</v>
      </c>
      <c r="I6" s="70">
        <v>0</v>
      </c>
      <c r="J6" s="68"/>
      <c r="K6" s="68"/>
      <c r="O6" s="68"/>
      <c r="P6" s="68"/>
      <c r="Q6" s="68"/>
      <c r="R6" s="68"/>
      <c r="S6" s="68"/>
    </row>
    <row r="7" spans="1:19">
      <c r="A7" s="7" t="str">
        <f>HLOOKUP(INDICE!$F$2,Nombres!$C$3:$D$636,131,FALSE)</f>
        <v>Financial assets held for trading</v>
      </c>
      <c r="B7" s="70">
        <v>101716.47500000001</v>
      </c>
      <c r="C7" s="70">
        <v>106396.192</v>
      </c>
      <c r="D7" s="70">
        <v>111037.323</v>
      </c>
      <c r="E7" s="70">
        <v>123184.902</v>
      </c>
      <c r="F7" s="70">
        <v>144299.71400000001</v>
      </c>
      <c r="G7" s="70">
        <v>154695.01999999999</v>
      </c>
      <c r="H7" s="70">
        <v>0</v>
      </c>
      <c r="I7" s="70">
        <v>0</v>
      </c>
      <c r="J7" s="68"/>
      <c r="K7" s="68"/>
      <c r="O7" s="68"/>
      <c r="P7" s="68"/>
      <c r="Q7" s="68"/>
      <c r="R7" s="68"/>
      <c r="S7" s="68"/>
    </row>
    <row r="8" spans="1:19">
      <c r="A8" s="7" t="str">
        <f>HLOOKUP(INDICE!$F$2,Nombres!$C$3:$D$636,132,FALSE)</f>
        <v>Non-trading financial assets mandatorily at fair value through profit or loss</v>
      </c>
      <c r="B8" s="70">
        <v>10570.025</v>
      </c>
      <c r="C8" s="70">
        <v>10840.717000000001</v>
      </c>
      <c r="D8" s="70">
        <v>10844.925999999999</v>
      </c>
      <c r="E8" s="70">
        <v>11271.686</v>
      </c>
      <c r="F8" s="70">
        <v>11935.215</v>
      </c>
      <c r="G8" s="70">
        <v>13171.019</v>
      </c>
      <c r="H8" s="70">
        <v>0</v>
      </c>
      <c r="I8" s="70">
        <v>0</v>
      </c>
      <c r="J8" s="68"/>
      <c r="K8" s="68"/>
      <c r="O8" s="68"/>
      <c r="P8" s="68"/>
      <c r="Q8" s="68"/>
      <c r="R8" s="68"/>
      <c r="S8" s="68"/>
    </row>
    <row r="9" spans="1:19">
      <c r="A9" s="7" t="str">
        <f>HLOOKUP(INDICE!$F$2,Nombres!$C$3:$D$636,133,FALSE)</f>
        <v>Financial assets designated at fair value through profit or loss</v>
      </c>
      <c r="B9" s="70">
        <v>928.85299999999995</v>
      </c>
      <c r="C9" s="70">
        <v>979.63099999999997</v>
      </c>
      <c r="D9" s="70">
        <v>941.98299999999995</v>
      </c>
      <c r="E9" s="70">
        <v>1006.393</v>
      </c>
      <c r="F9" s="70">
        <v>997.84699999999998</v>
      </c>
      <c r="G9" s="70">
        <v>1007.354</v>
      </c>
      <c r="H9" s="70">
        <v>0</v>
      </c>
      <c r="I9" s="70">
        <v>0</v>
      </c>
      <c r="J9" s="68"/>
      <c r="K9" s="68"/>
      <c r="O9" s="68"/>
      <c r="P9" s="68"/>
      <c r="Q9" s="68"/>
      <c r="R9" s="68"/>
      <c r="S9" s="68"/>
    </row>
    <row r="10" spans="1:19">
      <c r="A10" s="7" t="str">
        <f>HLOOKUP(INDICE!$F$2,Nombres!$C$3:$D$636,134,FALSE)</f>
        <v>Financial assets at fair value through accumulated other comprehensive income</v>
      </c>
      <c r="B10" s="70">
        <v>59718.362999999998</v>
      </c>
      <c r="C10" s="70">
        <v>58182.307999999997</v>
      </c>
      <c r="D10" s="70">
        <v>59562.09</v>
      </c>
      <c r="E10" s="70">
        <v>58809.328000000001</v>
      </c>
      <c r="F10" s="70">
        <v>61936.671000000002</v>
      </c>
      <c r="G10" s="70">
        <v>62205.141000000003</v>
      </c>
      <c r="H10" s="70">
        <v>0</v>
      </c>
      <c r="I10" s="70">
        <v>0</v>
      </c>
      <c r="J10" s="68"/>
      <c r="K10" s="68"/>
      <c r="O10" s="68"/>
      <c r="P10" s="68"/>
      <c r="Q10" s="68"/>
      <c r="R10" s="68"/>
      <c r="S10" s="68"/>
    </row>
    <row r="11" spans="1:19">
      <c r="A11" s="7" t="str">
        <f>HLOOKUP(INDICE!$F$2,Nombres!$C$3:$D$636,135,FALSE)</f>
        <v>Financial assets at amortized cost</v>
      </c>
      <c r="B11" s="70">
        <v>512434.21600000001</v>
      </c>
      <c r="C11" s="70">
        <v>523662.04199999996</v>
      </c>
      <c r="D11" s="70">
        <v>536003.32000000007</v>
      </c>
      <c r="E11" s="70">
        <v>568892.55099999998</v>
      </c>
      <c r="F11" s="70">
        <v>587498.74399999995</v>
      </c>
      <c r="G11" s="70">
        <v>627626.848</v>
      </c>
      <c r="H11" s="70">
        <v>0</v>
      </c>
      <c r="I11" s="70">
        <v>0</v>
      </c>
      <c r="J11" s="68"/>
      <c r="K11" s="68"/>
      <c r="O11" s="68"/>
      <c r="P11" s="68"/>
      <c r="Q11" s="68"/>
      <c r="R11" s="68"/>
      <c r="S11" s="68"/>
    </row>
    <row r="12" spans="1:19">
      <c r="A12" s="81" t="str">
        <f>HLOOKUP(INDICE!$F$2,Nombres!$C$3:$D$636,136,FALSE)</f>
        <v xml:space="preserve">. Loans and advances to central banks and credit institutions </v>
      </c>
      <c r="B12" s="82">
        <v>32196.530000000002</v>
      </c>
      <c r="C12" s="82">
        <v>33075.485999999997</v>
      </c>
      <c r="D12" s="82">
        <v>32815.296000000002</v>
      </c>
      <c r="E12" s="82">
        <v>35112.506999999998</v>
      </c>
      <c r="F12" s="82">
        <v>34209.097000000002</v>
      </c>
      <c r="G12" s="82">
        <v>44499.239000000001</v>
      </c>
      <c r="H12" s="82">
        <v>0</v>
      </c>
      <c r="I12" s="82">
        <v>0</v>
      </c>
      <c r="J12" s="68"/>
      <c r="K12" s="68"/>
      <c r="O12" s="68"/>
      <c r="P12" s="68"/>
      <c r="Q12" s="68"/>
      <c r="R12" s="68"/>
      <c r="S12" s="68"/>
    </row>
    <row r="13" spans="1:19">
      <c r="A13" s="81" t="str">
        <f>HLOOKUP(INDICE!$F$2,Nombres!$C$3:$D$636,137,FALSE)</f>
        <v>. Loans and advances to customers</v>
      </c>
      <c r="B13" s="82">
        <v>417265.571</v>
      </c>
      <c r="C13" s="82">
        <v>426663.36599999998</v>
      </c>
      <c r="D13" s="82">
        <v>436164.99900000001</v>
      </c>
      <c r="E13" s="82">
        <v>460400.65899999999</v>
      </c>
      <c r="F13" s="82">
        <v>478949.25199999998</v>
      </c>
      <c r="G13" s="82">
        <v>509424.43300000002</v>
      </c>
      <c r="H13" s="82">
        <v>0</v>
      </c>
      <c r="I13" s="82">
        <v>0</v>
      </c>
      <c r="J13" s="68"/>
      <c r="K13" s="68"/>
      <c r="O13" s="68"/>
      <c r="P13" s="68"/>
      <c r="Q13" s="68"/>
      <c r="R13" s="68"/>
      <c r="S13" s="68"/>
    </row>
    <row r="14" spans="1:19">
      <c r="A14" s="81" t="str">
        <f>HLOOKUP(INDICE!$F$2,Nombres!$C$3:$D$636,138,FALSE)</f>
        <v>. Debt securities</v>
      </c>
      <c r="B14" s="82">
        <v>62972.114999999998</v>
      </c>
      <c r="C14" s="82">
        <v>63923.19</v>
      </c>
      <c r="D14" s="82">
        <v>67023.024999999994</v>
      </c>
      <c r="E14" s="82">
        <v>73379.384999999995</v>
      </c>
      <c r="F14" s="82">
        <v>74340.395000000004</v>
      </c>
      <c r="G14" s="82">
        <v>73703.176000000007</v>
      </c>
      <c r="H14" s="82">
        <v>0</v>
      </c>
      <c r="I14" s="82">
        <v>0</v>
      </c>
      <c r="J14" s="68"/>
      <c r="K14" s="68"/>
      <c r="O14" s="68"/>
      <c r="P14" s="68"/>
      <c r="Q14" s="68"/>
      <c r="R14" s="68"/>
      <c r="S14" s="68"/>
    </row>
    <row r="15" spans="1:19" hidden="1">
      <c r="A15" s="7" t="str">
        <f>HLOOKUP(INDICE!$F$2,Nombres!$C$3:$D$636,139,FALSE)</f>
        <v>Held-to-maturity investments</v>
      </c>
      <c r="B15" s="83"/>
      <c r="C15" s="83"/>
      <c r="D15" s="83"/>
      <c r="E15" s="83"/>
      <c r="F15" s="83"/>
      <c r="G15" s="83"/>
      <c r="H15" s="83"/>
      <c r="I15" s="83"/>
      <c r="J15" s="68"/>
      <c r="K15" s="68"/>
      <c r="O15" s="68"/>
      <c r="P15" s="68"/>
      <c r="Q15" s="68"/>
      <c r="R15" s="68"/>
      <c r="S15" s="68"/>
    </row>
    <row r="16" spans="1:19">
      <c r="A16" s="7" t="str">
        <f>HLOOKUP(INDICE!$F$2,Nombres!$C$3:$D$636,140,FALSE)</f>
        <v>Investments in subsidiaries, joint ventures and associates</v>
      </c>
      <c r="B16" s="70">
        <v>981.13699999999994</v>
      </c>
      <c r="C16" s="70">
        <v>997.928</v>
      </c>
      <c r="D16" s="70">
        <v>1006.066</v>
      </c>
      <c r="E16" s="70">
        <v>993.53399999999999</v>
      </c>
      <c r="F16" s="70">
        <v>1022.143</v>
      </c>
      <c r="G16" s="70">
        <v>996.62099999999998</v>
      </c>
      <c r="H16" s="70">
        <v>0</v>
      </c>
      <c r="I16" s="70">
        <v>0</v>
      </c>
      <c r="J16" s="68"/>
      <c r="K16" s="68"/>
      <c r="O16" s="68"/>
      <c r="P16" s="68"/>
      <c r="Q16" s="68"/>
      <c r="R16" s="68"/>
      <c r="S16" s="68"/>
    </row>
    <row r="17" spans="1:19">
      <c r="A17" s="7" t="str">
        <f>HLOOKUP(INDICE!$F$2,Nombres!$C$3:$D$636,56,FALSE)</f>
        <v>Tangible assets</v>
      </c>
      <c r="B17" s="70">
        <v>9529.7690000000002</v>
      </c>
      <c r="C17" s="70">
        <v>9212.7630000000008</v>
      </c>
      <c r="D17" s="70">
        <v>9253.009</v>
      </c>
      <c r="E17" s="70">
        <v>9481.69</v>
      </c>
      <c r="F17" s="70">
        <v>9666.8580000000002</v>
      </c>
      <c r="G17" s="70">
        <v>9769.7880000000005</v>
      </c>
      <c r="H17" s="70">
        <v>0</v>
      </c>
      <c r="I17" s="70">
        <v>0</v>
      </c>
      <c r="J17" s="68"/>
      <c r="K17" s="68"/>
      <c r="O17" s="68"/>
      <c r="P17" s="68"/>
      <c r="Q17" s="68"/>
      <c r="R17" s="68"/>
      <c r="S17" s="68"/>
    </row>
    <row r="18" spans="1:19">
      <c r="A18" s="7" t="str">
        <f>HLOOKUP(INDICE!$F$2,Nombres!$C$3:$D$636,141,FALSE)</f>
        <v>Intangible assets</v>
      </c>
      <c r="B18" s="70">
        <v>2492.0810000000001</v>
      </c>
      <c r="C18" s="70">
        <v>2563.0949999999998</v>
      </c>
      <c r="D18" s="70">
        <v>2666.7240000000002</v>
      </c>
      <c r="E18" s="70">
        <v>2855.82</v>
      </c>
      <c r="F18" s="70">
        <v>2934.81</v>
      </c>
      <c r="G18" s="70">
        <v>3122.8020000000001</v>
      </c>
      <c r="H18" s="70">
        <v>0</v>
      </c>
      <c r="I18" s="70">
        <v>0</v>
      </c>
      <c r="J18" s="68"/>
      <c r="K18" s="68"/>
      <c r="O18" s="68"/>
      <c r="P18" s="68"/>
      <c r="Q18" s="68"/>
      <c r="R18" s="68"/>
      <c r="S18" s="68"/>
    </row>
    <row r="19" spans="1:19">
      <c r="A19" s="7" t="str">
        <f>HLOOKUP(INDICE!$F$2,Nombres!$C$3:$D$636,57,FALSE)</f>
        <v>Other assets</v>
      </c>
      <c r="B19" s="70">
        <v>24085.986000000001</v>
      </c>
      <c r="C19" s="70">
        <v>24122.483</v>
      </c>
      <c r="D19" s="70">
        <v>24622.499000000003</v>
      </c>
      <c r="E19" s="70">
        <v>24242.598000000002</v>
      </c>
      <c r="F19" s="70">
        <v>28066.047000000006</v>
      </c>
      <c r="G19" s="70">
        <v>28816.331000000002</v>
      </c>
      <c r="H19" s="70">
        <v>0</v>
      </c>
      <c r="I19" s="70">
        <v>0</v>
      </c>
      <c r="J19" s="68"/>
      <c r="K19" s="68"/>
      <c r="O19" s="68"/>
      <c r="P19" s="68"/>
      <c r="Q19" s="68"/>
      <c r="R19" s="68"/>
      <c r="S19" s="68"/>
    </row>
    <row r="20" spans="1:19">
      <c r="A20" s="18" t="str">
        <f>HLOOKUP(INDICE!$F$2,Nombres!$C$3:$D$636,58,FALSE)</f>
        <v>Total assets / Liabilities and equity</v>
      </c>
      <c r="B20" s="18">
        <f t="shared" ref="B20:I20" si="0">+SUM(B6:B11,B16:B19)</f>
        <v>772862.76500000001</v>
      </c>
      <c r="C20" s="18">
        <f t="shared" si="0"/>
        <v>776974.40199999989</v>
      </c>
      <c r="D20" s="18">
        <f t="shared" si="0"/>
        <v>813062.68</v>
      </c>
      <c r="E20" s="18">
        <f t="shared" si="0"/>
        <v>859575.59999999986</v>
      </c>
      <c r="F20" s="18">
        <f t="shared" si="0"/>
        <v>894267.05300000007</v>
      </c>
      <c r="G20" s="18">
        <f t="shared" si="0"/>
        <v>965426.44000000006</v>
      </c>
      <c r="H20" s="18">
        <f t="shared" si="0"/>
        <v>0</v>
      </c>
      <c r="I20" s="18">
        <f t="shared" si="0"/>
        <v>0</v>
      </c>
      <c r="J20" s="68"/>
      <c r="K20" s="68"/>
      <c r="O20" s="68"/>
      <c r="P20" s="68"/>
      <c r="Q20" s="68"/>
      <c r="R20" s="68"/>
      <c r="S20" s="68"/>
    </row>
    <row r="21" spans="1:19">
      <c r="A21" s="7" t="str">
        <f>HLOOKUP(INDICE!$F$2,Nombres!$C$3:$D$636,59,FALSE)</f>
        <v>Financial liabilities held for trading and designated at fair value through profit or loss</v>
      </c>
      <c r="B21" s="79">
        <v>76246.226999999999</v>
      </c>
      <c r="C21" s="79">
        <v>82995.199999999997</v>
      </c>
      <c r="D21" s="79">
        <v>86757.558999999994</v>
      </c>
      <c r="E21" s="79">
        <v>91917.116999999998</v>
      </c>
      <c r="F21" s="79">
        <v>108279.401</v>
      </c>
      <c r="G21" s="79">
        <v>119388.56</v>
      </c>
      <c r="H21" s="79">
        <v>0</v>
      </c>
      <c r="I21" s="79">
        <v>0</v>
      </c>
      <c r="O21" s="68"/>
      <c r="P21" s="68"/>
      <c r="Q21" s="68"/>
      <c r="R21" s="68"/>
    </row>
    <row r="22" spans="1:19" s="7" customFormat="1">
      <c r="A22" s="7" t="str">
        <f>HLOOKUP(INDICE!$F$2,Nombres!$C$3:$D$636,142,FALSE)</f>
        <v>Other financial liabilities designated at fair value through profit or loss</v>
      </c>
      <c r="B22" s="79">
        <v>15308.561</v>
      </c>
      <c r="C22" s="79">
        <v>16060.628000000001</v>
      </c>
      <c r="D22" s="79">
        <v>17272.64</v>
      </c>
      <c r="E22" s="79">
        <v>18417.111000000001</v>
      </c>
      <c r="F22" s="79">
        <v>19837.255000000001</v>
      </c>
      <c r="G22" s="79">
        <v>21450.042000000001</v>
      </c>
      <c r="H22" s="79">
        <v>0</v>
      </c>
      <c r="I22" s="79">
        <v>0</v>
      </c>
      <c r="O22" s="68"/>
      <c r="P22" s="68"/>
      <c r="Q22" s="68"/>
      <c r="R22" s="68"/>
    </row>
    <row r="23" spans="1:19" s="7" customFormat="1">
      <c r="A23" s="7" t="str">
        <f>HLOOKUP(INDICE!$F$2,Nombres!$C$3:$D$636,143,FALSE)</f>
        <v>Financial liabilities at amortized cost</v>
      </c>
      <c r="B23" s="79">
        <v>594751.58900000004</v>
      </c>
      <c r="C23" s="79">
        <v>588468.76800000004</v>
      </c>
      <c r="D23" s="79">
        <v>617648.68599999999</v>
      </c>
      <c r="E23" s="79">
        <v>658599.08200000005</v>
      </c>
      <c r="F23" s="79">
        <v>671801.13500000001</v>
      </c>
      <c r="G23" s="79">
        <v>725029.402</v>
      </c>
      <c r="H23" s="79">
        <v>0</v>
      </c>
      <c r="I23" s="79">
        <v>0</v>
      </c>
      <c r="O23" s="68"/>
      <c r="P23" s="68"/>
      <c r="Q23" s="68"/>
      <c r="R23" s="68"/>
    </row>
    <row r="24" spans="1:19">
      <c r="A24" s="81" t="str">
        <f>HLOOKUP(INDICE!$F$2,Nombres!$C$3:$D$636,60,FALSE)</f>
        <v>Deposits from central banks and credit institutions</v>
      </c>
      <c r="B24" s="79">
        <v>47455.330999999998</v>
      </c>
      <c r="C24" s="79">
        <v>49913.351000000002</v>
      </c>
      <c r="D24" s="79">
        <v>49175.534999999996</v>
      </c>
      <c r="E24" s="79">
        <v>53997.210000000006</v>
      </c>
      <c r="F24" s="79">
        <v>56099.171000000002</v>
      </c>
      <c r="G24" s="79">
        <v>63554.028999999995</v>
      </c>
      <c r="H24" s="79">
        <v>0</v>
      </c>
      <c r="I24" s="79">
        <v>0</v>
      </c>
      <c r="O24" s="68"/>
      <c r="P24" s="68"/>
      <c r="Q24" s="68"/>
      <c r="R24" s="68"/>
    </row>
    <row r="25" spans="1:19" ht="15.75" customHeight="1">
      <c r="A25" s="81" t="str">
        <f>HLOOKUP(INDICE!$F$2,Nombres!$C$3:$D$636,61,FALSE)</f>
        <v>Deposits from customers</v>
      </c>
      <c r="B25" s="79">
        <v>455707.55300000001</v>
      </c>
      <c r="C25" s="79">
        <v>448017.88099999999</v>
      </c>
      <c r="D25" s="79">
        <v>471363.91600000003</v>
      </c>
      <c r="E25" s="79">
        <v>502501.114</v>
      </c>
      <c r="F25" s="79">
        <v>505058.53</v>
      </c>
      <c r="G25" s="79">
        <v>532981.43299999996</v>
      </c>
      <c r="H25" s="79">
        <v>0</v>
      </c>
      <c r="I25" s="79">
        <v>0</v>
      </c>
      <c r="O25" s="68"/>
      <c r="P25" s="68"/>
      <c r="Q25" s="68"/>
      <c r="R25" s="68"/>
    </row>
    <row r="26" spans="1:19">
      <c r="A26" s="81" t="str">
        <f>HLOOKUP(INDICE!$F$2,Nombres!$C$3:$D$636,62,FALSE)</f>
        <v>Debt certificates</v>
      </c>
      <c r="B26" s="79">
        <v>71987.311000000002</v>
      </c>
      <c r="C26" s="79">
        <v>71802.02</v>
      </c>
      <c r="D26" s="79">
        <v>77427.89</v>
      </c>
      <c r="E26" s="79">
        <v>81842.467000000004</v>
      </c>
      <c r="F26" s="79">
        <v>87563.854999999996</v>
      </c>
      <c r="G26" s="79">
        <v>106155.00599999999</v>
      </c>
      <c r="H26" s="79">
        <v>0</v>
      </c>
      <c r="I26" s="79">
        <v>0</v>
      </c>
      <c r="O26" s="68"/>
      <c r="P26" s="68"/>
      <c r="Q26" s="68"/>
      <c r="R26" s="68"/>
    </row>
    <row r="27" spans="1:19">
      <c r="A27" s="81" t="str">
        <f>HLOOKUP(INDICE!$F$2,Nombres!$C$3:$D$636,144,FALSE)</f>
        <v>. Other financial liabilities</v>
      </c>
      <c r="B27" s="79">
        <v>19601.394</v>
      </c>
      <c r="C27" s="79">
        <v>18735.516</v>
      </c>
      <c r="D27" s="79">
        <v>19681.345000000001</v>
      </c>
      <c r="E27" s="79">
        <v>20258.291000000001</v>
      </c>
      <c r="F27" s="79">
        <v>23079.579000000002</v>
      </c>
      <c r="G27" s="79">
        <v>22338.934000000001</v>
      </c>
      <c r="H27" s="79">
        <v>0</v>
      </c>
      <c r="I27" s="79">
        <v>0</v>
      </c>
      <c r="O27" s="68"/>
      <c r="P27" s="68"/>
      <c r="Q27" s="68"/>
      <c r="R27" s="68"/>
    </row>
    <row r="28" spans="1:19">
      <c r="A28" s="7" t="str">
        <f>HLOOKUP(INDICE!$F$2,Nombres!$C$3:$D$636,145,FALSE)</f>
        <v>Liabilities under insurance and reinsurance contracts</v>
      </c>
      <c r="B28" s="79">
        <v>11391.796</v>
      </c>
      <c r="C28" s="79">
        <v>11526.956</v>
      </c>
      <c r="D28" s="79">
        <v>12303.116</v>
      </c>
      <c r="E28" s="79">
        <v>12759.891</v>
      </c>
      <c r="F28" s="79">
        <v>12826.925999999999</v>
      </c>
      <c r="G28" s="79">
        <v>13781.855</v>
      </c>
      <c r="H28" s="79">
        <v>0</v>
      </c>
      <c r="I28" s="79">
        <v>0</v>
      </c>
      <c r="O28" s="68"/>
      <c r="P28" s="68"/>
      <c r="Q28" s="68"/>
      <c r="R28" s="68"/>
    </row>
    <row r="29" spans="1:19">
      <c r="A29" s="7" t="str">
        <f>HLOOKUP(INDICE!$F$2,Nombres!$C$3:$D$636,63,FALSE)</f>
        <v>Other liabilities</v>
      </c>
      <c r="B29" s="79">
        <v>15900.875</v>
      </c>
      <c r="C29" s="79">
        <v>17036.216000000004</v>
      </c>
      <c r="D29" s="79">
        <v>17271.326000000001</v>
      </c>
      <c r="E29" s="79">
        <v>16084.397999999999</v>
      </c>
      <c r="F29" s="79">
        <v>20718.591</v>
      </c>
      <c r="G29" s="79">
        <v>21984.651999999998</v>
      </c>
      <c r="H29" s="79">
        <v>0</v>
      </c>
      <c r="I29" s="79">
        <v>0</v>
      </c>
      <c r="O29" s="68"/>
      <c r="P29" s="68"/>
      <c r="Q29" s="68"/>
      <c r="R29" s="68"/>
    </row>
    <row r="30" spans="1:19">
      <c r="A30" s="17" t="str">
        <f>HLOOKUP(INDICE!$F$2,Nombres!$C$3:$D$636,146,FALSE)</f>
        <v>Total liabilities</v>
      </c>
      <c r="B30" s="84">
        <f t="shared" ref="B30:I30" si="1">+SUM(B21:B23,B28:B29)</f>
        <v>713599.04800000007</v>
      </c>
      <c r="C30" s="84">
        <f t="shared" si="1"/>
        <v>716087.76800000004</v>
      </c>
      <c r="D30" s="84">
        <f t="shared" si="1"/>
        <v>751253.32700000005</v>
      </c>
      <c r="E30" s="84">
        <f t="shared" si="1"/>
        <v>797777.59900000005</v>
      </c>
      <c r="F30" s="84">
        <f t="shared" si="1"/>
        <v>833463.30799999996</v>
      </c>
      <c r="G30" s="84">
        <f t="shared" si="1"/>
        <v>901634.51099999994</v>
      </c>
      <c r="H30" s="84">
        <f t="shared" si="1"/>
        <v>0</v>
      </c>
      <c r="I30" s="84">
        <f t="shared" si="1"/>
        <v>0</v>
      </c>
      <c r="O30" s="68"/>
      <c r="P30" s="68"/>
      <c r="Q30" s="68"/>
      <c r="R30" s="68"/>
    </row>
    <row r="31" spans="1:19" ht="3.75" customHeight="1">
      <c r="A31" s="17"/>
      <c r="B31" s="84"/>
      <c r="C31" s="84"/>
      <c r="D31" s="84"/>
      <c r="E31" s="84"/>
      <c r="F31" s="84"/>
      <c r="G31" s="84"/>
      <c r="H31" s="84"/>
      <c r="I31" s="84"/>
      <c r="O31" s="68"/>
      <c r="P31" s="68"/>
      <c r="Q31" s="68"/>
      <c r="R31" s="68"/>
    </row>
    <row r="32" spans="1:19" ht="14.25" customHeight="1">
      <c r="A32" s="7" t="str">
        <f>HLOOKUP(INDICE!$F$2,Nombres!$C$3:$D$636,147,FALSE)</f>
        <v>Non-controlling interests</v>
      </c>
      <c r="B32" s="79">
        <v>4187.04</v>
      </c>
      <c r="C32" s="79">
        <v>4058.9580000000001</v>
      </c>
      <c r="D32" s="79">
        <v>4164.692</v>
      </c>
      <c r="E32" s="79">
        <v>4441.1710000000003</v>
      </c>
      <c r="F32" s="79">
        <v>4533.9669999999996</v>
      </c>
      <c r="G32" s="79">
        <v>4839.3540000000003</v>
      </c>
      <c r="H32" s="79">
        <v>0</v>
      </c>
      <c r="I32" s="79">
        <v>0</v>
      </c>
      <c r="O32" s="68"/>
      <c r="P32" s="68"/>
      <c r="Q32" s="68"/>
      <c r="R32" s="68"/>
    </row>
    <row r="33" spans="1:18">
      <c r="A33" s="7" t="str">
        <f>HLOOKUP(INDICE!$F$2,Nombres!$C$3:$D$636,148,FALSE)</f>
        <v>Accumulated other comprehensive income</v>
      </c>
      <c r="B33" s="79">
        <v>-17948.466</v>
      </c>
      <c r="C33" s="79">
        <v>-18896.184000000001</v>
      </c>
      <c r="D33" s="79">
        <v>-18674.261999999999</v>
      </c>
      <c r="E33" s="79">
        <v>-18871.414000000001</v>
      </c>
      <c r="F33" s="79">
        <v>-18533.248</v>
      </c>
      <c r="G33" s="79">
        <v>-16661.203000000001</v>
      </c>
      <c r="H33" s="79">
        <v>0</v>
      </c>
      <c r="I33" s="79">
        <v>0</v>
      </c>
      <c r="O33" s="68"/>
      <c r="P33" s="68"/>
      <c r="Q33" s="68"/>
      <c r="R33" s="68"/>
    </row>
    <row r="34" spans="1:18">
      <c r="A34" s="7" t="str">
        <f>HLOOKUP(INDICE!$F$2,Nombres!$C$3:$D$636,149,FALSE)</f>
        <v>Shareholders' funds</v>
      </c>
      <c r="B34" s="79">
        <v>73025.142999999996</v>
      </c>
      <c r="C34" s="79">
        <v>75723.860000000015</v>
      </c>
      <c r="D34" s="79">
        <v>76318.922999999995</v>
      </c>
      <c r="E34" s="79">
        <v>76228.244000000006</v>
      </c>
      <c r="F34" s="79">
        <v>74803.025999999998</v>
      </c>
      <c r="G34" s="79">
        <v>75613.778000000006</v>
      </c>
      <c r="H34" s="79">
        <v>0</v>
      </c>
      <c r="I34" s="79">
        <v>0</v>
      </c>
      <c r="O34" s="68"/>
      <c r="P34" s="68"/>
      <c r="Q34" s="68"/>
      <c r="R34" s="68"/>
    </row>
    <row r="35" spans="1:18">
      <c r="A35" s="17" t="str">
        <f>HLOOKUP(INDICE!$F$2,Nombres!$C$3:$D$636,150,FALSE)</f>
        <v>Total equity</v>
      </c>
      <c r="B35" s="84">
        <f t="shared" ref="B35:I35" si="2">+B32+B33+B34</f>
        <v>59263.716999999997</v>
      </c>
      <c r="C35" s="84">
        <f t="shared" si="2"/>
        <v>60886.634000000013</v>
      </c>
      <c r="D35" s="84">
        <f t="shared" si="2"/>
        <v>61809.352999999996</v>
      </c>
      <c r="E35" s="84">
        <f t="shared" si="2"/>
        <v>61798.001000000004</v>
      </c>
      <c r="F35" s="84">
        <f t="shared" si="2"/>
        <v>60803.744999999995</v>
      </c>
      <c r="G35" s="84">
        <f t="shared" si="2"/>
        <v>63791.929000000004</v>
      </c>
      <c r="H35" s="84">
        <f t="shared" si="2"/>
        <v>0</v>
      </c>
      <c r="I35" s="84">
        <f t="shared" si="2"/>
        <v>0</v>
      </c>
      <c r="O35" s="68"/>
      <c r="P35" s="68"/>
      <c r="Q35" s="68"/>
      <c r="R35" s="68"/>
    </row>
    <row r="36" spans="1:18" ht="5.25" customHeight="1">
      <c r="A36" s="7"/>
      <c r="B36" s="79"/>
      <c r="C36" s="79"/>
      <c r="D36" s="79"/>
      <c r="E36" s="79"/>
      <c r="F36" s="79"/>
      <c r="G36" s="79"/>
      <c r="H36" s="79"/>
      <c r="I36" s="79"/>
      <c r="O36" s="68"/>
      <c r="P36" s="68"/>
      <c r="Q36" s="68"/>
      <c r="R36" s="68"/>
    </row>
    <row r="37" spans="1:18">
      <c r="A37" s="18" t="str">
        <f>HLOOKUP(INDICE!$F$2,Nombres!$C$3:$D$636,151,FALSE)</f>
        <v>Total equity and liabilities</v>
      </c>
      <c r="B37" s="18">
        <f>+B20</f>
        <v>772862.76500000001</v>
      </c>
      <c r="C37" s="18">
        <f t="shared" ref="C37:I37" si="3">+C20</f>
        <v>776974.40199999989</v>
      </c>
      <c r="D37" s="18">
        <f t="shared" si="3"/>
        <v>813062.68</v>
      </c>
      <c r="E37" s="18">
        <f t="shared" si="3"/>
        <v>859575.59999999986</v>
      </c>
      <c r="F37" s="18">
        <f t="shared" si="3"/>
        <v>894267.05300000007</v>
      </c>
      <c r="G37" s="18">
        <f t="shared" si="3"/>
        <v>965426.44000000006</v>
      </c>
      <c r="H37" s="18">
        <f t="shared" si="3"/>
        <v>0</v>
      </c>
      <c r="I37" s="18">
        <f t="shared" si="3"/>
        <v>0</v>
      </c>
      <c r="O37" s="68"/>
      <c r="P37" s="68"/>
      <c r="Q37" s="68"/>
      <c r="R37" s="68"/>
    </row>
    <row r="38" spans="1:18">
      <c r="A38" s="7"/>
      <c r="B38" s="85">
        <f t="shared" ref="B38:I38" si="4">+B37-B20</f>
        <v>0</v>
      </c>
      <c r="C38" s="85">
        <f t="shared" si="4"/>
        <v>0</v>
      </c>
      <c r="D38" s="85">
        <f t="shared" si="4"/>
        <v>0</v>
      </c>
      <c r="E38" s="85">
        <f t="shared" si="4"/>
        <v>0</v>
      </c>
      <c r="F38" s="85">
        <f t="shared" si="4"/>
        <v>0</v>
      </c>
      <c r="G38" s="85">
        <f t="shared" si="4"/>
        <v>0</v>
      </c>
      <c r="H38" s="85">
        <f t="shared" si="4"/>
        <v>0</v>
      </c>
      <c r="I38" s="85">
        <f t="shared" si="4"/>
        <v>0</v>
      </c>
    </row>
    <row r="39" spans="1:18">
      <c r="A39" s="7"/>
      <c r="B39" s="85">
        <f t="shared" ref="B39:I39" si="5">+B6+B7+B8+B9+B10+B11+B16+B17+B18+B19-B20</f>
        <v>0</v>
      </c>
      <c r="C39" s="85">
        <f t="shared" si="5"/>
        <v>0</v>
      </c>
      <c r="D39" s="85">
        <f t="shared" si="5"/>
        <v>0</v>
      </c>
      <c r="E39" s="85">
        <f t="shared" si="5"/>
        <v>0</v>
      </c>
      <c r="F39" s="85">
        <f t="shared" si="5"/>
        <v>0</v>
      </c>
      <c r="G39" s="85">
        <f t="shared" si="5"/>
        <v>0</v>
      </c>
      <c r="H39" s="85">
        <f t="shared" si="5"/>
        <v>0</v>
      </c>
      <c r="I39" s="85">
        <f t="shared" si="5"/>
        <v>0</v>
      </c>
    </row>
    <row r="40" spans="1:18" ht="49.5" customHeight="1">
      <c r="A40" s="260" t="str">
        <f>HLOOKUP(INDICE!$F$2,Nombres!$C$3:$D$636,325,FALSE)</f>
        <v>General note: figures considering Garanti Bank SA., Motoractive IFN SA. y Motoractive Multiservices SRL companies in the sale agreement signed with Raiffeisen Bank SA as Non-current Assets and Liabilities Held for Sale from 1Q2026</v>
      </c>
      <c r="B40" s="260"/>
      <c r="C40" s="260"/>
      <c r="D40" s="260"/>
      <c r="E40" s="260"/>
      <c r="F40" s="260"/>
      <c r="G40" s="260"/>
      <c r="H40" s="260"/>
      <c r="I40" s="260"/>
    </row>
    <row r="41" spans="1:18">
      <c r="A41" s="8"/>
      <c r="B41" s="79"/>
      <c r="C41" s="79"/>
      <c r="D41" s="79"/>
      <c r="E41" s="79"/>
      <c r="F41" s="79"/>
      <c r="G41" s="79"/>
      <c r="H41" s="79"/>
      <c r="I41" s="79"/>
    </row>
    <row r="42" spans="1:18">
      <c r="A42" s="7"/>
      <c r="B42" s="79"/>
      <c r="C42" s="79"/>
      <c r="D42" s="79"/>
      <c r="E42" s="79"/>
      <c r="F42" s="79"/>
      <c r="G42" s="79"/>
      <c r="H42" s="79"/>
      <c r="I42" s="79"/>
    </row>
    <row r="43" spans="1:18">
      <c r="A43" s="8"/>
      <c r="B43" s="86">
        <v>0</v>
      </c>
      <c r="C43" s="86">
        <v>0</v>
      </c>
      <c r="D43" s="86">
        <v>0</v>
      </c>
      <c r="E43" s="86">
        <v>0</v>
      </c>
      <c r="F43" s="86">
        <v>0</v>
      </c>
      <c r="G43" s="86">
        <v>0</v>
      </c>
      <c r="H43" s="86">
        <v>0</v>
      </c>
      <c r="I43" s="86">
        <v>0</v>
      </c>
    </row>
    <row r="44" spans="1:18">
      <c r="B44" s="68"/>
    </row>
    <row r="46" spans="1:18">
      <c r="B46" s="68"/>
    </row>
    <row r="1000" spans="1:1">
      <c r="A1000" t="s">
        <v>557</v>
      </c>
    </row>
  </sheetData>
  <mergeCells count="1">
    <mergeCell ref="A40:I40"/>
  </mergeCells>
  <conditionalFormatting sqref="B38:I38">
    <cfRule type="cellIs" dxfId="44" priority="2" operator="notBetween">
      <formula>0.001</formula>
      <formula>-0.001</formula>
    </cfRule>
  </conditionalFormatting>
  <conditionalFormatting sqref="B39:I39">
    <cfRule type="cellIs" dxfId="43" priority="3" operator="notBetween">
      <formula>0.5</formula>
      <formula>-0.5</formula>
    </cfRule>
  </conditionalFormatting>
  <conditionalFormatting sqref="B43:I43">
    <cfRule type="cellIs" dxfId="42" priority="1" operator="notBetween">
      <formula>0.1</formula>
      <formula>-0.1</formula>
    </cfRule>
  </conditionalFormatting>
  <pageMargins left="0.7" right="0.7" top="0.75" bottom="0.75" header="0.3" footer="0.3"/>
  <pageSetup paperSize="9" scale="2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812CB-BA07-4F74-BC1C-0BEC6840A9D8}">
  <sheetPr>
    <tabColor theme="8"/>
  </sheetPr>
  <dimension ref="A1:R1002"/>
  <sheetViews>
    <sheetView showGridLines="0" workbookViewId="0">
      <selection activeCell="I1" sqref="H1:I1048576"/>
    </sheetView>
  </sheetViews>
  <sheetFormatPr baseColWidth="10" defaultColWidth="11.453125" defaultRowHeight="14.5"/>
  <cols>
    <col min="1" max="1" width="62" customWidth="1"/>
    <col min="8" max="9" width="0" hidden="1" customWidth="1"/>
  </cols>
  <sheetData>
    <row r="1" spans="1:18" ht="17">
      <c r="A1" s="56" t="str">
        <f>HLOOKUP(INDICE!$F$2,Nombres!$C$3:$D$636,7,FALSE)</f>
        <v>Spain</v>
      </c>
      <c r="B1" s="57"/>
      <c r="C1" s="57"/>
      <c r="D1" s="57"/>
      <c r="E1" s="57"/>
      <c r="F1" s="57"/>
      <c r="G1" s="57"/>
      <c r="H1" s="57"/>
      <c r="I1" s="57"/>
    </row>
    <row r="2" spans="1:18" ht="19.5">
      <c r="A2" s="58"/>
      <c r="B2" s="57"/>
      <c r="C2" s="57"/>
      <c r="D2" s="57"/>
      <c r="E2" s="57"/>
      <c r="F2" s="57"/>
      <c r="G2" s="57"/>
      <c r="H2" s="57"/>
      <c r="I2" s="57"/>
    </row>
    <row r="3" spans="1:18" ht="17">
      <c r="A3" s="59" t="str">
        <f>HLOOKUP(INDICE!$F$2,Nombres!$C$3:$D$636,31,FALSE)</f>
        <v xml:space="preserve">Income statement  </v>
      </c>
      <c r="B3" s="60"/>
      <c r="C3" s="60"/>
      <c r="D3" s="60"/>
      <c r="E3" s="60"/>
      <c r="F3" s="60"/>
      <c r="G3" s="60"/>
      <c r="H3" s="60"/>
      <c r="I3" s="60"/>
    </row>
    <row r="4" spans="1:18">
      <c r="A4" s="9" t="str">
        <f>HLOOKUP(INDICE!$F$2,Nombres!$C$3:$D$636,32,FALSE)</f>
        <v>(Million euros)</v>
      </c>
      <c r="B4" s="57"/>
      <c r="C4" s="61"/>
      <c r="D4" s="61"/>
      <c r="E4" s="61"/>
      <c r="F4" s="57"/>
      <c r="G4" s="57"/>
      <c r="H4" s="57"/>
      <c r="I4" s="57"/>
    </row>
    <row r="5" spans="1:18">
      <c r="A5" s="62"/>
      <c r="B5" s="57"/>
      <c r="C5" s="61"/>
      <c r="D5" s="61"/>
      <c r="E5" s="61"/>
      <c r="F5" s="57"/>
      <c r="G5" s="57"/>
      <c r="H5" s="57"/>
      <c r="I5" s="57"/>
    </row>
    <row r="6" spans="1:18">
      <c r="A6" s="63"/>
      <c r="B6" s="257">
        <v>2025</v>
      </c>
      <c r="C6" s="257"/>
      <c r="D6" s="257"/>
      <c r="E6" s="258"/>
      <c r="F6" s="257">
        <v>2026</v>
      </c>
      <c r="G6" s="257"/>
      <c r="H6" s="257"/>
      <c r="I6" s="257"/>
    </row>
    <row r="7" spans="1:18">
      <c r="A7" s="63"/>
      <c r="B7" s="64" t="str">
        <f>HLOOKUP(INDICE!$F$2,Nombres!$C$3:$D$636,167,FALSE)</f>
        <v>1Q</v>
      </c>
      <c r="C7" s="64" t="str">
        <f>HLOOKUP(INDICE!$F$2,Nombres!$C$3:$D$636,168,FALSE)</f>
        <v>2Q</v>
      </c>
      <c r="D7" s="64" t="str">
        <f>HLOOKUP(INDICE!$F$2,Nombres!$C$3:$D$636,169,FALSE)</f>
        <v>3Q</v>
      </c>
      <c r="E7" s="65" t="str">
        <f>HLOOKUP(INDICE!$F$2,Nombres!$C$3:$D$636,170,FALSE)</f>
        <v>4Q</v>
      </c>
      <c r="F7" s="64" t="str">
        <f>HLOOKUP(INDICE!$F$2,Nombres!$C$3:$D$636,167,FALSE)</f>
        <v>1Q</v>
      </c>
      <c r="G7" s="64" t="str">
        <f>HLOOKUP(INDICE!$F$2,Nombres!$C$3:$D$636,168,FALSE)</f>
        <v>2Q</v>
      </c>
      <c r="H7" s="64" t="str">
        <f>HLOOKUP(INDICE!$F$2,Nombres!$C$3:$D$636,169,FALSE)</f>
        <v>3Q</v>
      </c>
      <c r="I7" s="64" t="str">
        <f>HLOOKUP(INDICE!$F$2,Nombres!$C$3:$D$636,170,FALSE)</f>
        <v>4Q</v>
      </c>
    </row>
    <row r="8" spans="1:18">
      <c r="A8" s="17" t="str">
        <f>HLOOKUP(INDICE!$F$2,Nombres!$C$3:$D$636,33,FALSE)</f>
        <v>Net interest income</v>
      </c>
      <c r="B8" s="17">
        <v>1598.2268301804158</v>
      </c>
      <c r="C8" s="17">
        <v>1617.0482411475148</v>
      </c>
      <c r="D8" s="17">
        <v>1670.7784655641417</v>
      </c>
      <c r="E8" s="66">
        <v>1676.9222936529536</v>
      </c>
      <c r="F8" s="67">
        <v>1656.2511925473177</v>
      </c>
      <c r="G8" s="67">
        <v>1689.2924292568684</v>
      </c>
      <c r="H8" s="67">
        <v>0</v>
      </c>
      <c r="I8" s="67">
        <v>0</v>
      </c>
      <c r="P8" s="68"/>
      <c r="Q8" s="68"/>
      <c r="R8" s="69"/>
    </row>
    <row r="9" spans="1:18">
      <c r="A9" s="7" t="str">
        <f>HLOOKUP(INDICE!$F$2,Nombres!$C$3:$D$636,34,FALSE)</f>
        <v>Net fees and commissions</v>
      </c>
      <c r="B9" s="70">
        <v>584.26139821300035</v>
      </c>
      <c r="C9" s="70">
        <v>584.12878865999994</v>
      </c>
      <c r="D9" s="70">
        <v>562.15158411099867</v>
      </c>
      <c r="E9" s="71">
        <v>619.61142619000555</v>
      </c>
      <c r="F9" s="70">
        <v>604.73832439200044</v>
      </c>
      <c r="G9" s="70">
        <v>588.91227261000199</v>
      </c>
      <c r="H9" s="70">
        <v>0</v>
      </c>
      <c r="I9" s="70">
        <v>0</v>
      </c>
      <c r="P9" s="68"/>
      <c r="Q9" s="68"/>
      <c r="R9" s="69"/>
    </row>
    <row r="10" spans="1:18">
      <c r="A10" s="7" t="str">
        <f>HLOOKUP(INDICE!$F$2,Nombres!$C$3:$D$636,35,FALSE)</f>
        <v>Net trading income</v>
      </c>
      <c r="B10" s="70">
        <v>245.84135167400007</v>
      </c>
      <c r="C10" s="70">
        <v>151.20153411500016</v>
      </c>
      <c r="D10" s="70">
        <v>134.09040443399957</v>
      </c>
      <c r="E10" s="71">
        <v>185.31278308300014</v>
      </c>
      <c r="F10" s="70">
        <v>295.07005611999995</v>
      </c>
      <c r="G10" s="70">
        <v>121.03698542219993</v>
      </c>
      <c r="H10" s="70">
        <v>0</v>
      </c>
      <c r="I10" s="70">
        <v>0</v>
      </c>
      <c r="P10" s="68"/>
      <c r="Q10" s="68"/>
      <c r="R10" s="69"/>
    </row>
    <row r="11" spans="1:18">
      <c r="A11" s="7" t="str">
        <f>HLOOKUP(INDICE!$F$2,Nombres!$C$3:$D$636,36,FALSE)</f>
        <v>Other operating income and expenses</v>
      </c>
      <c r="B11" s="70">
        <v>89.440456089999898</v>
      </c>
      <c r="C11" s="70">
        <v>119.96945791999998</v>
      </c>
      <c r="D11" s="70">
        <v>79.345278270000165</v>
      </c>
      <c r="E11" s="71">
        <v>62.256979270000393</v>
      </c>
      <c r="F11" s="70">
        <v>96.993733570000003</v>
      </c>
      <c r="G11" s="70">
        <v>94.209133450000124</v>
      </c>
      <c r="H11" s="70">
        <v>0</v>
      </c>
      <c r="I11" s="70">
        <v>0</v>
      </c>
      <c r="P11" s="68"/>
      <c r="Q11" s="68"/>
      <c r="R11" s="69"/>
    </row>
    <row r="12" spans="1:18">
      <c r="A12" s="17" t="str">
        <f>HLOOKUP(INDICE!$F$2,Nombres!$C$3:$D$636,37,FALSE)</f>
        <v>Gross income</v>
      </c>
      <c r="B12" s="17">
        <f>+SUM(B8:B11)</f>
        <v>2517.7700361574161</v>
      </c>
      <c r="C12" s="17">
        <f t="shared" ref="C12:I12" si="0">+SUM(C8:C11)</f>
        <v>2472.3480218425148</v>
      </c>
      <c r="D12" s="17">
        <f t="shared" si="0"/>
        <v>2446.3657323791399</v>
      </c>
      <c r="E12" s="66">
        <f t="shared" si="0"/>
        <v>2544.1034821959602</v>
      </c>
      <c r="F12" s="67">
        <f t="shared" si="0"/>
        <v>2653.0533066293183</v>
      </c>
      <c r="G12" s="67">
        <f t="shared" si="0"/>
        <v>2493.4508207390704</v>
      </c>
      <c r="H12" s="67">
        <f t="shared" si="0"/>
        <v>0</v>
      </c>
      <c r="I12" s="67">
        <f t="shared" si="0"/>
        <v>0</v>
      </c>
      <c r="P12" s="68"/>
      <c r="Q12" s="68"/>
      <c r="R12" s="69"/>
    </row>
    <row r="13" spans="1:18">
      <c r="A13" s="7" t="str">
        <f>HLOOKUP(INDICE!$F$2,Nombres!$C$3:$D$636,38,FALSE)</f>
        <v>Operating expenses</v>
      </c>
      <c r="B13" s="70">
        <v>-815.16273259042134</v>
      </c>
      <c r="C13" s="70">
        <v>-753.02387178160689</v>
      </c>
      <c r="D13" s="70">
        <v>-849.31482986215553</v>
      </c>
      <c r="E13" s="71">
        <v>-902.08153181936746</v>
      </c>
      <c r="F13" s="70">
        <v>-893.84749418167928</v>
      </c>
      <c r="G13" s="70">
        <v>-835.16834148716214</v>
      </c>
      <c r="H13" s="70">
        <v>0</v>
      </c>
      <c r="I13" s="70">
        <v>0</v>
      </c>
      <c r="P13" s="68"/>
      <c r="Q13" s="68"/>
      <c r="R13" s="69"/>
    </row>
    <row r="14" spans="1:18">
      <c r="A14" s="7" t="str">
        <f>HLOOKUP(INDICE!$F$2,Nombres!$C$3:$D$636,39,FALSE)</f>
        <v xml:space="preserve">  Administration expenses</v>
      </c>
      <c r="B14" s="70">
        <v>-722.35406200042144</v>
      </c>
      <c r="C14" s="70">
        <v>-658.49624504160693</v>
      </c>
      <c r="D14" s="70">
        <v>-751.24372259215556</v>
      </c>
      <c r="E14" s="71">
        <v>-801.26813021936755</v>
      </c>
      <c r="F14" s="70">
        <v>-791.5741187416794</v>
      </c>
      <c r="G14" s="70">
        <v>-732.93900547716214</v>
      </c>
      <c r="H14" s="70">
        <v>0</v>
      </c>
      <c r="I14" s="70">
        <v>0</v>
      </c>
      <c r="P14" s="68"/>
      <c r="Q14" s="68"/>
      <c r="R14" s="69"/>
    </row>
    <row r="15" spans="1:18">
      <c r="A15" s="72" t="str">
        <f>HLOOKUP(INDICE!$F$2,Nombres!$C$3:$D$636,40,FALSE)</f>
        <v xml:space="preserve">  Personnel expenses</v>
      </c>
      <c r="B15" s="70">
        <v>-430.71482743999957</v>
      </c>
      <c r="C15" s="70">
        <v>-437.84947993999992</v>
      </c>
      <c r="D15" s="70">
        <v>-443.85561998999958</v>
      </c>
      <c r="E15" s="71">
        <v>-541.75158836000037</v>
      </c>
      <c r="F15" s="70">
        <v>-494.52724292999949</v>
      </c>
      <c r="G15" s="70">
        <v>-461.27812495999979</v>
      </c>
      <c r="H15" s="70">
        <v>0</v>
      </c>
      <c r="I15" s="70">
        <v>0</v>
      </c>
      <c r="P15" s="68"/>
      <c r="Q15" s="68"/>
      <c r="R15" s="69"/>
    </row>
    <row r="16" spans="1:18">
      <c r="A16" s="72" t="str">
        <f>HLOOKUP(INDICE!$F$2,Nombres!$C$3:$D$636,41,FALSE)</f>
        <v xml:space="preserve">  General and administrative expenses</v>
      </c>
      <c r="B16" s="70">
        <v>-291.63923456042193</v>
      </c>
      <c r="C16" s="70">
        <v>-220.64676510160706</v>
      </c>
      <c r="D16" s="70">
        <v>-307.38810260215575</v>
      </c>
      <c r="E16" s="71">
        <v>-259.51654185936712</v>
      </c>
      <c r="F16" s="70">
        <v>-297.04687581167991</v>
      </c>
      <c r="G16" s="70">
        <v>-271.66088051716235</v>
      </c>
      <c r="H16" s="70">
        <v>0</v>
      </c>
      <c r="I16" s="70">
        <v>0</v>
      </c>
      <c r="P16" s="68"/>
      <c r="Q16" s="68"/>
      <c r="R16" s="69"/>
    </row>
    <row r="17" spans="1:18">
      <c r="A17" s="7" t="str">
        <f>HLOOKUP(INDICE!$F$2,Nombres!$C$3:$D$636,42,FALSE)</f>
        <v xml:space="preserve">  Depreciation</v>
      </c>
      <c r="B17" s="70">
        <v>-92.808670589999963</v>
      </c>
      <c r="C17" s="70">
        <v>-94.527626739999988</v>
      </c>
      <c r="D17" s="70">
        <v>-98.071107269999985</v>
      </c>
      <c r="E17" s="71">
        <v>-100.81340159999992</v>
      </c>
      <c r="F17" s="70">
        <v>-102.27337543999995</v>
      </c>
      <c r="G17" s="70">
        <v>-102.22933600999995</v>
      </c>
      <c r="H17" s="70">
        <v>0</v>
      </c>
      <c r="I17" s="70">
        <v>0</v>
      </c>
    </row>
    <row r="18" spans="1:18">
      <c r="A18" s="17" t="str">
        <f>HLOOKUP(INDICE!$F$2,Nombres!$C$3:$D$636,43,FALSE)</f>
        <v>Operating income</v>
      </c>
      <c r="B18" s="17">
        <f>+B12+B13</f>
        <v>1702.6073035669947</v>
      </c>
      <c r="C18" s="17">
        <f t="shared" ref="C18:I18" si="1">+C12+C13</f>
        <v>1719.3241500609079</v>
      </c>
      <c r="D18" s="17">
        <f t="shared" si="1"/>
        <v>1597.0509025169845</v>
      </c>
      <c r="E18" s="66">
        <f t="shared" si="1"/>
        <v>1642.0219503765927</v>
      </c>
      <c r="F18" s="67">
        <f t="shared" si="1"/>
        <v>1759.2058124476389</v>
      </c>
      <c r="G18" s="67">
        <f t="shared" si="1"/>
        <v>1658.2824792519082</v>
      </c>
      <c r="H18" s="67">
        <f t="shared" si="1"/>
        <v>0</v>
      </c>
      <c r="I18" s="67">
        <f t="shared" si="1"/>
        <v>0</v>
      </c>
      <c r="P18" s="68"/>
      <c r="Q18" s="68"/>
      <c r="R18" s="69"/>
    </row>
    <row r="19" spans="1:18">
      <c r="A19" s="7" t="str">
        <f>HLOOKUP(INDICE!$F$2,Nombres!$C$3:$D$636,44,FALSE)</f>
        <v>Impaiment on financial assets not measured at fair value through profit or loss</v>
      </c>
      <c r="B19" s="70">
        <v>-138.51014453999971</v>
      </c>
      <c r="C19" s="70">
        <v>-162.93590293599965</v>
      </c>
      <c r="D19" s="70">
        <v>-176.22604760000118</v>
      </c>
      <c r="E19" s="71">
        <v>-171.69770045999925</v>
      </c>
      <c r="F19" s="70">
        <v>-165.41929041000009</v>
      </c>
      <c r="G19" s="70">
        <v>-135.07501429999962</v>
      </c>
      <c r="H19" s="70">
        <v>0</v>
      </c>
      <c r="I19" s="70">
        <v>0</v>
      </c>
      <c r="P19" s="68"/>
      <c r="Q19" s="68"/>
      <c r="R19" s="69"/>
    </row>
    <row r="20" spans="1:18">
      <c r="A20" s="7" t="str">
        <f>HLOOKUP(INDICE!$F$2,Nombres!$C$3:$D$636,45,FALSE)</f>
        <v>Provisions or reversal of provisions and other results</v>
      </c>
      <c r="B20" s="70">
        <v>-25.692821480000042</v>
      </c>
      <c r="C20" s="70">
        <v>-14.397190211000037</v>
      </c>
      <c r="D20" s="70">
        <v>-12.88792939999999</v>
      </c>
      <c r="E20" s="71">
        <v>-68.493685442000071</v>
      </c>
      <c r="F20" s="70">
        <v>-18.471528170000006</v>
      </c>
      <c r="G20" s="70">
        <v>-18.204916736999962</v>
      </c>
      <c r="H20" s="70">
        <v>0</v>
      </c>
      <c r="I20" s="70">
        <v>0</v>
      </c>
      <c r="P20" s="68"/>
      <c r="Q20" s="68"/>
      <c r="R20" s="69"/>
    </row>
    <row r="21" spans="1:18">
      <c r="A21" s="17" t="str">
        <f>HLOOKUP(INDICE!$F$2,Nombres!$C$3:$D$636,46,FALSE)</f>
        <v>Profit/(loss) before tax</v>
      </c>
      <c r="B21" s="17">
        <f>+B18+B19+B20</f>
        <v>1538.4043375469951</v>
      </c>
      <c r="C21" s="17">
        <f t="shared" ref="C21:I21" si="2">+C18+C19+C20</f>
        <v>1541.9910569139083</v>
      </c>
      <c r="D21" s="17">
        <f t="shared" si="2"/>
        <v>1407.9369255169831</v>
      </c>
      <c r="E21" s="66">
        <f t="shared" si="2"/>
        <v>1401.8305644745935</v>
      </c>
      <c r="F21" s="67">
        <f t="shared" si="2"/>
        <v>1575.3149938676388</v>
      </c>
      <c r="G21" s="67">
        <f t="shared" si="2"/>
        <v>1505.0025482149085</v>
      </c>
      <c r="H21" s="67">
        <f t="shared" si="2"/>
        <v>0</v>
      </c>
      <c r="I21" s="67">
        <f t="shared" si="2"/>
        <v>0</v>
      </c>
      <c r="P21" s="68"/>
      <c r="Q21" s="68"/>
      <c r="R21" s="69"/>
    </row>
    <row r="22" spans="1:18">
      <c r="A22" s="7" t="str">
        <f>HLOOKUP(INDICE!$F$2,Nombres!$C$3:$D$636,47,FALSE)</f>
        <v>Income tax</v>
      </c>
      <c r="B22" s="70">
        <v>-525.27169242379182</v>
      </c>
      <c r="C22" s="70">
        <v>-430.18519400807037</v>
      </c>
      <c r="D22" s="70">
        <v>-419.4143604454689</v>
      </c>
      <c r="E22" s="71">
        <v>-372.15162938216503</v>
      </c>
      <c r="F22" s="70">
        <v>-479.69115525691592</v>
      </c>
      <c r="G22" s="70">
        <v>-426.81196962607476</v>
      </c>
      <c r="H22" s="70">
        <v>0</v>
      </c>
      <c r="I22" s="70">
        <v>0</v>
      </c>
      <c r="P22" s="68"/>
      <c r="Q22" s="68"/>
      <c r="R22" s="69"/>
    </row>
    <row r="23" spans="1:18">
      <c r="A23" s="17" t="str">
        <f>HLOOKUP(INDICE!$F$2,Nombres!$C$3:$D$636,48,FALSE)</f>
        <v>Profit/(loss) for the year</v>
      </c>
      <c r="B23" s="17">
        <f>+B21+B22</f>
        <v>1013.1326451232032</v>
      </c>
      <c r="C23" s="17">
        <f t="shared" ref="C23:I23" si="3">+C21+C22</f>
        <v>1111.805862905838</v>
      </c>
      <c r="D23" s="17">
        <f t="shared" si="3"/>
        <v>988.52256507151424</v>
      </c>
      <c r="E23" s="66">
        <f t="shared" si="3"/>
        <v>1029.6789350924284</v>
      </c>
      <c r="F23" s="67">
        <f t="shared" si="3"/>
        <v>1095.6238386107229</v>
      </c>
      <c r="G23" s="67">
        <f t="shared" si="3"/>
        <v>1078.1905785888339</v>
      </c>
      <c r="H23" s="67">
        <f t="shared" si="3"/>
        <v>0</v>
      </c>
      <c r="I23" s="67">
        <f t="shared" si="3"/>
        <v>0</v>
      </c>
      <c r="P23" s="68"/>
      <c r="Q23" s="68"/>
      <c r="R23" s="69"/>
    </row>
    <row r="24" spans="1:18">
      <c r="A24" s="7" t="str">
        <f>HLOOKUP(INDICE!$F$2,Nombres!$C$3:$D$636,49,FALSE)</f>
        <v>Non-controlling interests</v>
      </c>
      <c r="B24" s="70">
        <v>-0.72603773292058382</v>
      </c>
      <c r="C24" s="70">
        <v>-0.68767165029397725</v>
      </c>
      <c r="D24" s="70">
        <v>-0.71603284129170419</v>
      </c>
      <c r="E24" s="71">
        <v>-0.99499213010800469</v>
      </c>
      <c r="F24" s="70">
        <v>-0.74945289942417292</v>
      </c>
      <c r="G24" s="70">
        <v>-0.77605827295467411</v>
      </c>
      <c r="H24" s="70">
        <v>0</v>
      </c>
      <c r="I24" s="70">
        <v>0</v>
      </c>
      <c r="P24" s="68"/>
      <c r="Q24" s="68"/>
      <c r="R24" s="69"/>
    </row>
    <row r="25" spans="1:18">
      <c r="A25" s="18" t="str">
        <f>HLOOKUP(INDICE!$F$2,Nombres!$C$3:$D$636,50,FALSE)</f>
        <v>Net attributable profit</v>
      </c>
      <c r="B25" s="18">
        <f>+B23+B24</f>
        <v>1012.4066073902827</v>
      </c>
      <c r="C25" s="18">
        <f t="shared" ref="C25:I25" si="4">+C23+C24</f>
        <v>1111.1181912555439</v>
      </c>
      <c r="D25" s="18">
        <f t="shared" si="4"/>
        <v>987.8065322302225</v>
      </c>
      <c r="E25" s="87">
        <f t="shared" si="4"/>
        <v>1028.6839429623205</v>
      </c>
      <c r="F25" s="88">
        <f t="shared" si="4"/>
        <v>1094.8743857112988</v>
      </c>
      <c r="G25" s="88">
        <f t="shared" si="4"/>
        <v>1077.4145203158791</v>
      </c>
      <c r="H25" s="88">
        <f t="shared" si="4"/>
        <v>0</v>
      </c>
      <c r="I25" s="88">
        <f t="shared" si="4"/>
        <v>0</v>
      </c>
    </row>
    <row r="26" spans="1:18">
      <c r="A26" s="7"/>
      <c r="B26" s="70"/>
      <c r="C26" s="70"/>
      <c r="D26" s="70"/>
      <c r="E26" s="71"/>
      <c r="F26" s="70"/>
      <c r="G26" s="70"/>
      <c r="H26" s="70"/>
      <c r="I26" s="70"/>
    </row>
    <row r="27" spans="1:18">
      <c r="A27" s="7"/>
      <c r="B27" s="70"/>
      <c r="C27" s="70"/>
      <c r="D27" s="70"/>
      <c r="E27" s="71"/>
      <c r="F27" s="70"/>
      <c r="G27" s="70"/>
      <c r="H27" s="70"/>
      <c r="I27" s="70"/>
      <c r="P27" s="68"/>
      <c r="Q27" s="68"/>
      <c r="R27" s="69"/>
    </row>
    <row r="28" spans="1:18">
      <c r="A28" s="260"/>
      <c r="B28" s="260"/>
      <c r="C28" s="260"/>
      <c r="D28" s="260"/>
      <c r="E28" s="260"/>
      <c r="F28" s="260"/>
      <c r="G28" s="260"/>
      <c r="H28" s="260"/>
      <c r="I28" s="260"/>
    </row>
    <row r="29" spans="1:18">
      <c r="A29" s="17"/>
      <c r="B29" s="17"/>
      <c r="C29" s="17"/>
      <c r="D29" s="17"/>
      <c r="E29" s="17"/>
      <c r="F29" s="17"/>
      <c r="G29" s="17"/>
      <c r="H29" s="17"/>
      <c r="I29" s="17"/>
    </row>
    <row r="30" spans="1:18" ht="17">
      <c r="A30" s="59" t="str">
        <f>HLOOKUP(INDICE!$F$2,Nombres!$C$3:$D$636,51,FALSE)</f>
        <v>Balance sheets</v>
      </c>
      <c r="B30" s="60"/>
      <c r="C30" s="60"/>
      <c r="D30" s="60"/>
      <c r="E30" s="60"/>
      <c r="F30" s="60"/>
      <c r="G30" s="60"/>
      <c r="H30" s="60"/>
      <c r="I30" s="60"/>
    </row>
    <row r="31" spans="1:18">
      <c r="A31" s="9" t="str">
        <f>HLOOKUP(INDICE!$F$2,Nombres!$C$3:$D$636,32,FALSE)</f>
        <v>(Million euros)</v>
      </c>
      <c r="B31" s="57"/>
      <c r="C31" s="78"/>
      <c r="D31" s="78"/>
      <c r="E31" s="78"/>
      <c r="F31" s="57"/>
      <c r="G31" s="79"/>
      <c r="H31" s="79"/>
      <c r="I31" s="79"/>
    </row>
    <row r="32" spans="1:18">
      <c r="A32" s="57"/>
      <c r="B32" s="80">
        <v>45747</v>
      </c>
      <c r="C32" s="80">
        <v>45838</v>
      </c>
      <c r="D32" s="80">
        <v>45930</v>
      </c>
      <c r="E32" s="80">
        <v>46022</v>
      </c>
      <c r="F32" s="80">
        <v>46112</v>
      </c>
      <c r="G32" s="80">
        <v>46203</v>
      </c>
      <c r="H32" s="80">
        <v>46295</v>
      </c>
      <c r="I32" s="80">
        <v>46387</v>
      </c>
    </row>
    <row r="33" spans="1:11">
      <c r="A33" s="7" t="str">
        <f>HLOOKUP(INDICE!$F$2,Nombres!$C$3:$D$636,52,FALSE)</f>
        <v>Cash, cash balances at central banks and other demand deposits</v>
      </c>
      <c r="B33" s="70">
        <v>13226.49494461</v>
      </c>
      <c r="C33" s="70">
        <v>7744.789660280002</v>
      </c>
      <c r="D33" s="70">
        <v>18645.591089059999</v>
      </c>
      <c r="E33" s="71">
        <v>19928.733502299998</v>
      </c>
      <c r="F33" s="70">
        <v>11502.882901039997</v>
      </c>
      <c r="G33" s="70">
        <v>18022.785375079999</v>
      </c>
      <c r="H33" s="70">
        <v>0</v>
      </c>
      <c r="I33" s="70">
        <v>0</v>
      </c>
      <c r="K33" s="68"/>
    </row>
    <row r="34" spans="1:11">
      <c r="A34" s="7" t="str">
        <f>HLOOKUP(INDICE!$F$2,Nombres!$C$3:$D$636,53,FALSE)</f>
        <v xml:space="preserve">Financial assets designated at fair value </v>
      </c>
      <c r="B34" s="79">
        <v>105366.36815427001</v>
      </c>
      <c r="C34" s="79">
        <v>107479.19136481</v>
      </c>
      <c r="D34" s="79">
        <v>112775.33272957998</v>
      </c>
      <c r="E34" s="89">
        <v>119910.33502858999</v>
      </c>
      <c r="F34" s="70">
        <v>134512.93080144998</v>
      </c>
      <c r="G34" s="70">
        <v>150010.49735154997</v>
      </c>
      <c r="H34" s="70">
        <v>0</v>
      </c>
      <c r="I34" s="70">
        <v>0</v>
      </c>
      <c r="K34" s="68"/>
    </row>
    <row r="35" spans="1:11">
      <c r="A35" s="7" t="str">
        <f>HLOOKUP(INDICE!$F$2,Nombres!$C$3:$D$636,54,FALSE)</f>
        <v>Financial assets at amortized cost</v>
      </c>
      <c r="B35" s="70">
        <v>246452.66227894605</v>
      </c>
      <c r="C35" s="70">
        <v>252882.65794042096</v>
      </c>
      <c r="D35" s="70">
        <v>253999.13755773017</v>
      </c>
      <c r="E35" s="71">
        <v>263436.98924207914</v>
      </c>
      <c r="F35" s="70">
        <v>268948.93036979891</v>
      </c>
      <c r="G35" s="70">
        <v>276183.32467114896</v>
      </c>
      <c r="H35" s="70">
        <v>0</v>
      </c>
      <c r="I35" s="70">
        <v>0</v>
      </c>
      <c r="K35" s="68"/>
    </row>
    <row r="36" spans="1:11">
      <c r="A36" s="7" t="str">
        <f>HLOOKUP(INDICE!$F$2,Nombres!$C$3:$D$636,55,FALSE)</f>
        <v xml:space="preserve">    of which loans and advances to customers</v>
      </c>
      <c r="B36" s="70">
        <v>184624.05428378607</v>
      </c>
      <c r="C36" s="70">
        <v>188581.12783923099</v>
      </c>
      <c r="D36" s="70">
        <v>188504.32828988013</v>
      </c>
      <c r="E36" s="71">
        <v>192959.34461361915</v>
      </c>
      <c r="F36" s="70">
        <v>195110.33103945892</v>
      </c>
      <c r="G36" s="70">
        <v>201278.747749109</v>
      </c>
      <c r="H36" s="70">
        <v>0</v>
      </c>
      <c r="I36" s="70">
        <v>0</v>
      </c>
      <c r="K36" s="68"/>
    </row>
    <row r="37" spans="1:11">
      <c r="A37" s="7" t="str">
        <f>HLOOKUP(INDICE!$F$2,Nombres!$C$3:$D$636,121,FALSE)</f>
        <v>Inter-area positions</v>
      </c>
      <c r="B37" s="70">
        <v>35490.343616791288</v>
      </c>
      <c r="C37" s="70">
        <v>47018.181790918839</v>
      </c>
      <c r="D37" s="70">
        <v>42594.913924988738</v>
      </c>
      <c r="E37" s="71">
        <v>48288.210431552259</v>
      </c>
      <c r="F37" s="70">
        <v>52706.391690450881</v>
      </c>
      <c r="G37" s="70">
        <v>75402.338140751745</v>
      </c>
      <c r="H37" s="70">
        <v>0</v>
      </c>
      <c r="I37" s="70">
        <v>0</v>
      </c>
      <c r="K37" s="68"/>
    </row>
    <row r="38" spans="1:11">
      <c r="A38" s="7" t="str">
        <f>HLOOKUP(INDICE!$F$2,Nombres!$C$3:$D$636,56,FALSE)</f>
        <v>Tangible assets</v>
      </c>
      <c r="B38" s="79">
        <v>2769.0269326399994</v>
      </c>
      <c r="C38" s="79">
        <v>2746.7548909300003</v>
      </c>
      <c r="D38" s="79">
        <v>2724.46767499</v>
      </c>
      <c r="E38" s="89">
        <v>2717.7191777500011</v>
      </c>
      <c r="F38" s="70">
        <v>2691.5988955599987</v>
      </c>
      <c r="G38" s="70">
        <v>2666.8208843299999</v>
      </c>
      <c r="H38" s="70">
        <v>0</v>
      </c>
      <c r="I38" s="70">
        <v>0</v>
      </c>
      <c r="K38" s="68"/>
    </row>
    <row r="39" spans="1:11">
      <c r="A39" s="7" t="str">
        <f>HLOOKUP(INDICE!$F$2,Nombres!$C$3:$D$636,57,FALSE)</f>
        <v>Other assets</v>
      </c>
      <c r="B39" s="79">
        <f t="shared" ref="B39:H39" si="5">+B40-B38-B35-B34-B33-B37</f>
        <v>3999.6123257099171</v>
      </c>
      <c r="C39" s="79">
        <f t="shared" si="5"/>
        <v>3830.9852437699446</v>
      </c>
      <c r="D39" s="79">
        <f t="shared" si="5"/>
        <v>4008.46082276987</v>
      </c>
      <c r="E39" s="89">
        <f t="shared" si="5"/>
        <v>3808.3819007499187</v>
      </c>
      <c r="F39" s="70">
        <f t="shared" si="5"/>
        <v>4002.7368596999295</v>
      </c>
      <c r="G39" s="70">
        <f t="shared" si="5"/>
        <v>3426.8959794501716</v>
      </c>
      <c r="H39" s="70">
        <f t="shared" si="5"/>
        <v>0</v>
      </c>
      <c r="I39" s="70">
        <f>+I40-I38-I35-I34-I33-I37</f>
        <v>0</v>
      </c>
      <c r="K39" s="68"/>
    </row>
    <row r="40" spans="1:11">
      <c r="A40" s="18" t="str">
        <f>HLOOKUP(INDICE!$F$2,Nombres!$C$3:$D$636,58,FALSE)</f>
        <v>Total assets / Liabilities and equity</v>
      </c>
      <c r="B40" s="18">
        <v>407304.50825296727</v>
      </c>
      <c r="C40" s="18">
        <v>421702.56089112977</v>
      </c>
      <c r="D40" s="18">
        <v>434747.90379911877</v>
      </c>
      <c r="E40" s="18">
        <v>458090.36928302131</v>
      </c>
      <c r="F40" s="88">
        <v>474365.47151799971</v>
      </c>
      <c r="G40" s="88">
        <v>525712.66240231087</v>
      </c>
      <c r="H40" s="88">
        <v>0</v>
      </c>
      <c r="I40" s="88">
        <v>0</v>
      </c>
      <c r="K40" s="68"/>
    </row>
    <row r="41" spans="1:11">
      <c r="A41" s="7" t="str">
        <f>HLOOKUP(INDICE!$F$2,Nombres!$C$3:$D$636,59,FALSE)</f>
        <v>Financial liabilities held for trading and designated at fair value through profit or loss</v>
      </c>
      <c r="B41" s="79">
        <v>68956.072294090001</v>
      </c>
      <c r="C41" s="79">
        <v>74974.784278909996</v>
      </c>
      <c r="D41" s="79">
        <v>77864.574081999977</v>
      </c>
      <c r="E41" s="89">
        <v>82784.60161355001</v>
      </c>
      <c r="F41" s="70">
        <v>95873.427245230007</v>
      </c>
      <c r="G41" s="70">
        <v>109735.24112336998</v>
      </c>
      <c r="H41" s="70">
        <v>0</v>
      </c>
      <c r="I41" s="70">
        <v>0</v>
      </c>
      <c r="K41" s="68"/>
    </row>
    <row r="42" spans="1:11">
      <c r="A42" s="7" t="str">
        <f>HLOOKUP(INDICE!$F$2,Nombres!$C$3:$D$636,60,FALSE)</f>
        <v>Deposits from central banks and credit institutions</v>
      </c>
      <c r="B42" s="79">
        <v>28053.015198599976</v>
      </c>
      <c r="C42" s="79">
        <v>29694.601306700002</v>
      </c>
      <c r="D42" s="79">
        <v>28595.72355096</v>
      </c>
      <c r="E42" s="89">
        <v>34582.284121310004</v>
      </c>
      <c r="F42" s="70">
        <v>37671.212879439998</v>
      </c>
      <c r="G42" s="70">
        <v>41334.148481169992</v>
      </c>
      <c r="H42" s="70">
        <v>0</v>
      </c>
      <c r="I42" s="70">
        <v>0</v>
      </c>
      <c r="K42" s="68"/>
    </row>
    <row r="43" spans="1:11" ht="15.75" customHeight="1">
      <c r="A43" s="7" t="str">
        <f>HLOOKUP(INDICE!$F$2,Nombres!$C$3:$D$636,61,FALSE)</f>
        <v>Deposits from customers</v>
      </c>
      <c r="B43" s="79">
        <v>228534.76791912018</v>
      </c>
      <c r="C43" s="79">
        <v>230120.13135054003</v>
      </c>
      <c r="D43" s="79">
        <v>237857.8275777401</v>
      </c>
      <c r="E43" s="89">
        <v>251430.28950516027</v>
      </c>
      <c r="F43" s="70">
        <v>248520.39385522023</v>
      </c>
      <c r="G43" s="70">
        <v>260325.52484061974</v>
      </c>
      <c r="H43" s="70">
        <v>0</v>
      </c>
      <c r="I43" s="70">
        <v>0</v>
      </c>
      <c r="K43" s="68"/>
    </row>
    <row r="44" spans="1:11">
      <c r="A44" s="7" t="str">
        <f>HLOOKUP(INDICE!$F$2,Nombres!$C$3:$D$636,62,FALSE)</f>
        <v>Debt certificates</v>
      </c>
      <c r="B44" s="70">
        <v>47765.943500097528</v>
      </c>
      <c r="C44" s="70">
        <v>47856.400096103673</v>
      </c>
      <c r="D44" s="70">
        <v>51899.094598260424</v>
      </c>
      <c r="E44" s="71">
        <v>53300.208609760637</v>
      </c>
      <c r="F44" s="70">
        <v>59147.471922090335</v>
      </c>
      <c r="G44" s="70">
        <v>75476.01686213199</v>
      </c>
      <c r="H44" s="70">
        <v>0</v>
      </c>
      <c r="I44" s="70">
        <v>0</v>
      </c>
      <c r="K44" s="68"/>
    </row>
    <row r="45" spans="1:11">
      <c r="A45" s="7" t="str">
        <f>HLOOKUP(INDICE!$F$2,Nombres!$C$3:$D$636,122,FALSE)</f>
        <v>Inter-area positions</v>
      </c>
      <c r="B45" s="70">
        <v>0</v>
      </c>
      <c r="C45" s="70">
        <v>0</v>
      </c>
      <c r="D45" s="70">
        <v>0</v>
      </c>
      <c r="E45" s="71">
        <v>0</v>
      </c>
      <c r="F45" s="70">
        <v>0</v>
      </c>
      <c r="G45" s="70">
        <v>0</v>
      </c>
      <c r="H45" s="70">
        <v>0</v>
      </c>
      <c r="I45" s="70">
        <v>0</v>
      </c>
      <c r="K45" s="68"/>
    </row>
    <row r="46" spans="1:11">
      <c r="A46" s="7" t="str">
        <f>HLOOKUP(INDICE!$F$2,Nombres!$C$3:$D$636,63,FALSE)</f>
        <v>Other liabilities</v>
      </c>
      <c r="B46" s="70">
        <f>+B40-B41-B42-B43-B44-B47-B45</f>
        <v>18830.556417433701</v>
      </c>
      <c r="C46" s="70">
        <f t="shared" ref="C46:I46" si="6">+C40-C41-C42-C43-C44-C47-C45</f>
        <v>23582.348748904649</v>
      </c>
      <c r="D46" s="70">
        <f t="shared" si="6"/>
        <v>22861.650066139689</v>
      </c>
      <c r="E46" s="71">
        <f t="shared" si="6"/>
        <v>20822.155033358387</v>
      </c>
      <c r="F46" s="70">
        <f t="shared" si="6"/>
        <v>17678.689534036846</v>
      </c>
      <c r="G46" s="70">
        <f t="shared" si="6"/>
        <v>23271.906116973274</v>
      </c>
      <c r="H46" s="70">
        <f t="shared" si="6"/>
        <v>0</v>
      </c>
      <c r="I46" s="70">
        <f t="shared" si="6"/>
        <v>0</v>
      </c>
      <c r="K46" s="68"/>
    </row>
    <row r="47" spans="1:11">
      <c r="A47" s="7" t="str">
        <f>HLOOKUP(INDICE!$F$2,Nombres!$C$3:$D$636,282,FALSE)</f>
        <v>Allocated regulatory capital</v>
      </c>
      <c r="B47" s="70">
        <v>15164.152923625905</v>
      </c>
      <c r="C47" s="70">
        <v>15474.295109971365</v>
      </c>
      <c r="D47" s="70">
        <v>15669.033924018531</v>
      </c>
      <c r="E47" s="71">
        <v>15170.83039988205</v>
      </c>
      <c r="F47" s="70">
        <v>15474.276081982305</v>
      </c>
      <c r="G47" s="70">
        <v>15569.824978045857</v>
      </c>
      <c r="H47" s="70">
        <v>0</v>
      </c>
      <c r="I47" s="70">
        <v>0</v>
      </c>
      <c r="K47" s="68"/>
    </row>
    <row r="48" spans="1:11">
      <c r="A48" s="8"/>
      <c r="B48" s="79"/>
      <c r="C48" s="79"/>
      <c r="D48" s="79"/>
      <c r="E48" s="79"/>
      <c r="F48" s="79"/>
      <c r="G48" s="79"/>
      <c r="H48" s="79"/>
      <c r="I48" s="79"/>
    </row>
    <row r="49" spans="1:12">
      <c r="A49" s="7"/>
      <c r="B49" s="79"/>
      <c r="C49" s="79"/>
      <c r="D49" s="79"/>
      <c r="E49" s="79"/>
      <c r="F49" s="79"/>
      <c r="G49" s="79"/>
      <c r="H49" s="79"/>
      <c r="I49" s="79"/>
    </row>
    <row r="50" spans="1:12" ht="17">
      <c r="A50" s="90" t="str">
        <f>HLOOKUP(INDICE!$F$2,Nombres!$C$3:$D$636,65,FALSE)</f>
        <v>Relevant business indicators</v>
      </c>
      <c r="B50" s="91"/>
      <c r="C50" s="91"/>
      <c r="D50" s="91"/>
      <c r="E50" s="91"/>
      <c r="F50" s="91"/>
      <c r="G50" s="91"/>
      <c r="H50" s="91"/>
      <c r="I50" s="91"/>
    </row>
    <row r="51" spans="1:12">
      <c r="A51" s="9" t="str">
        <f>HLOOKUP(INDICE!$F$2,Nombres!$C$3:$D$636,32,FALSE)</f>
        <v>(Million euros)</v>
      </c>
      <c r="B51" s="57"/>
      <c r="C51" s="57"/>
      <c r="D51" s="57"/>
      <c r="E51" s="57"/>
      <c r="F51" s="57"/>
      <c r="G51" s="79"/>
      <c r="H51" s="79"/>
      <c r="I51" s="79"/>
    </row>
    <row r="52" spans="1:12">
      <c r="A52" s="57"/>
      <c r="B52" s="80">
        <f t="shared" ref="B52:I52" si="7">+B$32</f>
        <v>45747</v>
      </c>
      <c r="C52" s="80">
        <f t="shared" si="7"/>
        <v>45838</v>
      </c>
      <c r="D52" s="80">
        <f t="shared" si="7"/>
        <v>45930</v>
      </c>
      <c r="E52" s="92">
        <f t="shared" si="7"/>
        <v>46022</v>
      </c>
      <c r="F52" s="80">
        <f t="shared" si="7"/>
        <v>46112</v>
      </c>
      <c r="G52" s="80">
        <f t="shared" si="7"/>
        <v>46203</v>
      </c>
      <c r="H52" s="80">
        <f t="shared" si="7"/>
        <v>46295</v>
      </c>
      <c r="I52" s="80">
        <f t="shared" si="7"/>
        <v>46387</v>
      </c>
    </row>
    <row r="53" spans="1:12">
      <c r="A53" s="7" t="str">
        <f>HLOOKUP(INDICE!$F$2,Nombres!$C$3:$D$636,66,FALSE)</f>
        <v>Loans and advances to customers (gross) (*)</v>
      </c>
      <c r="B53" s="70">
        <v>189015.76302020001</v>
      </c>
      <c r="C53" s="70">
        <v>193097.58622643998</v>
      </c>
      <c r="D53" s="70">
        <v>192850.78786783013</v>
      </c>
      <c r="E53" s="71">
        <v>197442.73598793018</v>
      </c>
      <c r="F53" s="70">
        <v>199609.24924295989</v>
      </c>
      <c r="G53" s="70">
        <v>205898.71063495995</v>
      </c>
      <c r="H53" s="70">
        <v>0</v>
      </c>
      <c r="I53" s="70">
        <v>0</v>
      </c>
      <c r="K53" s="68"/>
      <c r="L53" s="68"/>
    </row>
    <row r="54" spans="1:12">
      <c r="A54" s="7" t="str">
        <f>HLOOKUP(INDICE!$F$2,Nombres!$C$3:$D$636,67,FALSE)</f>
        <v>Customer deposits under management (*)</v>
      </c>
      <c r="B54" s="70">
        <v>217147.62844468016</v>
      </c>
      <c r="C54" s="70">
        <v>220363.40532376</v>
      </c>
      <c r="D54" s="70">
        <v>229814.84751207998</v>
      </c>
      <c r="E54" s="71">
        <v>238446.55603080025</v>
      </c>
      <c r="F54" s="70">
        <v>234204.99060975018</v>
      </c>
      <c r="G54" s="70">
        <v>240476.39926683967</v>
      </c>
      <c r="H54" s="70">
        <v>0</v>
      </c>
      <c r="I54" s="70">
        <v>0</v>
      </c>
      <c r="L54" t="s">
        <v>558</v>
      </c>
    </row>
    <row r="55" spans="1:12">
      <c r="A55" s="7" t="str">
        <f>HLOOKUP(INDICE!$F$2,Nombres!$C$3:$D$636,68,FALSE)</f>
        <v>Investment funds and managed portfolios</v>
      </c>
      <c r="B55" s="70">
        <v>85088.200368120059</v>
      </c>
      <c r="C55" s="70">
        <v>86846.222157730619</v>
      </c>
      <c r="D55" s="70">
        <v>89767.103456719735</v>
      </c>
      <c r="E55" s="71">
        <v>92819.516982829664</v>
      </c>
      <c r="F55" s="70">
        <v>92741.116468121239</v>
      </c>
      <c r="G55" s="70">
        <v>98733.569790080393</v>
      </c>
      <c r="H55" s="70">
        <v>0</v>
      </c>
      <c r="I55" s="70">
        <v>0</v>
      </c>
    </row>
    <row r="56" spans="1:12">
      <c r="A56" s="7" t="str">
        <f>HLOOKUP(INDICE!$F$2,Nombres!$C$3:$D$636,69,FALSE)</f>
        <v>Pension funds</v>
      </c>
      <c r="B56" s="70">
        <v>25483.988177390231</v>
      </c>
      <c r="C56" s="70">
        <v>25834.273409489899</v>
      </c>
      <c r="D56" s="70">
        <v>26300.184957049947</v>
      </c>
      <c r="E56" s="71">
        <v>26715.041938070011</v>
      </c>
      <c r="F56" s="70">
        <v>26234.444232829948</v>
      </c>
      <c r="G56" s="70">
        <v>27796.913919480106</v>
      </c>
      <c r="H56" s="70">
        <v>0</v>
      </c>
      <c r="I56" s="70">
        <v>0</v>
      </c>
    </row>
    <row r="57" spans="1:12">
      <c r="A57" s="7" t="str">
        <f>HLOOKUP(INDICE!$F$2,Nombres!$C$3:$D$636,70,FALSE)</f>
        <v>Other off balance-sheet funds</v>
      </c>
      <c r="B57" s="70">
        <v>0</v>
      </c>
      <c r="C57" s="70">
        <v>0</v>
      </c>
      <c r="D57" s="70">
        <v>0</v>
      </c>
      <c r="E57" s="71">
        <v>0</v>
      </c>
      <c r="F57" s="70">
        <v>0</v>
      </c>
      <c r="G57" s="70">
        <v>0</v>
      </c>
      <c r="H57" s="70">
        <v>0</v>
      </c>
      <c r="I57" s="70">
        <v>0</v>
      </c>
    </row>
    <row r="58" spans="1:12">
      <c r="A58" s="8" t="str">
        <f>HLOOKUP(INDICE!$F$2,Nombres!$C$3:$D$636,71,FALSE)</f>
        <v xml:space="preserve">(*) Excluding repos. </v>
      </c>
      <c r="B58" s="79"/>
      <c r="C58" s="79"/>
      <c r="D58" s="79"/>
      <c r="E58" s="79"/>
      <c r="F58" s="79"/>
      <c r="G58" s="79"/>
      <c r="H58" s="79"/>
      <c r="I58" s="79"/>
    </row>
    <row r="59" spans="1:12">
      <c r="A59" s="8">
        <f>HLOOKUP(INDICE!$F$2,Nombres!$C$3:$D$636,72,FALSE)</f>
        <v>0</v>
      </c>
      <c r="B59" s="57"/>
      <c r="C59" s="57"/>
      <c r="D59" s="57"/>
      <c r="E59" s="57"/>
      <c r="F59" s="57"/>
      <c r="G59" s="57"/>
      <c r="H59" s="57"/>
      <c r="I59" s="57"/>
    </row>
    <row r="60" spans="1:12">
      <c r="A60" s="8"/>
      <c r="B60" s="57"/>
      <c r="C60" s="57"/>
      <c r="D60" s="57"/>
      <c r="E60" s="57"/>
      <c r="F60" s="57"/>
      <c r="G60" s="57"/>
      <c r="H60" s="57"/>
      <c r="I60" s="57"/>
    </row>
    <row r="63" spans="1:12">
      <c r="B63" s="68"/>
      <c r="C63" s="68"/>
      <c r="D63" s="68"/>
      <c r="E63" s="68"/>
      <c r="F63" s="68"/>
      <c r="G63" s="68"/>
      <c r="H63" s="68"/>
      <c r="I63" s="68"/>
    </row>
    <row r="1002" spans="1:1">
      <c r="A1002" t="s">
        <v>557</v>
      </c>
    </row>
  </sheetData>
  <mergeCells count="3">
    <mergeCell ref="B6:E6"/>
    <mergeCell ref="F6:I6"/>
    <mergeCell ref="A28:I2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27F32-E6FE-4AFE-B07C-FFCF8BC74636}">
  <sheetPr>
    <tabColor theme="8"/>
  </sheetPr>
  <dimension ref="A1:L1006"/>
  <sheetViews>
    <sheetView showGridLines="0" workbookViewId="0">
      <selection activeCell="I1" sqref="H1:I1048576"/>
    </sheetView>
  </sheetViews>
  <sheetFormatPr baseColWidth="10" defaultColWidth="11.453125" defaultRowHeight="14.5"/>
  <cols>
    <col min="1" max="1" width="62" customWidth="1"/>
    <col min="2" max="5" width="11.453125" customWidth="1"/>
    <col min="8" max="9" width="0" hidden="1" customWidth="1"/>
  </cols>
  <sheetData>
    <row r="1" spans="1:9" ht="17">
      <c r="A1" s="56" t="str">
        <f>HLOOKUP(INDICE!$F$2,Nombres!$C$3:$D$636,11,FALSE)</f>
        <v>Mexico</v>
      </c>
      <c r="B1" s="57"/>
      <c r="C1" s="57"/>
      <c r="D1" s="57"/>
      <c r="E1" s="57"/>
      <c r="F1" s="57"/>
      <c r="G1" s="57"/>
      <c r="H1" s="57"/>
      <c r="I1" s="57"/>
    </row>
    <row r="2" spans="1:9" ht="19.5">
      <c r="A2" s="58"/>
      <c r="B2" s="57"/>
      <c r="C2" s="57"/>
      <c r="D2" s="57"/>
      <c r="E2" s="57"/>
      <c r="F2" s="57"/>
      <c r="G2" s="57"/>
      <c r="H2" s="57"/>
      <c r="I2" s="57"/>
    </row>
    <row r="3" spans="1:9" ht="17">
      <c r="A3" s="59" t="str">
        <f>HLOOKUP(INDICE!$F$2,Nombres!$C$3:$D$636,31,FALSE)</f>
        <v xml:space="preserve">Income statement  </v>
      </c>
      <c r="B3" s="60"/>
      <c r="C3" s="60"/>
      <c r="D3" s="60"/>
      <c r="E3" s="60"/>
      <c r="F3" s="60"/>
      <c r="G3" s="60"/>
      <c r="H3" s="60"/>
      <c r="I3" s="60"/>
    </row>
    <row r="4" spans="1:9">
      <c r="A4" s="9" t="str">
        <f>HLOOKUP(INDICE!$F$2,Nombres!$C$3:$D$636,32,FALSE)</f>
        <v>(Million euros)</v>
      </c>
      <c r="B4" s="57"/>
      <c r="C4" s="61"/>
      <c r="D4" s="61"/>
      <c r="E4" s="61"/>
      <c r="F4" s="57"/>
      <c r="G4" s="57"/>
      <c r="H4" s="57"/>
      <c r="I4" s="57"/>
    </row>
    <row r="5" spans="1:9">
      <c r="A5" s="62"/>
      <c r="B5" s="57"/>
      <c r="C5" s="61"/>
      <c r="D5" s="61"/>
      <c r="E5" s="61"/>
      <c r="F5" s="57"/>
      <c r="G5" s="57"/>
      <c r="H5" s="57"/>
      <c r="I5" s="57"/>
    </row>
    <row r="6" spans="1:9">
      <c r="A6" s="63"/>
      <c r="B6" s="257">
        <f>+España!B6</f>
        <v>2025</v>
      </c>
      <c r="C6" s="257"/>
      <c r="D6" s="257"/>
      <c r="E6" s="258"/>
      <c r="F6" s="257">
        <f>+España!F6</f>
        <v>2026</v>
      </c>
      <c r="G6" s="257"/>
      <c r="H6" s="257"/>
      <c r="I6" s="257"/>
    </row>
    <row r="7" spans="1:9">
      <c r="A7" s="63"/>
      <c r="B7" s="64" t="str">
        <f>+España!B7</f>
        <v>1Q</v>
      </c>
      <c r="C7" s="64" t="str">
        <f>+España!C7</f>
        <v>2Q</v>
      </c>
      <c r="D7" s="64" t="str">
        <f>+España!D7</f>
        <v>3Q</v>
      </c>
      <c r="E7" s="65" t="str">
        <f>+España!E7</f>
        <v>4Q</v>
      </c>
      <c r="F7" s="64" t="str">
        <f>+España!F7</f>
        <v>1Q</v>
      </c>
      <c r="G7" s="64" t="str">
        <f>+España!G7</f>
        <v>2Q</v>
      </c>
      <c r="H7" s="64" t="str">
        <f>+España!H7</f>
        <v>3Q</v>
      </c>
      <c r="I7" s="64" t="str">
        <f>+España!I7</f>
        <v>4Q</v>
      </c>
    </row>
    <row r="8" spans="1:9">
      <c r="A8" s="17" t="str">
        <f>HLOOKUP(INDICE!$F$2,Nombres!$C$3:$D$636,33,FALSE)</f>
        <v>Net interest income</v>
      </c>
      <c r="B8" s="17">
        <v>2766.8090000000007</v>
      </c>
      <c r="C8" s="17">
        <v>2744.5329999999985</v>
      </c>
      <c r="D8" s="17">
        <v>2881.5809999999942</v>
      </c>
      <c r="E8" s="66">
        <v>3030.7170000000037</v>
      </c>
      <c r="F8" s="67">
        <v>3136.0479999999998</v>
      </c>
      <c r="G8" s="67">
        <v>3273.326</v>
      </c>
      <c r="H8" s="67">
        <v>0</v>
      </c>
      <c r="I8" s="67">
        <v>0</v>
      </c>
    </row>
    <row r="9" spans="1:9">
      <c r="A9" s="7" t="str">
        <f>HLOOKUP(INDICE!$F$2,Nombres!$C$3:$D$636,34,FALSE)</f>
        <v>Net fees and commissions</v>
      </c>
      <c r="B9" s="70">
        <v>582.62822570100002</v>
      </c>
      <c r="C9" s="70">
        <v>561.55554345200085</v>
      </c>
      <c r="D9" s="70">
        <v>585.97161934200085</v>
      </c>
      <c r="E9" s="71">
        <v>637.02284419100033</v>
      </c>
      <c r="F9" s="70">
        <v>648.11052225499952</v>
      </c>
      <c r="G9" s="70">
        <v>666.28587798499984</v>
      </c>
      <c r="H9" s="70">
        <v>0</v>
      </c>
      <c r="I9" s="70">
        <v>0</v>
      </c>
    </row>
    <row r="10" spans="1:9">
      <c r="A10" s="7" t="str">
        <f>HLOOKUP(INDICE!$F$2,Nombres!$C$3:$D$636,35,FALSE)</f>
        <v>Net trading income</v>
      </c>
      <c r="B10" s="70">
        <v>220.07824371099991</v>
      </c>
      <c r="C10" s="70">
        <v>179.7951581920002</v>
      </c>
      <c r="D10" s="70">
        <v>170.444105931</v>
      </c>
      <c r="E10" s="71">
        <v>217.89271474700016</v>
      </c>
      <c r="F10" s="70">
        <v>285.58787185399996</v>
      </c>
      <c r="G10" s="70">
        <v>199.28591710000006</v>
      </c>
      <c r="H10" s="70">
        <v>0</v>
      </c>
      <c r="I10" s="70">
        <v>0</v>
      </c>
    </row>
    <row r="11" spans="1:9">
      <c r="A11" s="7" t="str">
        <f>HLOOKUP(INDICE!$F$2,Nombres!$C$3:$D$636,36,FALSE)</f>
        <v>Other operating income and expenses</v>
      </c>
      <c r="B11" s="70">
        <v>135.36699999999999</v>
      </c>
      <c r="C11" s="70">
        <v>157.81899999999999</v>
      </c>
      <c r="D11" s="70">
        <v>137.16399999999999</v>
      </c>
      <c r="E11" s="71">
        <v>189.05099999999999</v>
      </c>
      <c r="F11" s="70">
        <v>204.392</v>
      </c>
      <c r="G11" s="70">
        <v>152.02099999999993</v>
      </c>
      <c r="H11" s="70">
        <v>0</v>
      </c>
      <c r="I11" s="70">
        <v>0</v>
      </c>
    </row>
    <row r="12" spans="1:9">
      <c r="A12" s="17" t="str">
        <f>HLOOKUP(INDICE!$F$2,Nombres!$C$3:$D$636,37,FALSE)</f>
        <v>Gross income</v>
      </c>
      <c r="B12" s="17">
        <f>+SUM(B8:B11)</f>
        <v>3704.8824694120012</v>
      </c>
      <c r="C12" s="17">
        <f t="shared" ref="C12:I12" si="0">+SUM(C8:C11)</f>
        <v>3643.7027016439997</v>
      </c>
      <c r="D12" s="17">
        <f t="shared" si="0"/>
        <v>3775.1607252729955</v>
      </c>
      <c r="E12" s="66">
        <f t="shared" si="0"/>
        <v>4074.6835589380044</v>
      </c>
      <c r="F12" s="67">
        <f t="shared" si="0"/>
        <v>4274.1383941089989</v>
      </c>
      <c r="G12" s="67">
        <f t="shared" si="0"/>
        <v>4290.9187950850001</v>
      </c>
      <c r="H12" s="67">
        <f t="shared" si="0"/>
        <v>0</v>
      </c>
      <c r="I12" s="67">
        <f t="shared" si="0"/>
        <v>0</v>
      </c>
    </row>
    <row r="13" spans="1:9">
      <c r="A13" s="7" t="str">
        <f>HLOOKUP(INDICE!$F$2,Nombres!$C$3:$D$636,38,FALSE)</f>
        <v>Operating expenses</v>
      </c>
      <c r="B13" s="70">
        <v>-1148.2776512429575</v>
      </c>
      <c r="C13" s="70">
        <v>-1106.9891220504649</v>
      </c>
      <c r="D13" s="70">
        <v>-1146.5224125616207</v>
      </c>
      <c r="E13" s="71">
        <v>-1237.6999391446459</v>
      </c>
      <c r="F13" s="70">
        <v>-1318.3617906493919</v>
      </c>
      <c r="G13" s="70">
        <v>-1315.5432574440906</v>
      </c>
      <c r="H13" s="70">
        <v>0</v>
      </c>
      <c r="I13" s="70">
        <v>0</v>
      </c>
    </row>
    <row r="14" spans="1:9">
      <c r="A14" s="7" t="str">
        <f>HLOOKUP(INDICE!$F$2,Nombres!$C$3:$D$636,39,FALSE)</f>
        <v xml:space="preserve">  Administration expenses</v>
      </c>
      <c r="B14" s="70">
        <v>-1040.0180226329576</v>
      </c>
      <c r="C14" s="70">
        <v>-999.73122287446517</v>
      </c>
      <c r="D14" s="70">
        <v>-1035.9525823730405</v>
      </c>
      <c r="E14" s="71">
        <v>-1123.3383769876459</v>
      </c>
      <c r="F14" s="70">
        <v>-1195.3197906493917</v>
      </c>
      <c r="G14" s="70">
        <v>-1190.5862574440905</v>
      </c>
      <c r="H14" s="70">
        <v>0</v>
      </c>
      <c r="I14" s="70">
        <v>0</v>
      </c>
    </row>
    <row r="15" spans="1:9">
      <c r="A15" s="72" t="str">
        <f>HLOOKUP(INDICE!$F$2,Nombres!$C$3:$D$636,40,FALSE)</f>
        <v xml:space="preserve">  Personnel expenses</v>
      </c>
      <c r="B15" s="70">
        <v>-552.81629981647973</v>
      </c>
      <c r="C15" s="70">
        <v>-514.44121890191525</v>
      </c>
      <c r="D15" s="70">
        <v>-524.38439250119609</v>
      </c>
      <c r="E15" s="71">
        <v>-584.77911444632309</v>
      </c>
      <c r="F15" s="70">
        <v>-607.447</v>
      </c>
      <c r="G15" s="70">
        <v>-606.4360000000006</v>
      </c>
      <c r="H15" s="70">
        <v>0</v>
      </c>
      <c r="I15" s="70">
        <v>0</v>
      </c>
    </row>
    <row r="16" spans="1:9">
      <c r="A16" s="72" t="str">
        <f>HLOOKUP(INDICE!$F$2,Nombres!$C$3:$D$636,41,FALSE)</f>
        <v xml:space="preserve">  General and administrative expenses</v>
      </c>
      <c r="B16" s="70">
        <v>-487.20172281647785</v>
      </c>
      <c r="C16" s="70">
        <v>-485.29000397255004</v>
      </c>
      <c r="D16" s="70">
        <v>-511.56818987184448</v>
      </c>
      <c r="E16" s="71">
        <v>-538.55926254132248</v>
      </c>
      <c r="F16" s="70">
        <v>-587.87279064939185</v>
      </c>
      <c r="G16" s="70">
        <v>-584.15025744409013</v>
      </c>
      <c r="H16" s="70">
        <v>0</v>
      </c>
      <c r="I16" s="70">
        <v>0</v>
      </c>
    </row>
    <row r="17" spans="1:9">
      <c r="A17" s="7" t="str">
        <f>HLOOKUP(INDICE!$F$2,Nombres!$C$3:$D$636,42,FALSE)</f>
        <v xml:space="preserve">  Depreciation</v>
      </c>
      <c r="B17" s="70">
        <v>-108.25962860999999</v>
      </c>
      <c r="C17" s="70">
        <v>-107.25789917599998</v>
      </c>
      <c r="D17" s="70">
        <v>-110.56983018857999</v>
      </c>
      <c r="E17" s="71">
        <v>-114.36156215700004</v>
      </c>
      <c r="F17" s="70">
        <v>-123.042</v>
      </c>
      <c r="G17" s="70">
        <v>-124.95699999999994</v>
      </c>
      <c r="H17" s="70">
        <v>0</v>
      </c>
      <c r="I17" s="70">
        <v>0</v>
      </c>
    </row>
    <row r="18" spans="1:9">
      <c r="A18" s="17" t="str">
        <f>HLOOKUP(INDICE!$F$2,Nombres!$C$3:$D$636,43,FALSE)</f>
        <v>Operating income</v>
      </c>
      <c r="B18" s="17">
        <f>+B12+B13</f>
        <v>2556.6048181690439</v>
      </c>
      <c r="C18" s="17">
        <f t="shared" ref="C18:I18" si="1">+C12+C13</f>
        <v>2536.7135795935346</v>
      </c>
      <c r="D18" s="17">
        <f t="shared" si="1"/>
        <v>2628.638312711375</v>
      </c>
      <c r="E18" s="66">
        <f t="shared" si="1"/>
        <v>2836.9836197933582</v>
      </c>
      <c r="F18" s="67">
        <f t="shared" si="1"/>
        <v>2955.776603459607</v>
      </c>
      <c r="G18" s="67">
        <f t="shared" si="1"/>
        <v>2975.3755376409094</v>
      </c>
      <c r="H18" s="67">
        <f t="shared" si="1"/>
        <v>0</v>
      </c>
      <c r="I18" s="67">
        <f t="shared" si="1"/>
        <v>0</v>
      </c>
    </row>
    <row r="19" spans="1:9">
      <c r="A19" s="7" t="str">
        <f>HLOOKUP(INDICE!$F$2,Nombres!$C$3:$D$636,44,FALSE)</f>
        <v>Impaiment on financial assets not measured at fair value through profit or loss</v>
      </c>
      <c r="B19" s="70">
        <v>-695.67700000000013</v>
      </c>
      <c r="C19" s="70">
        <v>-790.37100000000032</v>
      </c>
      <c r="D19" s="70">
        <v>-792.65800000000024</v>
      </c>
      <c r="E19" s="71">
        <v>-851.75099999999941</v>
      </c>
      <c r="F19" s="70">
        <v>-883.48500000000024</v>
      </c>
      <c r="G19" s="70">
        <v>-835.93700000000013</v>
      </c>
      <c r="H19" s="70">
        <v>0</v>
      </c>
      <c r="I19" s="70">
        <v>0</v>
      </c>
    </row>
    <row r="20" spans="1:9">
      <c r="A20" s="7" t="str">
        <f>HLOOKUP(INDICE!$F$2,Nombres!$C$3:$D$636,45,FALSE)</f>
        <v>Provisions or reversal of provisions and other results</v>
      </c>
      <c r="B20" s="70">
        <v>-13.581999999999994</v>
      </c>
      <c r="C20" s="70">
        <v>-21.102</v>
      </c>
      <c r="D20" s="70">
        <v>-34.670000000000016</v>
      </c>
      <c r="E20" s="71">
        <v>-35.736999999999988</v>
      </c>
      <c r="F20" s="70">
        <v>-8.6320000000000032</v>
      </c>
      <c r="G20" s="70">
        <v>-8.5160000000000018</v>
      </c>
      <c r="H20" s="70">
        <v>0</v>
      </c>
      <c r="I20" s="70">
        <v>0</v>
      </c>
    </row>
    <row r="21" spans="1:9">
      <c r="A21" s="17" t="str">
        <f>HLOOKUP(INDICE!$F$2,Nombres!$C$3:$D$636,46,FALSE)</f>
        <v>Profit/(loss) before tax</v>
      </c>
      <c r="B21" s="17">
        <f>+B18+B19+B20</f>
        <v>1847.3458181690439</v>
      </c>
      <c r="C21" s="17">
        <f t="shared" ref="C21:I21" si="2">+C18+C19+C20</f>
        <v>1725.2405795935342</v>
      </c>
      <c r="D21" s="17">
        <f t="shared" si="2"/>
        <v>1801.3103127113745</v>
      </c>
      <c r="E21" s="66">
        <f t="shared" si="2"/>
        <v>1949.4956197933589</v>
      </c>
      <c r="F21" s="67">
        <f t="shared" si="2"/>
        <v>2063.6596034596068</v>
      </c>
      <c r="G21" s="67">
        <f t="shared" si="2"/>
        <v>2130.922537640909</v>
      </c>
      <c r="H21" s="67">
        <f t="shared" si="2"/>
        <v>0</v>
      </c>
      <c r="I21" s="67">
        <f t="shared" si="2"/>
        <v>0</v>
      </c>
    </row>
    <row r="22" spans="1:9">
      <c r="A22" s="7" t="str">
        <f>HLOOKUP(INDICE!$F$2,Nombres!$C$3:$D$636,47,FALSE)</f>
        <v>Income tax</v>
      </c>
      <c r="B22" s="70">
        <v>-518.34278535704652</v>
      </c>
      <c r="C22" s="70">
        <v>-482.30336023407568</v>
      </c>
      <c r="D22" s="70">
        <v>-506.10788085033323</v>
      </c>
      <c r="E22" s="71">
        <v>-563.63257662663125</v>
      </c>
      <c r="F22" s="70">
        <v>-610.69074683092254</v>
      </c>
      <c r="G22" s="70">
        <v>-604.63225281954306</v>
      </c>
      <c r="H22" s="70">
        <v>0</v>
      </c>
      <c r="I22" s="70">
        <v>0</v>
      </c>
    </row>
    <row r="23" spans="1:9">
      <c r="A23" s="17" t="str">
        <f>HLOOKUP(INDICE!$F$2,Nombres!$C$3:$D$636,48,FALSE)</f>
        <v>Profit/(loss) for the year</v>
      </c>
      <c r="B23" s="17">
        <f>+B21+B22</f>
        <v>1329.0030328119974</v>
      </c>
      <c r="C23" s="17">
        <f t="shared" ref="C23:I23" si="3">+C21+C22</f>
        <v>1242.9372193594586</v>
      </c>
      <c r="D23" s="17">
        <f t="shared" si="3"/>
        <v>1295.2024318610413</v>
      </c>
      <c r="E23" s="66">
        <f t="shared" si="3"/>
        <v>1385.8630431667275</v>
      </c>
      <c r="F23" s="67">
        <f t="shared" si="3"/>
        <v>1452.9688566286843</v>
      </c>
      <c r="G23" s="67">
        <f t="shared" si="3"/>
        <v>1526.290284821366</v>
      </c>
      <c r="H23" s="67">
        <f t="shared" si="3"/>
        <v>0</v>
      </c>
      <c r="I23" s="67">
        <f t="shared" si="3"/>
        <v>0</v>
      </c>
    </row>
    <row r="24" spans="1:9">
      <c r="A24" s="7" t="str">
        <f>HLOOKUP(INDICE!$F$2,Nombres!$C$3:$D$636,49,FALSE)</f>
        <v>Non-controlling interests</v>
      </c>
      <c r="B24" s="70">
        <v>-0.24499995717447179</v>
      </c>
      <c r="C24" s="70">
        <v>-0.22899996322838187</v>
      </c>
      <c r="D24" s="70">
        <v>-0.23699996214647043</v>
      </c>
      <c r="E24" s="71">
        <v>-0.25399994900946887</v>
      </c>
      <c r="F24" s="70">
        <v>-0.26599997189607827</v>
      </c>
      <c r="G24" s="70">
        <v>-0.27799997282505262</v>
      </c>
      <c r="H24" s="70">
        <v>0</v>
      </c>
      <c r="I24" s="70">
        <v>0</v>
      </c>
    </row>
    <row r="25" spans="1:9">
      <c r="A25" s="18" t="str">
        <f>HLOOKUP(INDICE!$F$2,Nombres!$C$3:$D$636,50,FALSE)</f>
        <v>Net attributable profit</v>
      </c>
      <c r="B25" s="18">
        <f>+B23+B24</f>
        <v>1328.7580328548229</v>
      </c>
      <c r="C25" s="18">
        <f t="shared" ref="C25:I25" si="4">+C23+C24</f>
        <v>1242.7082193962301</v>
      </c>
      <c r="D25" s="18">
        <f t="shared" si="4"/>
        <v>1294.9654318988948</v>
      </c>
      <c r="E25" s="18">
        <f t="shared" si="4"/>
        <v>1385.609043217718</v>
      </c>
      <c r="F25" s="88">
        <f t="shared" si="4"/>
        <v>1452.7028566567883</v>
      </c>
      <c r="G25" s="88">
        <f t="shared" si="4"/>
        <v>1526.012284848541</v>
      </c>
      <c r="H25" s="88">
        <f t="shared" si="4"/>
        <v>0</v>
      </c>
      <c r="I25" s="88">
        <f t="shared" si="4"/>
        <v>0</v>
      </c>
    </row>
    <row r="26" spans="1:9">
      <c r="A26" s="8"/>
      <c r="B26" s="93">
        <v>2.5011104298755527E-12</v>
      </c>
      <c r="C26" s="93">
        <v>0</v>
      </c>
      <c r="D26" s="93">
        <v>0</v>
      </c>
      <c r="E26" s="93">
        <v>0</v>
      </c>
      <c r="F26" s="93">
        <v>0</v>
      </c>
      <c r="G26" s="93">
        <v>0</v>
      </c>
      <c r="H26" s="93">
        <v>0</v>
      </c>
      <c r="I26" s="93">
        <v>0</v>
      </c>
    </row>
    <row r="27" spans="1:9">
      <c r="A27" s="17"/>
      <c r="B27" s="17"/>
      <c r="C27" s="17"/>
      <c r="D27" s="17"/>
      <c r="E27" s="17"/>
      <c r="F27" s="17"/>
      <c r="G27" s="17"/>
      <c r="H27" s="17"/>
      <c r="I27" s="17"/>
    </row>
    <row r="28" spans="1:9" ht="17">
      <c r="A28" s="59" t="str">
        <f>HLOOKUP(INDICE!$F$2,Nombres!$C$3:$D$636,51,FALSE)</f>
        <v>Balance sheets</v>
      </c>
      <c r="B28" s="60"/>
      <c r="C28" s="60"/>
      <c r="D28" s="60"/>
      <c r="E28" s="60"/>
      <c r="F28" s="60"/>
      <c r="G28" s="60"/>
      <c r="H28" s="60"/>
      <c r="I28" s="60"/>
    </row>
    <row r="29" spans="1:9">
      <c r="A29" s="9" t="str">
        <f>HLOOKUP(INDICE!$F$2,Nombres!$C$3:$D$636,32,FALSE)</f>
        <v>(Million euros)</v>
      </c>
      <c r="B29" s="57"/>
      <c r="C29" s="78"/>
      <c r="D29" s="78"/>
      <c r="E29" s="78"/>
      <c r="F29" s="57"/>
      <c r="G29" s="79"/>
      <c r="H29" s="79"/>
      <c r="I29" s="79"/>
    </row>
    <row r="30" spans="1:9">
      <c r="A30" s="57"/>
      <c r="B30" s="80">
        <f>+España!B32</f>
        <v>45747</v>
      </c>
      <c r="C30" s="80">
        <f>+España!C32</f>
        <v>45838</v>
      </c>
      <c r="D30" s="80">
        <f>+España!D32</f>
        <v>45930</v>
      </c>
      <c r="E30" s="92">
        <f>+España!E32</f>
        <v>46022</v>
      </c>
      <c r="F30" s="94">
        <f>+España!F32</f>
        <v>46112</v>
      </c>
      <c r="G30" s="94">
        <f>+España!G32</f>
        <v>46203</v>
      </c>
      <c r="H30" s="94">
        <f>+España!H32</f>
        <v>46295</v>
      </c>
      <c r="I30" s="94">
        <f>+España!I32</f>
        <v>46387</v>
      </c>
    </row>
    <row r="31" spans="1:9">
      <c r="A31" s="7" t="str">
        <f>HLOOKUP(INDICE!$F$2,Nombres!$C$3:$D$636,52,FALSE)</f>
        <v>Cash, cash balances at central banks and other demand deposits</v>
      </c>
      <c r="B31" s="70">
        <v>13135.222999999998</v>
      </c>
      <c r="C31" s="70">
        <v>10672.175999999999</v>
      </c>
      <c r="D31" s="70">
        <v>12325.750000000002</v>
      </c>
      <c r="E31" s="71">
        <v>10417.313999999998</v>
      </c>
      <c r="F31" s="70">
        <v>9433.8060000000005</v>
      </c>
      <c r="G31" s="70">
        <v>12868.164999999997</v>
      </c>
      <c r="H31" s="70">
        <v>0</v>
      </c>
      <c r="I31" s="70">
        <v>0</v>
      </c>
    </row>
    <row r="32" spans="1:9">
      <c r="A32" s="7" t="str">
        <f>HLOOKUP(INDICE!$F$2,Nombres!$C$3:$D$636,53,FALSE)</f>
        <v xml:space="preserve">Financial assets designated at fair value </v>
      </c>
      <c r="B32" s="79">
        <v>49627.683000000005</v>
      </c>
      <c r="C32" s="79">
        <v>53184.304999999993</v>
      </c>
      <c r="D32" s="79">
        <v>54879.898999999998</v>
      </c>
      <c r="E32" s="89">
        <v>60135.851999999999</v>
      </c>
      <c r="F32" s="70">
        <v>59480.631999999998</v>
      </c>
      <c r="G32" s="70">
        <v>64091.42300000001</v>
      </c>
      <c r="H32" s="70">
        <v>0</v>
      </c>
      <c r="I32" s="70">
        <v>0</v>
      </c>
    </row>
    <row r="33" spans="1:9">
      <c r="A33" s="7" t="str">
        <f>HLOOKUP(INDICE!$F$2,Nombres!$C$3:$D$636,54,FALSE)</f>
        <v>Financial assets at amortized cost</v>
      </c>
      <c r="B33" s="70">
        <v>93721.475999999966</v>
      </c>
      <c r="C33" s="70">
        <v>95386.501999999993</v>
      </c>
      <c r="D33" s="70">
        <v>98611.212999999974</v>
      </c>
      <c r="E33" s="71">
        <v>105493.79699999996</v>
      </c>
      <c r="F33" s="70">
        <v>109712.015</v>
      </c>
      <c r="G33" s="70">
        <v>118539.09499999999</v>
      </c>
      <c r="H33" s="70">
        <v>0</v>
      </c>
      <c r="I33" s="70">
        <v>0</v>
      </c>
    </row>
    <row r="34" spans="1:9">
      <c r="A34" s="7" t="str">
        <f>HLOOKUP(INDICE!$F$2,Nombres!$C$3:$D$636,55,FALSE)</f>
        <v xml:space="preserve">    of which loans and advances to customers</v>
      </c>
      <c r="B34" s="70">
        <v>88521.657999999967</v>
      </c>
      <c r="C34" s="70">
        <v>88758.415999999997</v>
      </c>
      <c r="D34" s="70">
        <v>92147.225999999966</v>
      </c>
      <c r="E34" s="71">
        <v>97259.438999999969</v>
      </c>
      <c r="F34" s="70">
        <v>101835.447</v>
      </c>
      <c r="G34" s="70">
        <v>108467.85899999998</v>
      </c>
      <c r="H34" s="70">
        <v>0</v>
      </c>
      <c r="I34" s="70">
        <v>0</v>
      </c>
    </row>
    <row r="35" spans="1:9" ht="1.9" customHeight="1">
      <c r="A35" s="7"/>
      <c r="B35" s="70"/>
      <c r="C35" s="70"/>
      <c r="D35" s="70"/>
      <c r="E35" s="71"/>
      <c r="F35" s="70"/>
      <c r="G35" s="70"/>
      <c r="H35" s="70"/>
      <c r="I35" s="70"/>
    </row>
    <row r="36" spans="1:9">
      <c r="A36" s="7" t="str">
        <f>HLOOKUP(INDICE!$F$2,Nombres!$C$3:$D$636,56,FALSE)</f>
        <v>Tangible assets</v>
      </c>
      <c r="B36" s="70">
        <v>1962.4190000000003</v>
      </c>
      <c r="C36" s="70">
        <v>1963.4849999999997</v>
      </c>
      <c r="D36" s="70">
        <v>2005.7540000000001</v>
      </c>
      <c r="E36" s="71">
        <v>2081.4810000000002</v>
      </c>
      <c r="F36" s="70">
        <v>2097.21</v>
      </c>
      <c r="G36" s="70">
        <v>2174.0830000000005</v>
      </c>
      <c r="H36" s="70">
        <v>0</v>
      </c>
      <c r="I36" s="70">
        <v>0</v>
      </c>
    </row>
    <row r="37" spans="1:9">
      <c r="A37" s="7" t="str">
        <f>HLOOKUP(INDICE!$F$2,Nombres!$C$3:$D$636,57,FALSE)</f>
        <v>Other assets</v>
      </c>
      <c r="B37" s="79">
        <f>+B38-B36-B33-B32-B31</f>
        <v>4460.9460000000108</v>
      </c>
      <c r="C37" s="79">
        <f t="shared" ref="C37:I37" si="5">+C38-C36-C33-C32-C31</f>
        <v>4440.4840000045588</v>
      </c>
      <c r="D37" s="79">
        <f t="shared" si="5"/>
        <v>4720.8879999999681</v>
      </c>
      <c r="E37" s="89">
        <f t="shared" si="5"/>
        <v>4525.4090000000433</v>
      </c>
      <c r="F37" s="70">
        <f t="shared" si="5"/>
        <v>5023.9140000000007</v>
      </c>
      <c r="G37" s="70">
        <f t="shared" si="5"/>
        <v>5265.6430000000655</v>
      </c>
      <c r="H37" s="70">
        <f t="shared" si="5"/>
        <v>0</v>
      </c>
      <c r="I37" s="70">
        <f t="shared" si="5"/>
        <v>0</v>
      </c>
    </row>
    <row r="38" spans="1:9">
      <c r="A38" s="18" t="str">
        <f>HLOOKUP(INDICE!$F$2,Nombres!$C$3:$D$636,58,FALSE)</f>
        <v>Total assets / Liabilities and equity</v>
      </c>
      <c r="B38" s="18">
        <v>162907.74699999997</v>
      </c>
      <c r="C38" s="18">
        <v>165646.95200000453</v>
      </c>
      <c r="D38" s="18">
        <v>172543.50399999993</v>
      </c>
      <c r="E38" s="87">
        <v>182653.853</v>
      </c>
      <c r="F38" s="18">
        <v>185747.57699999999</v>
      </c>
      <c r="G38" s="88">
        <v>202938.40900000007</v>
      </c>
      <c r="H38" s="88">
        <v>0</v>
      </c>
      <c r="I38" s="88">
        <v>0</v>
      </c>
    </row>
    <row r="39" spans="1:9">
      <c r="A39" s="7" t="str">
        <f>HLOOKUP(INDICE!$F$2,Nombres!$C$3:$D$636,59,FALSE)</f>
        <v>Financial liabilities held for trading and designated at fair value through profit or loss</v>
      </c>
      <c r="B39" s="79">
        <v>25061.718000000001</v>
      </c>
      <c r="C39" s="79">
        <v>28406.710000000003</v>
      </c>
      <c r="D39" s="79">
        <v>30546.241999999995</v>
      </c>
      <c r="E39" s="89">
        <v>32584.429000000004</v>
      </c>
      <c r="F39" s="70">
        <v>30965.567999999999</v>
      </c>
      <c r="G39" s="70">
        <v>37262.126000000004</v>
      </c>
      <c r="H39" s="70">
        <v>0</v>
      </c>
      <c r="I39" s="70">
        <v>0</v>
      </c>
    </row>
    <row r="40" spans="1:9">
      <c r="A40" s="7" t="str">
        <f>HLOOKUP(INDICE!$F$2,Nombres!$C$3:$D$636,60,FALSE)</f>
        <v>Deposits from central banks and credit institutions</v>
      </c>
      <c r="B40" s="79">
        <v>8001.6170000000002</v>
      </c>
      <c r="C40" s="79">
        <v>7770.2840000000006</v>
      </c>
      <c r="D40" s="79">
        <v>6813.04</v>
      </c>
      <c r="E40" s="89">
        <v>6028.0260000000017</v>
      </c>
      <c r="F40" s="70">
        <v>6057.509</v>
      </c>
      <c r="G40" s="70">
        <v>5850.5820000000003</v>
      </c>
      <c r="H40" s="70">
        <v>0</v>
      </c>
      <c r="I40" s="70">
        <v>0</v>
      </c>
    </row>
    <row r="41" spans="1:9" ht="15.75" customHeight="1">
      <c r="A41" s="7" t="str">
        <f>HLOOKUP(INDICE!$F$2,Nombres!$C$3:$D$636,61,FALSE)</f>
        <v>Deposits from customers</v>
      </c>
      <c r="B41" s="79">
        <v>86730.772999999957</v>
      </c>
      <c r="C41" s="79">
        <v>85536.717000000004</v>
      </c>
      <c r="D41" s="79">
        <v>87553.633999999991</v>
      </c>
      <c r="E41" s="89">
        <v>93854.752999999997</v>
      </c>
      <c r="F41" s="70">
        <v>99307.823000000033</v>
      </c>
      <c r="G41" s="70">
        <v>105290.24000000002</v>
      </c>
      <c r="H41" s="70">
        <v>0</v>
      </c>
      <c r="I41" s="70">
        <v>0</v>
      </c>
    </row>
    <row r="42" spans="1:9">
      <c r="A42" s="7" t="str">
        <f>HLOOKUP(INDICE!$F$2,Nombres!$C$3:$D$636,62,FALSE)</f>
        <v>Debt certificates</v>
      </c>
      <c r="B42" s="70">
        <v>11098.449357424352</v>
      </c>
      <c r="C42" s="70">
        <v>11076.634846682367</v>
      </c>
      <c r="D42" s="70">
        <v>11858.715531184464</v>
      </c>
      <c r="E42" s="71">
        <v>11664.279281765977</v>
      </c>
      <c r="F42" s="70">
        <v>12505.55430510063</v>
      </c>
      <c r="G42" s="70">
        <v>13450.21112569157</v>
      </c>
      <c r="H42" s="70">
        <v>0</v>
      </c>
      <c r="I42" s="70">
        <v>0</v>
      </c>
    </row>
    <row r="43" spans="1:9" hidden="1">
      <c r="A43" s="7"/>
      <c r="B43" s="70"/>
      <c r="C43" s="70"/>
      <c r="D43" s="70"/>
      <c r="E43" s="71"/>
      <c r="F43" s="70"/>
      <c r="G43" s="70"/>
      <c r="H43" s="70"/>
      <c r="I43" s="70"/>
    </row>
    <row r="44" spans="1:9">
      <c r="A44" s="7" t="str">
        <f>HLOOKUP(INDICE!$F$2,Nombres!$C$3:$D$636,63,FALSE)</f>
        <v>Other liabilities</v>
      </c>
      <c r="B44" s="79">
        <f>+B38-B39-B40-B41-B42-B45</f>
        <v>19900.26638771427</v>
      </c>
      <c r="C44" s="79">
        <f t="shared" ref="C44:I44" si="6">+C38-C39-C40-C41-C42-C45</f>
        <v>21019.273154158578</v>
      </c>
      <c r="D44" s="79">
        <f t="shared" si="6"/>
        <v>23627.505808741662</v>
      </c>
      <c r="E44" s="89">
        <f t="shared" si="6"/>
        <v>27507.197592422686</v>
      </c>
      <c r="F44" s="70">
        <f t="shared" si="6"/>
        <v>25326.906303678217</v>
      </c>
      <c r="G44" s="70">
        <f t="shared" si="6"/>
        <v>29312.329209895099</v>
      </c>
      <c r="H44" s="70">
        <f t="shared" si="6"/>
        <v>0</v>
      </c>
      <c r="I44" s="70">
        <f t="shared" si="6"/>
        <v>0</v>
      </c>
    </row>
    <row r="45" spans="1:9">
      <c r="A45" s="7" t="str">
        <f>HLOOKUP(INDICE!$F$2,Nombres!$C$3:$D$636,282,FALSE)</f>
        <v>Allocated regulatory capital</v>
      </c>
      <c r="B45" s="70">
        <v>12114.923254861402</v>
      </c>
      <c r="C45" s="70">
        <v>11837.332999163587</v>
      </c>
      <c r="D45" s="70">
        <v>12144.366660073807</v>
      </c>
      <c r="E45" s="89">
        <v>11015.168125811326</v>
      </c>
      <c r="F45" s="70">
        <v>11584.216391221118</v>
      </c>
      <c r="G45" s="70">
        <v>11772.920664413374</v>
      </c>
      <c r="H45" s="70">
        <v>0</v>
      </c>
      <c r="I45" s="70">
        <v>0</v>
      </c>
    </row>
    <row r="46" spans="1:9">
      <c r="A46" s="8"/>
      <c r="B46" s="79"/>
      <c r="C46" s="79"/>
      <c r="D46" s="79"/>
      <c r="E46" s="79"/>
      <c r="F46" s="79"/>
      <c r="G46" s="79"/>
      <c r="H46" s="79"/>
      <c r="I46" s="79"/>
    </row>
    <row r="47" spans="1:9">
      <c r="A47" s="7"/>
      <c r="B47" s="79"/>
      <c r="C47" s="79"/>
      <c r="D47" s="79"/>
      <c r="E47" s="79"/>
      <c r="F47" s="79"/>
      <c r="G47" s="79"/>
      <c r="H47" s="79"/>
      <c r="I47" s="79"/>
    </row>
    <row r="48" spans="1:9" ht="17">
      <c r="A48" s="90" t="str">
        <f>HLOOKUP(INDICE!$F$2,Nombres!$C$3:$D$636,65,FALSE)</f>
        <v>Relevant business indicators</v>
      </c>
      <c r="B48" s="91"/>
      <c r="C48" s="91"/>
      <c r="D48" s="91"/>
      <c r="E48" s="91"/>
      <c r="F48" s="91"/>
      <c r="G48" s="91"/>
      <c r="H48" s="91"/>
      <c r="I48" s="91"/>
    </row>
    <row r="49" spans="1:12">
      <c r="A49" s="9" t="str">
        <f>HLOOKUP(INDICE!$F$2,Nombres!$C$3:$D$636,32,FALSE)</f>
        <v>(Million euros)</v>
      </c>
      <c r="B49" s="57"/>
      <c r="C49" s="57"/>
      <c r="D49" s="57"/>
      <c r="E49" s="57"/>
      <c r="F49" s="57"/>
      <c r="G49" s="79"/>
      <c r="H49" s="79"/>
      <c r="I49" s="79"/>
    </row>
    <row r="50" spans="1:12">
      <c r="A50" s="57"/>
      <c r="B50" s="80">
        <f t="shared" ref="B50:I50" si="7">+B$30</f>
        <v>45747</v>
      </c>
      <c r="C50" s="80">
        <f t="shared" si="7"/>
        <v>45838</v>
      </c>
      <c r="D50" s="80">
        <f t="shared" si="7"/>
        <v>45930</v>
      </c>
      <c r="E50" s="92">
        <f t="shared" si="7"/>
        <v>46022</v>
      </c>
      <c r="F50" s="94">
        <f t="shared" si="7"/>
        <v>46112</v>
      </c>
      <c r="G50" s="94">
        <f t="shared" si="7"/>
        <v>46203</v>
      </c>
      <c r="H50" s="94">
        <f t="shared" si="7"/>
        <v>46295</v>
      </c>
      <c r="I50" s="94">
        <f t="shared" si="7"/>
        <v>46387</v>
      </c>
    </row>
    <row r="51" spans="1:12">
      <c r="A51" s="7" t="str">
        <f>HLOOKUP(INDICE!$F$2,Nombres!$C$3:$D$636,66,FALSE)</f>
        <v>Loans and advances to customers (gross) (*)</v>
      </c>
      <c r="B51" s="70">
        <v>90968.973999999987</v>
      </c>
      <c r="C51" s="70">
        <v>91654.629000000001</v>
      </c>
      <c r="D51" s="70">
        <v>95195.685999999972</v>
      </c>
      <c r="E51" s="71">
        <v>100560.93599999997</v>
      </c>
      <c r="F51" s="70">
        <v>105062.458</v>
      </c>
      <c r="G51" s="70">
        <v>111886.692</v>
      </c>
      <c r="H51" s="70">
        <v>0</v>
      </c>
      <c r="I51" s="70">
        <v>0</v>
      </c>
      <c r="L51" s="68"/>
    </row>
    <row r="52" spans="1:12">
      <c r="A52" s="7" t="str">
        <f>HLOOKUP(INDICE!$F$2,Nombres!$C$3:$D$636,67,FALSE)</f>
        <v>Customer deposits under management (*)</v>
      </c>
      <c r="B52" s="70">
        <v>85776.790999999997</v>
      </c>
      <c r="C52" s="70">
        <v>85534.271000000022</v>
      </c>
      <c r="D52" s="70">
        <v>87551.797999999981</v>
      </c>
      <c r="E52" s="71">
        <v>93816.764000000025</v>
      </c>
      <c r="F52" s="70">
        <v>98390.623999999982</v>
      </c>
      <c r="G52" s="70">
        <v>101433.474</v>
      </c>
      <c r="H52" s="70">
        <v>0</v>
      </c>
      <c r="I52" s="70">
        <v>0</v>
      </c>
      <c r="L52" s="68"/>
    </row>
    <row r="53" spans="1:12">
      <c r="A53" s="7" t="str">
        <f>HLOOKUP(INDICE!$F$2,Nombres!$C$3:$D$636,68,FALSE)</f>
        <v>Investment funds and managed portfolios</v>
      </c>
      <c r="B53" s="70">
        <v>53844.043959866569</v>
      </c>
      <c r="C53" s="70">
        <v>56300.495369076074</v>
      </c>
      <c r="D53" s="70">
        <v>61051.691282672778</v>
      </c>
      <c r="E53" s="71">
        <v>62656.833036683587</v>
      </c>
      <c r="F53" s="70">
        <v>64610.940157999998</v>
      </c>
      <c r="G53" s="70">
        <v>70454.8400354646</v>
      </c>
      <c r="H53" s="70">
        <v>0</v>
      </c>
      <c r="I53" s="70">
        <v>0</v>
      </c>
    </row>
    <row r="54" spans="1:12">
      <c r="A54" s="7" t="str">
        <f>HLOOKUP(INDICE!$F$2,Nombres!$C$3:$D$636,69,FALSE)</f>
        <v>Pension funds</v>
      </c>
      <c r="B54" s="70">
        <v>0</v>
      </c>
      <c r="C54" s="70">
        <v>0</v>
      </c>
      <c r="D54" s="70">
        <v>0</v>
      </c>
      <c r="E54" s="71">
        <v>0</v>
      </c>
      <c r="F54" s="70">
        <v>0</v>
      </c>
      <c r="G54" s="70">
        <v>0</v>
      </c>
      <c r="H54" s="70">
        <v>0</v>
      </c>
      <c r="I54" s="70">
        <v>0</v>
      </c>
    </row>
    <row r="55" spans="1:12">
      <c r="A55" s="7" t="str">
        <f>HLOOKUP(INDICE!$F$2,Nombres!$C$3:$D$636,70,FALSE)</f>
        <v>Other off balance-sheet funds</v>
      </c>
      <c r="B55" s="70">
        <v>4811.1747404828411</v>
      </c>
      <c r="C55" s="70">
        <v>5435.6119709538971</v>
      </c>
      <c r="D55" s="70">
        <v>6541.0300632261542</v>
      </c>
      <c r="E55" s="71">
        <v>6876.1352405793496</v>
      </c>
      <c r="F55" s="70">
        <v>7558.2736959309022</v>
      </c>
      <c r="G55" s="70">
        <v>8501.727085780125</v>
      </c>
      <c r="H55" s="70">
        <v>0</v>
      </c>
      <c r="I55" s="70">
        <v>0</v>
      </c>
    </row>
    <row r="56" spans="1:12">
      <c r="A56" s="8" t="str">
        <f>HLOOKUP(INDICE!$F$2,Nombres!$C$3:$D$636,71,FALSE)</f>
        <v xml:space="preserve">(*) Excluding repos. </v>
      </c>
      <c r="B56" s="79"/>
      <c r="C56" s="79"/>
      <c r="D56" s="79"/>
      <c r="E56" s="79"/>
      <c r="F56" s="79"/>
      <c r="G56" s="79"/>
      <c r="H56" s="79"/>
      <c r="I56" s="79"/>
    </row>
    <row r="57" spans="1:12">
      <c r="A57" s="8">
        <f>HLOOKUP(INDICE!$F$2,Nombres!$C$3:$D$636,72,FALSE)</f>
        <v>0</v>
      </c>
      <c r="B57" s="57"/>
      <c r="C57" s="57"/>
      <c r="D57" s="57"/>
      <c r="E57" s="57"/>
      <c r="F57" s="57"/>
      <c r="G57" s="57"/>
      <c r="H57" s="57"/>
      <c r="I57" s="57"/>
    </row>
    <row r="58" spans="1:12">
      <c r="A58" s="8"/>
      <c r="B58" s="57"/>
      <c r="C58" s="57"/>
      <c r="D58" s="57"/>
      <c r="E58" s="57"/>
      <c r="F58" s="57"/>
      <c r="G58" s="57"/>
      <c r="H58" s="57"/>
      <c r="I58" s="57"/>
    </row>
    <row r="59" spans="1:12" ht="17">
      <c r="A59" s="59" t="str">
        <f>HLOOKUP(INDICE!$F$2,Nombres!$C$3:$D$636,31,FALSE)</f>
        <v xml:space="preserve">Income statement  </v>
      </c>
      <c r="B59" s="60"/>
      <c r="C59" s="60"/>
      <c r="D59" s="60"/>
      <c r="E59" s="60"/>
      <c r="F59" s="60"/>
      <c r="G59" s="60"/>
      <c r="H59" s="60"/>
      <c r="I59" s="60"/>
    </row>
    <row r="60" spans="1:12">
      <c r="A60" s="9" t="str">
        <f>HLOOKUP(INDICE!$F$2,Nombres!$C$3:$D$636,73,FALSE)</f>
        <v xml:space="preserve">(Constant million euros)    </v>
      </c>
      <c r="B60" s="57"/>
      <c r="C60" s="61"/>
      <c r="D60" s="61"/>
      <c r="E60" s="61"/>
      <c r="F60" s="57"/>
      <c r="G60" s="57"/>
      <c r="H60" s="57"/>
      <c r="I60" s="57"/>
    </row>
    <row r="61" spans="1:12">
      <c r="A61" s="62"/>
      <c r="B61" s="57"/>
      <c r="C61" s="61"/>
      <c r="D61" s="61"/>
      <c r="E61" s="61"/>
      <c r="F61" s="57"/>
      <c r="G61" s="57"/>
      <c r="H61" s="57"/>
      <c r="I61" s="57"/>
    </row>
    <row r="62" spans="1:12">
      <c r="A62" s="63"/>
      <c r="B62" s="257">
        <f>+B$6</f>
        <v>2025</v>
      </c>
      <c r="C62" s="257"/>
      <c r="D62" s="257"/>
      <c r="E62" s="258"/>
      <c r="F62" s="257">
        <f>+F$6</f>
        <v>2026</v>
      </c>
      <c r="G62" s="257"/>
      <c r="H62" s="257"/>
      <c r="I62" s="257"/>
    </row>
    <row r="63" spans="1:12">
      <c r="A63" s="63"/>
      <c r="B63" s="64" t="str">
        <f>+B$7</f>
        <v>1Q</v>
      </c>
      <c r="C63" s="64" t="str">
        <f t="shared" ref="C63:I63" si="8">+C$7</f>
        <v>2Q</v>
      </c>
      <c r="D63" s="64" t="str">
        <f t="shared" si="8"/>
        <v>3Q</v>
      </c>
      <c r="E63" s="65" t="str">
        <f t="shared" si="8"/>
        <v>4Q</v>
      </c>
      <c r="F63" s="64" t="str">
        <f t="shared" si="8"/>
        <v>1Q</v>
      </c>
      <c r="G63" s="64" t="str">
        <f t="shared" si="8"/>
        <v>2Q</v>
      </c>
      <c r="H63" s="64" t="str">
        <f t="shared" si="8"/>
        <v>3Q</v>
      </c>
      <c r="I63" s="64" t="str">
        <f t="shared" si="8"/>
        <v>4Q</v>
      </c>
    </row>
    <row r="64" spans="1:12">
      <c r="A64" s="17" t="str">
        <f>HLOOKUP(INDICE!$F$2,Nombres!$C$3:$D$636,33,FALSE)</f>
        <v>Net interest income</v>
      </c>
      <c r="B64" s="17">
        <v>2918.8731790352363</v>
      </c>
      <c r="C64" s="17">
        <v>2980.5364366309664</v>
      </c>
      <c r="D64" s="17">
        <v>3078.6379940939187</v>
      </c>
      <c r="E64" s="66">
        <v>3171.8248820060903</v>
      </c>
      <c r="F64" s="67">
        <v>3162.1337266189307</v>
      </c>
      <c r="G64" s="67">
        <v>3247.2402733810081</v>
      </c>
      <c r="H64" s="67">
        <v>0</v>
      </c>
      <c r="I64" s="67">
        <v>0</v>
      </c>
    </row>
    <row r="65" spans="1:9">
      <c r="A65" s="7" t="str">
        <f>HLOOKUP(INDICE!$F$2,Nombres!$C$3:$D$636,34,FALSE)</f>
        <v>Net fees and commissions</v>
      </c>
      <c r="B65" s="70">
        <v>614.649548033462</v>
      </c>
      <c r="C65" s="70">
        <v>610.09911206414665</v>
      </c>
      <c r="D65" s="70">
        <v>626.02698150242634</v>
      </c>
      <c r="E65" s="71">
        <v>666.89067950307242</v>
      </c>
      <c r="F65" s="70">
        <v>653.50152197748173</v>
      </c>
      <c r="G65" s="70">
        <v>660.89487826317975</v>
      </c>
      <c r="H65" s="70">
        <v>0</v>
      </c>
      <c r="I65" s="70">
        <v>0</v>
      </c>
    </row>
    <row r="66" spans="1:9">
      <c r="A66" s="7" t="str">
        <f>HLOOKUP(INDICE!$F$2,Nombres!$C$3:$D$636,35,FALSE)</f>
        <v>Net trading income</v>
      </c>
      <c r="B66" s="70">
        <v>232.17377233383948</v>
      </c>
      <c r="C66" s="70">
        <v>195.85573340826681</v>
      </c>
      <c r="D66" s="70">
        <v>182.04850140908468</v>
      </c>
      <c r="E66" s="71">
        <v>228.24092631185707</v>
      </c>
      <c r="F66" s="70">
        <v>287.96339899863051</v>
      </c>
      <c r="G66" s="70">
        <v>196.91038995536499</v>
      </c>
      <c r="H66" s="70">
        <v>0</v>
      </c>
      <c r="I66" s="70">
        <v>0</v>
      </c>
    </row>
    <row r="67" spans="1:9">
      <c r="A67" s="7" t="str">
        <f>HLOOKUP(INDICE!$F$2,Nombres!$C$3:$D$636,36,FALSE)</f>
        <v>Other operating income and expenses</v>
      </c>
      <c r="B67" s="70">
        <v>142.51058504886836</v>
      </c>
      <c r="C67" s="70">
        <v>170.83557631879222</v>
      </c>
      <c r="D67" s="70">
        <v>146.42107930847473</v>
      </c>
      <c r="E67" s="71">
        <v>198.35083224624645</v>
      </c>
      <c r="F67" s="70">
        <v>206.08311834171164</v>
      </c>
      <c r="G67" s="70">
        <v>150.32988165812469</v>
      </c>
      <c r="H67" s="70">
        <v>0</v>
      </c>
      <c r="I67" s="70">
        <v>0</v>
      </c>
    </row>
    <row r="68" spans="1:9">
      <c r="A68" s="17" t="str">
        <f>HLOOKUP(INDICE!$F$2,Nombres!$C$3:$D$636,37,FALSE)</f>
        <v>Gross income</v>
      </c>
      <c r="B68" s="17">
        <f>+SUM(B64:B67)</f>
        <v>3908.2070844514064</v>
      </c>
      <c r="C68" s="17">
        <f t="shared" ref="C68:I68" si="9">+SUM(C64:C67)</f>
        <v>3957.3268584221719</v>
      </c>
      <c r="D68" s="17">
        <f t="shared" si="9"/>
        <v>4033.1345563139043</v>
      </c>
      <c r="E68" s="66">
        <f t="shared" si="9"/>
        <v>4265.3073200672661</v>
      </c>
      <c r="F68" s="67">
        <f t="shared" si="9"/>
        <v>4309.6817659367543</v>
      </c>
      <c r="G68" s="67">
        <f t="shared" si="9"/>
        <v>4255.3754232576775</v>
      </c>
      <c r="H68" s="67">
        <f t="shared" si="9"/>
        <v>0</v>
      </c>
      <c r="I68" s="67">
        <f t="shared" si="9"/>
        <v>0</v>
      </c>
    </row>
    <row r="69" spans="1:9">
      <c r="A69" s="7" t="str">
        <f>HLOOKUP(INDICE!$F$2,Nombres!$C$3:$D$636,38,FALSE)</f>
        <v>Operating expenses</v>
      </c>
      <c r="B69" s="70">
        <v>-1211.1026498594551</v>
      </c>
      <c r="C69" s="70">
        <v>-1202.4992367671064</v>
      </c>
      <c r="D69" s="70">
        <v>-1224.7661462806539</v>
      </c>
      <c r="E69" s="71">
        <v>-1295.413445670604</v>
      </c>
      <c r="F69" s="70">
        <v>-1329.3192255283068</v>
      </c>
      <c r="G69" s="70">
        <v>-1304.5858225656607</v>
      </c>
      <c r="H69" s="70">
        <v>0</v>
      </c>
      <c r="I69" s="70">
        <v>0</v>
      </c>
    </row>
    <row r="70" spans="1:9">
      <c r="A70" s="7" t="str">
        <f>HLOOKUP(INDICE!$F$2,Nombres!$C$3:$D$636,39,FALSE)</f>
        <v xml:space="preserve">  Administration expenses</v>
      </c>
      <c r="B70" s="70">
        <v>-1096.8930581160264</v>
      </c>
      <c r="C70" s="70">
        <v>-1086.0161631369585</v>
      </c>
      <c r="D70" s="70">
        <v>-1106.6378079542474</v>
      </c>
      <c r="E70" s="71">
        <v>-1175.7849692806308</v>
      </c>
      <c r="F70" s="70">
        <v>-1205.2537590588379</v>
      </c>
      <c r="G70" s="70">
        <v>-1180.6522890351323</v>
      </c>
      <c r="H70" s="70">
        <v>0</v>
      </c>
      <c r="I70" s="70">
        <v>0</v>
      </c>
    </row>
    <row r="71" spans="1:9">
      <c r="A71" s="72" t="str">
        <f>HLOOKUP(INDICE!$F$2,Nombres!$C$3:$D$636,40,FALSE)</f>
        <v xml:space="preserve">  Personnel expenses</v>
      </c>
      <c r="B71" s="70">
        <v>-582.94162051684259</v>
      </c>
      <c r="C71" s="70">
        <v>-559.04613738328442</v>
      </c>
      <c r="D71" s="70">
        <v>-560.09074169455619</v>
      </c>
      <c r="E71" s="71">
        <v>-612.11281357311725</v>
      </c>
      <c r="F71" s="70">
        <v>-612.49203801872306</v>
      </c>
      <c r="G71" s="70">
        <v>-601.39096198127254</v>
      </c>
      <c r="H71" s="70">
        <v>0</v>
      </c>
      <c r="I71" s="70">
        <v>0</v>
      </c>
    </row>
    <row r="72" spans="1:9">
      <c r="A72" s="72" t="str">
        <f>HLOOKUP(INDICE!$F$2,Nombres!$C$3:$D$636,41,FALSE)</f>
        <v xml:space="preserve">  General and administrative expenses</v>
      </c>
      <c r="B72" s="70">
        <v>-513.95143759918403</v>
      </c>
      <c r="C72" s="70">
        <v>-526.97002575367435</v>
      </c>
      <c r="D72" s="70">
        <v>-546.54706625969129</v>
      </c>
      <c r="E72" s="71">
        <v>-563.67215570751398</v>
      </c>
      <c r="F72" s="70">
        <v>-592.76172104011437</v>
      </c>
      <c r="G72" s="70">
        <v>-579.26132705385999</v>
      </c>
      <c r="H72" s="70">
        <v>0</v>
      </c>
      <c r="I72" s="70">
        <v>0</v>
      </c>
    </row>
    <row r="73" spans="1:9">
      <c r="A73" s="7" t="str">
        <f>HLOOKUP(INDICE!$F$2,Nombres!$C$3:$D$636,42,FALSE)</f>
        <v xml:space="preserve">  Depreciation</v>
      </c>
      <c r="B73" s="70">
        <v>-114.20959174342885</v>
      </c>
      <c r="C73" s="70">
        <v>-116.48307363014727</v>
      </c>
      <c r="D73" s="70">
        <v>-118.12833832640649</v>
      </c>
      <c r="E73" s="71">
        <v>-119.62847638997253</v>
      </c>
      <c r="F73" s="70">
        <v>-124.06546646946926</v>
      </c>
      <c r="G73" s="70">
        <v>-123.93353353052821</v>
      </c>
      <c r="H73" s="70">
        <v>0</v>
      </c>
      <c r="I73" s="70">
        <v>0</v>
      </c>
    </row>
    <row r="74" spans="1:9">
      <c r="A74" s="17" t="str">
        <f>HLOOKUP(INDICE!$F$2,Nombres!$C$3:$D$636,43,FALSE)</f>
        <v>Operating income</v>
      </c>
      <c r="B74" s="17">
        <f>+B68+B69</f>
        <v>2697.1044345919513</v>
      </c>
      <c r="C74" s="17">
        <f t="shared" ref="C74:I74" si="10">+C68+C69</f>
        <v>2754.8276216550657</v>
      </c>
      <c r="D74" s="17">
        <f t="shared" si="10"/>
        <v>2808.3684100332503</v>
      </c>
      <c r="E74" s="66">
        <f t="shared" si="10"/>
        <v>2969.8938743966619</v>
      </c>
      <c r="F74" s="67">
        <f t="shared" si="10"/>
        <v>2980.3625404084478</v>
      </c>
      <c r="G74" s="67">
        <f t="shared" si="10"/>
        <v>2950.7896006920168</v>
      </c>
      <c r="H74" s="67">
        <f t="shared" si="10"/>
        <v>0</v>
      </c>
      <c r="I74" s="67">
        <f t="shared" si="10"/>
        <v>0</v>
      </c>
    </row>
    <row r="75" spans="1:9">
      <c r="A75" s="7" t="str">
        <f>HLOOKUP(INDICE!$F$2,Nombres!$C$3:$D$636,44,FALSE)</f>
        <v>Impaiment on financial assets not measured at fair value through profit or loss</v>
      </c>
      <c r="B75" s="70">
        <v>-733.91149753080106</v>
      </c>
      <c r="C75" s="70">
        <v>-856.77292389351339</v>
      </c>
      <c r="D75" s="70">
        <v>-846.8848207391186</v>
      </c>
      <c r="E75" s="71">
        <v>-891.89959534868774</v>
      </c>
      <c r="F75" s="70">
        <v>-890.8338505858087</v>
      </c>
      <c r="G75" s="70">
        <v>-828.5881494141737</v>
      </c>
      <c r="H75" s="70">
        <v>0</v>
      </c>
      <c r="I75" s="70">
        <v>0</v>
      </c>
    </row>
    <row r="76" spans="1:9">
      <c r="A76" s="7" t="str">
        <f>HLOOKUP(INDICE!$F$2,Nombres!$C$3:$D$636,45,FALSE)</f>
        <v>Provisions or reversal of provisions and other results</v>
      </c>
      <c r="B76" s="70">
        <v>-14.328468469510321</v>
      </c>
      <c r="C76" s="70">
        <v>-22.797720235484945</v>
      </c>
      <c r="D76" s="70">
        <v>-37.062924423685082</v>
      </c>
      <c r="E76" s="71">
        <v>-37.582813335406755</v>
      </c>
      <c r="F76" s="70">
        <v>-8.7038011944249938</v>
      </c>
      <c r="G76" s="70">
        <v>-8.4441988055749633</v>
      </c>
      <c r="H76" s="70">
        <v>0</v>
      </c>
      <c r="I76" s="70">
        <v>0</v>
      </c>
    </row>
    <row r="77" spans="1:9">
      <c r="A77" s="17" t="str">
        <f>HLOOKUP(INDICE!$F$2,Nombres!$C$3:$D$636,46,FALSE)</f>
        <v>Profit/(loss) before tax</v>
      </c>
      <c r="B77" s="17">
        <f>+B74+B75+B76</f>
        <v>1948.8644685916397</v>
      </c>
      <c r="C77" s="17">
        <f t="shared" ref="C77:I77" si="11">+C74+C75+C76</f>
        <v>1875.2569775260672</v>
      </c>
      <c r="D77" s="17">
        <f t="shared" si="11"/>
        <v>1924.4206648704467</v>
      </c>
      <c r="E77" s="66">
        <f t="shared" si="11"/>
        <v>2040.4114657125672</v>
      </c>
      <c r="F77" s="67">
        <f t="shared" si="11"/>
        <v>2080.824888628214</v>
      </c>
      <c r="G77" s="67">
        <f t="shared" si="11"/>
        <v>2113.7572524722682</v>
      </c>
      <c r="H77" s="67">
        <f t="shared" si="11"/>
        <v>0</v>
      </c>
      <c r="I77" s="67">
        <f t="shared" si="11"/>
        <v>0</v>
      </c>
    </row>
    <row r="78" spans="1:9">
      <c r="A78" s="7" t="str">
        <f>HLOOKUP(INDICE!$F$2,Nombres!$C$3:$D$636,47,FALSE)</f>
        <v>Income tax</v>
      </c>
      <c r="B78" s="70">
        <v>-546.82863436098023</v>
      </c>
      <c r="C78" s="70">
        <v>-524.27184609090386</v>
      </c>
      <c r="D78" s="70">
        <v>-540.69892684393096</v>
      </c>
      <c r="E78" s="71">
        <v>-590.20668113415093</v>
      </c>
      <c r="F78" s="70">
        <v>-615.7704419969416</v>
      </c>
      <c r="G78" s="70">
        <v>-599.55255765351149</v>
      </c>
      <c r="H78" s="70">
        <v>0</v>
      </c>
      <c r="I78" s="70">
        <v>0</v>
      </c>
    </row>
    <row r="79" spans="1:9">
      <c r="A79" s="17" t="str">
        <f>HLOOKUP(INDICE!$F$2,Nombres!$C$3:$D$636,48,FALSE)</f>
        <v>Profit/(loss) for the year</v>
      </c>
      <c r="B79" s="17">
        <f>+B77+B78</f>
        <v>1402.0358342306595</v>
      </c>
      <c r="C79" s="17">
        <f t="shared" ref="C79:I79" si="12">+C77+C78</f>
        <v>1350.9851314351633</v>
      </c>
      <c r="D79" s="17">
        <f t="shared" si="12"/>
        <v>1383.7217380265156</v>
      </c>
      <c r="E79" s="66">
        <f t="shared" si="12"/>
        <v>1450.2047845784164</v>
      </c>
      <c r="F79" s="67">
        <f t="shared" si="12"/>
        <v>1465.0544466312724</v>
      </c>
      <c r="G79" s="67">
        <f t="shared" si="12"/>
        <v>1514.2046948187567</v>
      </c>
      <c r="H79" s="67">
        <f t="shared" si="12"/>
        <v>0</v>
      </c>
      <c r="I79" s="67">
        <f t="shared" si="12"/>
        <v>0</v>
      </c>
    </row>
    <row r="80" spans="1:9">
      <c r="A80" s="7" t="str">
        <f>HLOOKUP(INDICE!$F$2,Nombres!$C$3:$D$636,49,FALSE)</f>
        <v>Non-controlling interests</v>
      </c>
      <c r="B80" s="70">
        <v>-0.25846518873324825</v>
      </c>
      <c r="C80" s="70">
        <v>-0.24891027792052056</v>
      </c>
      <c r="D80" s="70">
        <v>-0.25319279601050226</v>
      </c>
      <c r="E80" s="71">
        <v>-0.26577929646250276</v>
      </c>
      <c r="F80" s="70">
        <v>-0.26821256662701948</v>
      </c>
      <c r="G80" s="70">
        <v>-0.27578737809405995</v>
      </c>
      <c r="H80" s="70">
        <v>0</v>
      </c>
      <c r="I80" s="70">
        <v>0</v>
      </c>
    </row>
    <row r="81" spans="1:9">
      <c r="A81" s="18" t="str">
        <f>HLOOKUP(INDICE!$F$2,Nombres!$C$3:$D$636,50,FALSE)</f>
        <v>Net attributable profit</v>
      </c>
      <c r="B81" s="18">
        <f>+B79+B80</f>
        <v>1401.7773690419262</v>
      </c>
      <c r="C81" s="18">
        <f t="shared" ref="C81:I81" si="13">+C79+C80</f>
        <v>1350.7362211572429</v>
      </c>
      <c r="D81" s="18">
        <f t="shared" si="13"/>
        <v>1383.468545230505</v>
      </c>
      <c r="E81" s="18">
        <f t="shared" si="13"/>
        <v>1449.9390052819538</v>
      </c>
      <c r="F81" s="88">
        <f t="shared" si="13"/>
        <v>1464.7862340646454</v>
      </c>
      <c r="G81" s="88">
        <f t="shared" si="13"/>
        <v>1513.9289074406627</v>
      </c>
      <c r="H81" s="88">
        <f t="shared" si="13"/>
        <v>0</v>
      </c>
      <c r="I81" s="88">
        <f t="shared" si="13"/>
        <v>0</v>
      </c>
    </row>
    <row r="82" spans="1:9">
      <c r="A82" s="8"/>
      <c r="B82" s="93">
        <v>0</v>
      </c>
      <c r="C82" s="93">
        <v>0</v>
      </c>
      <c r="D82" s="93">
        <v>0</v>
      </c>
      <c r="E82" s="93">
        <v>0</v>
      </c>
      <c r="F82" s="93">
        <v>0</v>
      </c>
      <c r="G82" s="93">
        <v>0</v>
      </c>
      <c r="H82" s="93">
        <v>0</v>
      </c>
      <c r="I82" s="93">
        <v>0</v>
      </c>
    </row>
    <row r="83" spans="1:9">
      <c r="A83" s="17"/>
      <c r="B83" s="17"/>
      <c r="C83" s="17"/>
      <c r="D83" s="17"/>
      <c r="E83" s="17"/>
      <c r="F83" s="67"/>
      <c r="G83" s="67"/>
      <c r="H83" s="67"/>
      <c r="I83" s="67"/>
    </row>
    <row r="84" spans="1:9" ht="17">
      <c r="A84" s="59" t="str">
        <f>HLOOKUP(INDICE!$F$2,Nombres!$C$3:$D$636,51,FALSE)</f>
        <v>Balance sheets</v>
      </c>
      <c r="B84" s="60"/>
      <c r="C84" s="60"/>
      <c r="D84" s="60"/>
      <c r="E84" s="60"/>
      <c r="F84" s="95"/>
      <c r="G84" s="95"/>
      <c r="H84" s="95"/>
      <c r="I84" s="95"/>
    </row>
    <row r="85" spans="1:9">
      <c r="A85" s="9" t="str">
        <f>HLOOKUP(INDICE!$F$2,Nombres!$C$3:$D$636,73,FALSE)</f>
        <v xml:space="preserve">(Constant million euros)    </v>
      </c>
      <c r="B85" s="57"/>
      <c r="C85" s="78"/>
      <c r="D85" s="78"/>
      <c r="E85" s="78"/>
      <c r="F85" s="96"/>
      <c r="G85" s="70"/>
      <c r="H85" s="70"/>
      <c r="I85" s="70"/>
    </row>
    <row r="86" spans="1:9">
      <c r="A86" s="57"/>
      <c r="B86" s="80">
        <f t="shared" ref="B86:I86" si="14">+B$30</f>
        <v>45747</v>
      </c>
      <c r="C86" s="80">
        <f t="shared" si="14"/>
        <v>45838</v>
      </c>
      <c r="D86" s="80">
        <f t="shared" si="14"/>
        <v>45930</v>
      </c>
      <c r="E86" s="92">
        <f t="shared" si="14"/>
        <v>46022</v>
      </c>
      <c r="F86" s="80">
        <f t="shared" si="14"/>
        <v>46112</v>
      </c>
      <c r="G86" s="80">
        <f t="shared" si="14"/>
        <v>46203</v>
      </c>
      <c r="H86" s="80">
        <f t="shared" si="14"/>
        <v>46295</v>
      </c>
      <c r="I86" s="80">
        <f t="shared" si="14"/>
        <v>46387</v>
      </c>
    </row>
    <row r="87" spans="1:9">
      <c r="A87" s="7" t="str">
        <f>HLOOKUP(INDICE!$F$2,Nombres!$C$3:$D$636,52,FALSE)</f>
        <v>Cash, cash balances at central banks and other demand deposits</v>
      </c>
      <c r="B87" s="70">
        <v>14558.917192271774</v>
      </c>
      <c r="C87" s="70">
        <v>11844.559307574622</v>
      </c>
      <c r="D87" s="70">
        <v>13334.026519207348</v>
      </c>
      <c r="E87" s="71">
        <v>11053.136959178541</v>
      </c>
      <c r="F87" s="70">
        <v>9816.2683686565742</v>
      </c>
      <c r="G87" s="70">
        <v>12868.165000000317</v>
      </c>
      <c r="H87" s="70">
        <v>0</v>
      </c>
      <c r="I87" s="70">
        <v>0</v>
      </c>
    </row>
    <row r="88" spans="1:9">
      <c r="A88" s="7" t="str">
        <f>HLOOKUP(INDICE!$F$2,Nombres!$C$3:$D$636,53,FALSE)</f>
        <v xml:space="preserve">Financial assets designated at fair value </v>
      </c>
      <c r="B88" s="79">
        <v>55012.846391563522</v>
      </c>
      <c r="C88" s="79">
        <v>59028.085163508338</v>
      </c>
      <c r="D88" s="79">
        <v>59369.997353079743</v>
      </c>
      <c r="E88" s="89">
        <v>63806.909638754376</v>
      </c>
      <c r="F88" s="70">
        <v>61892.671295016669</v>
      </c>
      <c r="G88" s="70">
        <v>64091.42300000145</v>
      </c>
      <c r="H88" s="70">
        <v>0</v>
      </c>
      <c r="I88" s="70">
        <v>0</v>
      </c>
    </row>
    <row r="89" spans="1:9">
      <c r="A89" s="7" t="str">
        <f>HLOOKUP(INDICE!$F$2,Nombres!$C$3:$D$636,54,FALSE)</f>
        <v>Financial assets at amortized cost</v>
      </c>
      <c r="B89" s="70">
        <v>103890.59527829394</v>
      </c>
      <c r="C89" s="70">
        <v>105867.37127626492</v>
      </c>
      <c r="D89" s="70">
        <v>106679.26802842689</v>
      </c>
      <c r="E89" s="71">
        <v>111933.77908121253</v>
      </c>
      <c r="F89" s="70">
        <v>114161.02104478181</v>
      </c>
      <c r="G89" s="70">
        <v>118539.09500000268</v>
      </c>
      <c r="H89" s="70">
        <v>0</v>
      </c>
      <c r="I89" s="70">
        <v>0</v>
      </c>
    </row>
    <row r="90" spans="1:9">
      <c r="A90" s="7" t="str">
        <f>HLOOKUP(INDICE!$F$2,Nombres!$C$3:$D$636,55,FALSE)</f>
        <v xml:space="preserve">    of which loans and advances to customers</v>
      </c>
      <c r="B90" s="70">
        <v>98127.256391971532</v>
      </c>
      <c r="C90" s="70">
        <v>98511.005053579895</v>
      </c>
      <c r="D90" s="70">
        <v>99686.418222339402</v>
      </c>
      <c r="E90" s="71">
        <v>103196.74585784366</v>
      </c>
      <c r="F90" s="70">
        <v>105965.04501418318</v>
      </c>
      <c r="G90" s="70">
        <v>108467.85900000241</v>
      </c>
      <c r="H90" s="70">
        <v>0</v>
      </c>
      <c r="I90" s="70">
        <v>0</v>
      </c>
    </row>
    <row r="91" spans="1:9" hidden="1">
      <c r="A91" s="7"/>
      <c r="B91" s="70"/>
      <c r="C91" s="70"/>
      <c r="D91" s="70"/>
      <c r="E91" s="71"/>
      <c r="F91" s="70"/>
      <c r="G91" s="70"/>
      <c r="H91" s="70"/>
      <c r="I91" s="70"/>
    </row>
    <row r="92" spans="1:9">
      <c r="A92" s="7" t="str">
        <f>HLOOKUP(INDICE!$F$2,Nombres!$C$3:$D$636,56,FALSE)</f>
        <v>Tangible assets</v>
      </c>
      <c r="B92" s="70">
        <v>2175.3635970247142</v>
      </c>
      <c r="C92" s="70">
        <v>2179.2286238820921</v>
      </c>
      <c r="D92" s="70">
        <v>2169.8583969867545</v>
      </c>
      <c r="E92" s="71">
        <v>2208.5472420309547</v>
      </c>
      <c r="F92" s="70">
        <v>2182.2553796439279</v>
      </c>
      <c r="G92" s="70">
        <v>2174.0830000000478</v>
      </c>
      <c r="H92" s="70">
        <v>0</v>
      </c>
      <c r="I92" s="70">
        <v>0</v>
      </c>
    </row>
    <row r="93" spans="1:9">
      <c r="A93" s="7" t="str">
        <f>HLOOKUP(INDICE!$F$2,Nombres!$C$3:$D$636,57,FALSE)</f>
        <v>Other assets</v>
      </c>
      <c r="B93" s="79">
        <f>+B94-B92-B89-B88-B87</f>
        <v>4944.6201069146973</v>
      </c>
      <c r="C93" s="79">
        <f t="shared" ref="C93:I93" si="15">+C94-C92-C89-C88-C87</f>
        <v>4928.3773756429073</v>
      </c>
      <c r="D93" s="79">
        <f t="shared" si="15"/>
        <v>5107.1321001794804</v>
      </c>
      <c r="E93" s="89">
        <f t="shared" si="15"/>
        <v>4801.6663476026879</v>
      </c>
      <c r="F93" s="70">
        <f t="shared" si="15"/>
        <v>5227.6409682254434</v>
      </c>
      <c r="G93" s="70">
        <f t="shared" si="15"/>
        <v>5265.6430000007349</v>
      </c>
      <c r="H93" s="70">
        <f t="shared" si="15"/>
        <v>0</v>
      </c>
      <c r="I93" s="70">
        <f t="shared" si="15"/>
        <v>0</v>
      </c>
    </row>
    <row r="94" spans="1:9">
      <c r="A94" s="18" t="str">
        <f>HLOOKUP(INDICE!$F$2,Nombres!$C$3:$D$636,58,FALSE)</f>
        <v>Total assets / Liabilities and equity</v>
      </c>
      <c r="B94" s="18">
        <v>180582.34256606866</v>
      </c>
      <c r="C94" s="18">
        <v>183847.62174687287</v>
      </c>
      <c r="D94" s="18">
        <v>186660.28239788022</v>
      </c>
      <c r="E94" s="18">
        <v>193804.0392687791</v>
      </c>
      <c r="F94" s="88">
        <v>193279.85705632443</v>
      </c>
      <c r="G94" s="88">
        <v>202938.40900000522</v>
      </c>
      <c r="H94" s="88">
        <v>0</v>
      </c>
      <c r="I94" s="88">
        <v>0</v>
      </c>
    </row>
    <row r="95" spans="1:9">
      <c r="A95" s="7" t="str">
        <f>HLOOKUP(INDICE!$F$2,Nombres!$C$3:$D$636,59,FALSE)</f>
        <v>Financial liabilities held for trading and designated at fair value through profit or loss</v>
      </c>
      <c r="B95" s="79">
        <v>27781.197092007293</v>
      </c>
      <c r="C95" s="79">
        <v>31527.979863516455</v>
      </c>
      <c r="D95" s="79">
        <v>33045.438124559776</v>
      </c>
      <c r="E95" s="89">
        <v>34573.580446376502</v>
      </c>
      <c r="F95" s="70">
        <v>32221.273669174712</v>
      </c>
      <c r="G95" s="70">
        <v>37262.126000000819</v>
      </c>
      <c r="H95" s="70">
        <v>0</v>
      </c>
      <c r="I95" s="70">
        <v>0</v>
      </c>
    </row>
    <row r="96" spans="1:9">
      <c r="A96" s="7" t="str">
        <f>HLOOKUP(INDICE!$F$2,Nombres!$C$3:$D$636,60,FALSE)</f>
        <v>Deposits from central banks and credit institutions</v>
      </c>
      <c r="B96" s="79">
        <v>8869.88270045235</v>
      </c>
      <c r="C96" s="79">
        <v>8624.0665492668413</v>
      </c>
      <c r="D96" s="79">
        <v>7370.4612096002547</v>
      </c>
      <c r="E96" s="89">
        <v>6396.0133180140238</v>
      </c>
      <c r="F96" s="70">
        <v>6303.1511400824656</v>
      </c>
      <c r="G96" s="70">
        <v>5850.5820000001913</v>
      </c>
      <c r="H96" s="70">
        <v>0</v>
      </c>
      <c r="I96" s="70">
        <v>0</v>
      </c>
    </row>
    <row r="97" spans="1:9">
      <c r="A97" s="7" t="str">
        <f>HLOOKUP(INDICE!$F$2,Nombres!$C$3:$D$636,61,FALSE)</f>
        <v>Deposits from customers</v>
      </c>
      <c r="B97" s="79">
        <v>96142.040168801846</v>
      </c>
      <c r="C97" s="79">
        <v>94935.312507755705</v>
      </c>
      <c r="D97" s="79">
        <v>94716.993171436101</v>
      </c>
      <c r="E97" s="89">
        <v>99584.217146187104</v>
      </c>
      <c r="F97" s="70">
        <v>103334.9216256256</v>
      </c>
      <c r="G97" s="70">
        <v>105290.24000000238</v>
      </c>
      <c r="H97" s="70">
        <v>0</v>
      </c>
      <c r="I97" s="70">
        <v>0</v>
      </c>
    </row>
    <row r="98" spans="1:9">
      <c r="A98" s="7" t="str">
        <f>HLOOKUP(INDICE!$F$2,Nombres!$C$3:$D$636,62,FALSE)</f>
        <v>Debt certificates</v>
      </c>
      <c r="B98" s="70">
        <v>12302.755158663162</v>
      </c>
      <c r="C98" s="70">
        <v>12293.690841494767</v>
      </c>
      <c r="D98" s="70">
        <v>12828.947177735719</v>
      </c>
      <c r="E98" s="71">
        <v>12376.33079029363</v>
      </c>
      <c r="F98" s="70">
        <v>13012.669595413492</v>
      </c>
      <c r="G98" s="70">
        <v>13450.21112569186</v>
      </c>
      <c r="H98" s="70">
        <v>0</v>
      </c>
      <c r="I98" s="70">
        <v>0</v>
      </c>
    </row>
    <row r="99" spans="1:9" hidden="1">
      <c r="A99" s="7"/>
      <c r="B99" s="70"/>
      <c r="C99" s="70"/>
      <c r="D99" s="70"/>
      <c r="E99" s="71"/>
      <c r="F99" s="70"/>
      <c r="G99" s="70"/>
      <c r="H99" s="70"/>
      <c r="I99" s="70"/>
    </row>
    <row r="100" spans="1:9">
      <c r="A100" s="7" t="str">
        <f>HLOOKUP(INDICE!$F$2,Nombres!$C$3:$D$636,63,FALSE)</f>
        <v>Other liabilities</v>
      </c>
      <c r="B100" s="79">
        <f>+B94-B95-B96-B97-B98-B101</f>
        <v>22056.941657666845</v>
      </c>
      <c r="C100" s="79">
        <f t="shared" ref="C100:I100" si="16">+C94-C95-C96-C97-C98-C101</f>
        <v>23328.639528484011</v>
      </c>
      <c r="D100" s="79">
        <f t="shared" si="16"/>
        <v>25560.493408898106</v>
      </c>
      <c r="E100" s="89">
        <f t="shared" si="16"/>
        <v>29186.31670266427</v>
      </c>
      <c r="F100" s="70">
        <f t="shared" si="16"/>
        <v>26353.882243771775</v>
      </c>
      <c r="G100" s="70">
        <f t="shared" si="16"/>
        <v>29312.329209895841</v>
      </c>
      <c r="H100" s="70">
        <f t="shared" si="16"/>
        <v>0</v>
      </c>
      <c r="I100" s="70">
        <f t="shared" si="16"/>
        <v>0</v>
      </c>
    </row>
    <row r="101" spans="1:9">
      <c r="A101" s="7" t="str">
        <f>HLOOKUP(INDICE!$F$2,Nombres!$C$3:$D$636,282,FALSE)</f>
        <v>Allocated regulatory capital</v>
      </c>
      <c r="B101" s="70">
        <v>13429.525788477173</v>
      </c>
      <c r="C101" s="70">
        <v>13137.932456355091</v>
      </c>
      <c r="D101" s="70">
        <v>13137.949305650265</v>
      </c>
      <c r="E101" s="70">
        <v>11687.580865243594</v>
      </c>
      <c r="F101" s="70">
        <v>12053.958782256404</v>
      </c>
      <c r="G101" s="70">
        <v>11772.920664414143</v>
      </c>
      <c r="H101" s="70">
        <v>0</v>
      </c>
      <c r="I101" s="70">
        <v>0</v>
      </c>
    </row>
    <row r="102" spans="1:9">
      <c r="A102" s="8"/>
      <c r="B102" s="79"/>
      <c r="C102" s="79"/>
      <c r="D102" s="79"/>
      <c r="E102" s="79"/>
      <c r="F102" s="70"/>
      <c r="G102" s="70"/>
      <c r="H102" s="70"/>
      <c r="I102" s="70"/>
    </row>
    <row r="103" spans="1:9">
      <c r="A103" s="7"/>
      <c r="B103" s="79"/>
      <c r="C103" s="79"/>
      <c r="D103" s="79"/>
      <c r="E103" s="79"/>
      <c r="F103" s="70"/>
      <c r="G103" s="70"/>
      <c r="H103" s="70"/>
      <c r="I103" s="70"/>
    </row>
    <row r="104" spans="1:9" ht="17">
      <c r="A104" s="90" t="str">
        <f>HLOOKUP(INDICE!$F$2,Nombres!$C$3:$D$636,65,FALSE)</f>
        <v>Relevant business indicators</v>
      </c>
      <c r="B104" s="91"/>
      <c r="C104" s="91"/>
      <c r="D104" s="91"/>
      <c r="E104" s="91"/>
      <c r="F104" s="97"/>
      <c r="G104" s="97"/>
      <c r="H104" s="97"/>
      <c r="I104" s="97"/>
    </row>
    <row r="105" spans="1:9">
      <c r="A105" s="9" t="str">
        <f>HLOOKUP(INDICE!$F$2,Nombres!$C$3:$D$636,73,FALSE)</f>
        <v xml:space="preserve">(Constant million euros)    </v>
      </c>
      <c r="B105" s="57"/>
      <c r="C105" s="57"/>
      <c r="D105" s="57"/>
      <c r="E105" s="57"/>
      <c r="F105" s="96"/>
      <c r="G105" s="96"/>
      <c r="H105" s="96"/>
      <c r="I105" s="96"/>
    </row>
    <row r="106" spans="1:9">
      <c r="A106" s="57"/>
      <c r="B106" s="80">
        <f t="shared" ref="B106:I106" si="17">+B$30</f>
        <v>45747</v>
      </c>
      <c r="C106" s="80">
        <f t="shared" si="17"/>
        <v>45838</v>
      </c>
      <c r="D106" s="80">
        <f t="shared" si="17"/>
        <v>45930</v>
      </c>
      <c r="E106" s="92">
        <f t="shared" si="17"/>
        <v>46022</v>
      </c>
      <c r="F106" s="80">
        <f t="shared" si="17"/>
        <v>46112</v>
      </c>
      <c r="G106" s="80">
        <f t="shared" si="17"/>
        <v>46203</v>
      </c>
      <c r="H106" s="80">
        <f t="shared" si="17"/>
        <v>46295</v>
      </c>
      <c r="I106" s="80">
        <f t="shared" si="17"/>
        <v>46387</v>
      </c>
    </row>
    <row r="107" spans="1:9">
      <c r="A107" s="7" t="str">
        <f>HLOOKUP(INDICE!$F$2,Nombres!$C$3:$D$636,66,FALSE)</f>
        <v>Loans and advances to customers (gross) (*)</v>
      </c>
      <c r="B107" s="70">
        <v>100840.13378299563</v>
      </c>
      <c r="C107" s="70">
        <v>101725.44787868904</v>
      </c>
      <c r="D107" s="70">
        <v>102984.29349960583</v>
      </c>
      <c r="E107" s="71">
        <v>106699.7862862326</v>
      </c>
      <c r="F107" s="70">
        <v>109322.91671750337</v>
      </c>
      <c r="G107" s="70">
        <v>111886.6920000025</v>
      </c>
      <c r="H107" s="70">
        <v>0</v>
      </c>
      <c r="I107" s="70">
        <v>0</v>
      </c>
    </row>
    <row r="108" spans="1:9">
      <c r="A108" s="7" t="str">
        <f>HLOOKUP(INDICE!$F$2,Nombres!$C$3:$D$636,67,FALSE)</f>
        <v>Customer deposits under management (*)</v>
      </c>
      <c r="B108" s="70">
        <v>95084.540361157939</v>
      </c>
      <c r="C108" s="70">
        <v>94932.59774639309</v>
      </c>
      <c r="D108" s="70">
        <v>94715.00695577015</v>
      </c>
      <c r="E108" s="71">
        <v>99543.909066895765</v>
      </c>
      <c r="F108" s="70">
        <v>102380.52866929106</v>
      </c>
      <c r="G108" s="70">
        <v>101433.47400000221</v>
      </c>
      <c r="H108" s="70">
        <v>0</v>
      </c>
      <c r="I108" s="70">
        <v>0</v>
      </c>
    </row>
    <row r="109" spans="1:9">
      <c r="A109" s="7" t="str">
        <f>HLOOKUP(INDICE!$F$2,Nombres!$C$3:$D$636,68,FALSE)</f>
        <v>Investment funds and managed portfolios</v>
      </c>
      <c r="B109" s="70">
        <v>59686.730074919848</v>
      </c>
      <c r="C109" s="70">
        <v>62486.67601078155</v>
      </c>
      <c r="D109" s="70">
        <v>66046.746001728039</v>
      </c>
      <c r="E109" s="71">
        <v>66481.786668991568</v>
      </c>
      <c r="F109" s="70">
        <v>67231.022045311372</v>
      </c>
      <c r="G109" s="70">
        <v>70454.840035466113</v>
      </c>
      <c r="H109" s="70">
        <v>0</v>
      </c>
      <c r="I109" s="70">
        <v>0</v>
      </c>
    </row>
    <row r="110" spans="1:9">
      <c r="A110" s="7" t="str">
        <f>HLOOKUP(INDICE!$F$2,Nombres!$C$3:$D$636,69,FALSE)</f>
        <v>Pension funds</v>
      </c>
      <c r="B110" s="70">
        <v>0</v>
      </c>
      <c r="C110" s="70">
        <v>0</v>
      </c>
      <c r="D110" s="70">
        <v>0</v>
      </c>
      <c r="E110" s="71">
        <v>0</v>
      </c>
      <c r="F110" s="70">
        <v>0</v>
      </c>
      <c r="G110" s="70">
        <v>0</v>
      </c>
      <c r="H110" s="70">
        <v>0</v>
      </c>
      <c r="I110" s="70">
        <v>0</v>
      </c>
    </row>
    <row r="111" spans="1:9">
      <c r="A111" s="7" t="str">
        <f>HLOOKUP(INDICE!$F$2,Nombres!$C$3:$D$636,70,FALSE)</f>
        <v>Other off balance-sheet funds</v>
      </c>
      <c r="B111" s="70">
        <v>5333.2414684995392</v>
      </c>
      <c r="C111" s="70">
        <v>6032.8656421712576</v>
      </c>
      <c r="D111" s="70">
        <v>7076.1962870990183</v>
      </c>
      <c r="E111" s="71">
        <v>7295.8962975943941</v>
      </c>
      <c r="F111" s="70">
        <v>7864.7743591564013</v>
      </c>
      <c r="G111" s="70">
        <v>8501.7270857842104</v>
      </c>
      <c r="H111" s="70">
        <v>0</v>
      </c>
      <c r="I111" s="70">
        <v>0</v>
      </c>
    </row>
    <row r="112" spans="1:9">
      <c r="A112" s="8" t="str">
        <f>HLOOKUP(INDICE!$F$2,Nombres!$C$3:$D$636,71,FALSE)</f>
        <v xml:space="preserve">(*) Excluding repos. </v>
      </c>
      <c r="B112" s="79"/>
      <c r="C112" s="79"/>
      <c r="D112" s="79"/>
      <c r="E112" s="79"/>
      <c r="F112" s="79"/>
      <c r="G112" s="79"/>
      <c r="H112" s="79"/>
      <c r="I112" s="79"/>
    </row>
    <row r="113" spans="1:9">
      <c r="A113" s="8">
        <f>HLOOKUP(INDICE!$F$2,Nombres!$C$3:$D$636,72,FALSE)</f>
        <v>0</v>
      </c>
      <c r="B113" s="57"/>
      <c r="C113" s="57"/>
      <c r="D113" s="57"/>
      <c r="E113" s="57"/>
      <c r="F113" s="57"/>
      <c r="G113" s="57"/>
      <c r="H113" s="57"/>
      <c r="I113" s="57"/>
    </row>
    <row r="114" spans="1:9">
      <c r="A114" s="8"/>
      <c r="B114" s="79"/>
      <c r="C114" s="70"/>
      <c r="D114" s="70"/>
      <c r="E114" s="70"/>
      <c r="F114" s="70"/>
      <c r="G114" s="57"/>
      <c r="H114" s="57"/>
      <c r="I114" s="57"/>
    </row>
    <row r="115" spans="1:9" ht="17">
      <c r="A115" s="59" t="str">
        <f>HLOOKUP(INDICE!$F$2,Nombres!$C$3:$D$636,31,FALSE)</f>
        <v xml:space="preserve">Income statement  </v>
      </c>
      <c r="B115" s="60"/>
      <c r="C115" s="60"/>
      <c r="D115" s="60"/>
      <c r="E115" s="60"/>
      <c r="F115" s="60"/>
      <c r="G115" s="60"/>
      <c r="H115" s="60"/>
      <c r="I115" s="60"/>
    </row>
    <row r="116" spans="1:9">
      <c r="A116" s="9" t="str">
        <f>HLOOKUP(INDICE!$F$2,Nombres!$C$3:$D$636,74,FALSE)</f>
        <v>(Million Mexican pesos)</v>
      </c>
      <c r="B116" s="57"/>
      <c r="C116" s="61"/>
      <c r="D116" s="61"/>
      <c r="E116" s="61"/>
      <c r="F116" s="57"/>
      <c r="G116" s="57"/>
      <c r="H116" s="57"/>
      <c r="I116" s="57"/>
    </row>
    <row r="117" spans="1:9">
      <c r="A117" s="62"/>
      <c r="B117" s="57"/>
      <c r="C117" s="61"/>
      <c r="D117" s="61"/>
      <c r="E117" s="61"/>
      <c r="F117" s="57"/>
      <c r="G117" s="57"/>
      <c r="H117" s="57"/>
      <c r="I117" s="57"/>
    </row>
    <row r="118" spans="1:9">
      <c r="A118" s="63"/>
      <c r="B118" s="257">
        <f>+B$6</f>
        <v>2025</v>
      </c>
      <c r="C118" s="257"/>
      <c r="D118" s="257"/>
      <c r="E118" s="258"/>
      <c r="F118" s="257">
        <f>+F$6</f>
        <v>2026</v>
      </c>
      <c r="G118" s="257"/>
      <c r="H118" s="257"/>
      <c r="I118" s="257"/>
    </row>
    <row r="119" spans="1:9">
      <c r="A119" s="63"/>
      <c r="B119" s="64" t="str">
        <f>+B$7</f>
        <v>1Q</v>
      </c>
      <c r="C119" s="64" t="str">
        <f t="shared" ref="C119:I119" si="18">+C$7</f>
        <v>2Q</v>
      </c>
      <c r="D119" s="64" t="str">
        <f t="shared" si="18"/>
        <v>3Q</v>
      </c>
      <c r="E119" s="65" t="str">
        <f t="shared" si="18"/>
        <v>4Q</v>
      </c>
      <c r="F119" s="64" t="str">
        <f t="shared" si="18"/>
        <v>1Q</v>
      </c>
      <c r="G119" s="64" t="str">
        <f t="shared" si="18"/>
        <v>2Q</v>
      </c>
      <c r="H119" s="64" t="str">
        <f t="shared" si="18"/>
        <v>3Q</v>
      </c>
      <c r="I119" s="64" t="str">
        <f t="shared" si="18"/>
        <v>4Q</v>
      </c>
    </row>
    <row r="120" spans="1:9">
      <c r="A120" s="17" t="str">
        <f>HLOOKUP(INDICE!$F$2,Nombres!$C$3:$D$636,33,FALSE)</f>
        <v>Net interest income</v>
      </c>
      <c r="B120" s="17">
        <v>59483.00139175931</v>
      </c>
      <c r="C120" s="17">
        <v>60739.621810807213</v>
      </c>
      <c r="D120" s="17">
        <v>62738.809415467513</v>
      </c>
      <c r="E120" s="66">
        <v>64637.842173446195</v>
      </c>
      <c r="F120" s="67">
        <v>64440.348492143945</v>
      </c>
      <c r="G120" s="67">
        <v>66174.713957508138</v>
      </c>
      <c r="H120" s="67">
        <v>0</v>
      </c>
      <c r="I120" s="67">
        <v>0</v>
      </c>
    </row>
    <row r="121" spans="1:9">
      <c r="A121" s="7" t="str">
        <f>HLOOKUP(INDICE!$F$2,Nombres!$C$3:$D$636,34,FALSE)</f>
        <v>Net fees and commissions</v>
      </c>
      <c r="B121" s="70">
        <v>12525.792550261818</v>
      </c>
      <c r="C121" s="70">
        <v>12433.060330499762</v>
      </c>
      <c r="D121" s="70">
        <v>12757.650479455164</v>
      </c>
      <c r="E121" s="71">
        <v>13590.401769406115</v>
      </c>
      <c r="F121" s="70">
        <v>13317.547408535082</v>
      </c>
      <c r="G121" s="70">
        <v>13468.21480490937</v>
      </c>
      <c r="H121" s="70">
        <v>0</v>
      </c>
      <c r="I121" s="70">
        <v>0</v>
      </c>
    </row>
    <row r="122" spans="1:9">
      <c r="A122" s="7" t="str">
        <f>HLOOKUP(INDICE!$F$2,Nombres!$C$3:$D$636,35,FALSE)</f>
        <v>Net trading income</v>
      </c>
      <c r="B122" s="70">
        <v>4731.4124238273544</v>
      </c>
      <c r="C122" s="70">
        <v>3991.2960064810418</v>
      </c>
      <c r="D122" s="70">
        <v>3709.9218083409378</v>
      </c>
      <c r="E122" s="71">
        <v>4651.2659182924817</v>
      </c>
      <c r="F122" s="70">
        <v>5868.3355571730681</v>
      </c>
      <c r="G122" s="70">
        <v>4012.7885938635491</v>
      </c>
      <c r="H122" s="70">
        <v>0</v>
      </c>
      <c r="I122" s="70">
        <v>0</v>
      </c>
    </row>
    <row r="123" spans="1:9">
      <c r="A123" s="7" t="str">
        <f>HLOOKUP(INDICE!$F$2,Nombres!$C$3:$D$636,36,FALSE)</f>
        <v>Other operating income and expenses</v>
      </c>
      <c r="B123" s="70">
        <v>2910.2245400427696</v>
      </c>
      <c r="C123" s="70">
        <v>3485.2395785372601</v>
      </c>
      <c r="D123" s="70">
        <v>2985.9459726373002</v>
      </c>
      <c r="E123" s="71">
        <v>4043.6661896511432</v>
      </c>
      <c r="F123" s="70">
        <v>4199.9011842386535</v>
      </c>
      <c r="G123" s="70">
        <v>3063.352021588767</v>
      </c>
      <c r="H123" s="70">
        <v>0</v>
      </c>
      <c r="I123" s="70">
        <v>0</v>
      </c>
    </row>
    <row r="124" spans="1:9">
      <c r="A124" s="17" t="str">
        <f>HLOOKUP(INDICE!$F$2,Nombres!$C$3:$D$636,37,FALSE)</f>
        <v>Gross income</v>
      </c>
      <c r="B124" s="17">
        <f>+SUM(B120:B123)</f>
        <v>79650.430905891248</v>
      </c>
      <c r="C124" s="17">
        <f t="shared" ref="C124:I124" si="19">+SUM(C120:C123)</f>
        <v>80649.217726325282</v>
      </c>
      <c r="D124" s="17">
        <f t="shared" si="19"/>
        <v>82192.327675900917</v>
      </c>
      <c r="E124" s="66">
        <f t="shared" si="19"/>
        <v>86923.176050795941</v>
      </c>
      <c r="F124" s="67">
        <f t="shared" si="19"/>
        <v>87826.132642090743</v>
      </c>
      <c r="G124" s="67">
        <f t="shared" si="19"/>
        <v>86719.069377869819</v>
      </c>
      <c r="H124" s="67">
        <f t="shared" si="19"/>
        <v>0</v>
      </c>
      <c r="I124" s="67">
        <f t="shared" si="19"/>
        <v>0</v>
      </c>
    </row>
    <row r="125" spans="1:9">
      <c r="A125" s="7" t="str">
        <f>HLOOKUP(INDICE!$F$2,Nombres!$C$3:$D$636,38,FALSE)</f>
        <v>Operating expenses</v>
      </c>
      <c r="B125" s="70">
        <v>-24686.56171313973</v>
      </c>
      <c r="C125" s="70">
        <v>-24509.094718101012</v>
      </c>
      <c r="D125" s="70">
        <v>-24961.609506871297</v>
      </c>
      <c r="E125" s="71">
        <v>-26400.362169275701</v>
      </c>
      <c r="F125" s="70">
        <v>-27090.048758214387</v>
      </c>
      <c r="G125" s="70">
        <v>-26585.65691027225</v>
      </c>
      <c r="H125" s="70">
        <v>0</v>
      </c>
      <c r="I125" s="70">
        <v>0</v>
      </c>
    </row>
    <row r="126" spans="1:9">
      <c r="A126" s="7" t="str">
        <f>HLOOKUP(INDICE!$F$2,Nombres!$C$3:$D$636,39,FALSE)</f>
        <v xml:space="preserve">  Administration expenses</v>
      </c>
      <c r="B126" s="70">
        <v>-22359.11242434532</v>
      </c>
      <c r="C126" s="70">
        <v>-22135.314698940125</v>
      </c>
      <c r="D126" s="70">
        <v>-22554.301041555122</v>
      </c>
      <c r="E126" s="71">
        <v>-23962.482757895876</v>
      </c>
      <c r="F126" s="70">
        <v>-24561.749013066874</v>
      </c>
      <c r="G126" s="70">
        <v>-24060.045794163852</v>
      </c>
      <c r="H126" s="70">
        <v>0</v>
      </c>
      <c r="I126" s="70">
        <v>0</v>
      </c>
    </row>
    <row r="127" spans="1:9">
      <c r="A127" s="72" t="str">
        <f>HLOOKUP(INDICE!$F$2,Nombres!$C$3:$D$636,40,FALSE)</f>
        <v xml:space="preserve">  Personnel expenses</v>
      </c>
      <c r="B127" s="70">
        <v>-11884.872693189191</v>
      </c>
      <c r="C127" s="70">
        <v>-11395.935961579547</v>
      </c>
      <c r="D127" s="70">
        <v>-11416.171681122833</v>
      </c>
      <c r="E127" s="71">
        <v>-12475.397959976137</v>
      </c>
      <c r="F127" s="70">
        <v>-12481.982536780679</v>
      </c>
      <c r="G127" s="70">
        <v>-12255.441718937904</v>
      </c>
      <c r="H127" s="70">
        <v>0</v>
      </c>
      <c r="I127" s="70">
        <v>0</v>
      </c>
    </row>
    <row r="128" spans="1:9">
      <c r="A128" s="72" t="str">
        <f>HLOOKUP(INDICE!$F$2,Nombres!$C$3:$D$636,41,FALSE)</f>
        <v xml:space="preserve">  General and administrative expenses</v>
      </c>
      <c r="B128" s="70">
        <v>-10474.239731156129</v>
      </c>
      <c r="C128" s="70">
        <v>-10739.378737360579</v>
      </c>
      <c r="D128" s="70">
        <v>-11138.129360432295</v>
      </c>
      <c r="E128" s="71">
        <v>-11487.084797919741</v>
      </c>
      <c r="F128" s="70">
        <v>-12079.766476286186</v>
      </c>
      <c r="G128" s="70">
        <v>-11804.604075225949</v>
      </c>
      <c r="H128" s="70">
        <v>0</v>
      </c>
      <c r="I128" s="70">
        <v>0</v>
      </c>
    </row>
    <row r="129" spans="1:9">
      <c r="A129" s="7" t="str">
        <f>HLOOKUP(INDICE!$F$2,Nombres!$C$3:$D$636,42,FALSE)</f>
        <v xml:space="preserve">  Depreciation</v>
      </c>
      <c r="B129" s="70">
        <v>-2327.4492887944089</v>
      </c>
      <c r="C129" s="70">
        <v>-2373.7800191608812</v>
      </c>
      <c r="D129" s="70">
        <v>-2407.3084653161709</v>
      </c>
      <c r="E129" s="71">
        <v>-2437.8794113798231</v>
      </c>
      <c r="F129" s="70">
        <v>-2528.2997451475135</v>
      </c>
      <c r="G129" s="70">
        <v>-2525.6111161084</v>
      </c>
      <c r="H129" s="70">
        <v>0</v>
      </c>
      <c r="I129" s="70">
        <v>0</v>
      </c>
    </row>
    <row r="130" spans="1:9">
      <c r="A130" s="17" t="str">
        <f>HLOOKUP(INDICE!$F$2,Nombres!$C$3:$D$636,43,FALSE)</f>
        <v>Operating income</v>
      </c>
      <c r="B130" s="17">
        <f>+B124+B125</f>
        <v>54963.869192751517</v>
      </c>
      <c r="C130" s="17">
        <f t="shared" ref="C130:I130" si="20">+C124+C125</f>
        <v>56140.123008224269</v>
      </c>
      <c r="D130" s="17">
        <f t="shared" si="20"/>
        <v>57230.71816902962</v>
      </c>
      <c r="E130" s="66">
        <f t="shared" si="20"/>
        <v>60522.81388152024</v>
      </c>
      <c r="F130" s="67">
        <f t="shared" si="20"/>
        <v>60736.083883876359</v>
      </c>
      <c r="G130" s="67">
        <f t="shared" si="20"/>
        <v>60133.412467597569</v>
      </c>
      <c r="H130" s="67">
        <f t="shared" si="20"/>
        <v>0</v>
      </c>
      <c r="I130" s="67">
        <f t="shared" si="20"/>
        <v>0</v>
      </c>
    </row>
    <row r="131" spans="1:9">
      <c r="A131" s="7" t="str">
        <f>HLOOKUP(INDICE!$F$2,Nombres!$C$3:$D$636,44,FALSE)</f>
        <v>Impaiment on financial assets not measured at fair value through profit or loss</v>
      </c>
      <c r="B131" s="70">
        <v>-14956.202599895745</v>
      </c>
      <c r="C131" s="70">
        <v>-17459.965506697423</v>
      </c>
      <c r="D131" s="70">
        <v>-17258.458275098859</v>
      </c>
      <c r="E131" s="71">
        <v>-18175.803338249472</v>
      </c>
      <c r="F131" s="70">
        <v>-18154.084786834188</v>
      </c>
      <c r="G131" s="70">
        <v>-16885.594892851474</v>
      </c>
      <c r="H131" s="70">
        <v>0</v>
      </c>
      <c r="I131" s="70">
        <v>0</v>
      </c>
    </row>
    <row r="132" spans="1:9">
      <c r="A132" s="7" t="str">
        <f>HLOOKUP(INDICE!$F$2,Nombres!$C$3:$D$636,45,FALSE)</f>
        <v>Provisions or reversal of provisions and other results</v>
      </c>
      <c r="B132" s="70">
        <v>-291.99634846600901</v>
      </c>
      <c r="C132" s="70">
        <v>-464.58915523849782</v>
      </c>
      <c r="D132" s="70">
        <v>-755.29625641543316</v>
      </c>
      <c r="E132" s="71">
        <v>-765.89094517464684</v>
      </c>
      <c r="F132" s="70">
        <v>-177.37263211027889</v>
      </c>
      <c r="G132" s="70">
        <v>-172.08225863047824</v>
      </c>
      <c r="H132" s="70">
        <v>0</v>
      </c>
      <c r="I132" s="70">
        <v>0</v>
      </c>
    </row>
    <row r="133" spans="1:9">
      <c r="A133" s="17" t="str">
        <f>HLOOKUP(INDICE!$F$2,Nombres!$C$3:$D$636,46,FALSE)</f>
        <v>Profit/(loss) before tax</v>
      </c>
      <c r="B133" s="17">
        <f>+B130+B131+B132</f>
        <v>39715.670244389759</v>
      </c>
      <c r="C133" s="17">
        <f t="shared" ref="C133:I133" si="21">+C130+C131+C132</f>
        <v>38215.568346288346</v>
      </c>
      <c r="D133" s="17">
        <f t="shared" si="21"/>
        <v>39216.963637515335</v>
      </c>
      <c r="E133" s="66">
        <f t="shared" si="21"/>
        <v>41581.11959809612</v>
      </c>
      <c r="F133" s="67">
        <f t="shared" si="21"/>
        <v>42404.626464931891</v>
      </c>
      <c r="G133" s="67">
        <f t="shared" si="21"/>
        <v>43075.735316115613</v>
      </c>
      <c r="H133" s="67">
        <f t="shared" si="21"/>
        <v>0</v>
      </c>
      <c r="I133" s="67">
        <f t="shared" si="21"/>
        <v>0</v>
      </c>
    </row>
    <row r="134" spans="1:9">
      <c r="A134" s="7" t="str">
        <f>HLOOKUP(INDICE!$F$2,Nombres!$C$3:$D$636,47,FALSE)</f>
        <v>Income tax</v>
      </c>
      <c r="B134" s="70">
        <v>-11143.734396845459</v>
      </c>
      <c r="C134" s="70">
        <v>-10684.035413212048</v>
      </c>
      <c r="D134" s="70">
        <v>-11018.69801536159</v>
      </c>
      <c r="E134" s="71">
        <v>-12027.689751119926</v>
      </c>
      <c r="F134" s="70">
        <v>-12548.635909498924</v>
      </c>
      <c r="G134" s="70">
        <v>-12218.133746296466</v>
      </c>
      <c r="H134" s="70">
        <v>0</v>
      </c>
      <c r="I134" s="70">
        <v>0</v>
      </c>
    </row>
    <row r="135" spans="1:9">
      <c r="A135" s="17" t="str">
        <f>HLOOKUP(INDICE!$F$2,Nombres!$C$3:$D$636,48,FALSE)</f>
        <v>Profit/(loss) for the year</v>
      </c>
      <c r="B135" s="17">
        <f>+B133+B134</f>
        <v>28571.9358475443</v>
      </c>
      <c r="C135" s="17">
        <f t="shared" ref="C135:I135" si="22">+C133+C134</f>
        <v>27531.532933076298</v>
      </c>
      <c r="D135" s="17">
        <f t="shared" si="22"/>
        <v>28198.265622153747</v>
      </c>
      <c r="E135" s="66">
        <f t="shared" si="22"/>
        <v>29553.429846976192</v>
      </c>
      <c r="F135" s="67">
        <f t="shared" si="22"/>
        <v>29855.990555432967</v>
      </c>
      <c r="G135" s="67">
        <f t="shared" si="22"/>
        <v>30857.601569819148</v>
      </c>
      <c r="H135" s="67">
        <f t="shared" si="22"/>
        <v>0</v>
      </c>
      <c r="I135" s="67">
        <f t="shared" si="22"/>
        <v>0</v>
      </c>
    </row>
    <row r="136" spans="1:9">
      <c r="A136" s="7" t="str">
        <f>HLOOKUP(INDICE!$F$2,Nombres!$C$3:$D$636,49,FALSE)</f>
        <v>Non-controlling interests</v>
      </c>
      <c r="B136" s="70">
        <v>-5.2671987092696471</v>
      </c>
      <c r="C136" s="70">
        <v>-5.0724815044850695</v>
      </c>
      <c r="D136" s="70">
        <v>-5.1597539050235648</v>
      </c>
      <c r="E136" s="71">
        <v>-5.4162511153383184</v>
      </c>
      <c r="F136" s="70">
        <v>-5.4658381784611398</v>
      </c>
      <c r="G136" s="70">
        <v>-5.6202034150473317</v>
      </c>
      <c r="H136" s="70">
        <v>0</v>
      </c>
      <c r="I136" s="70">
        <v>0</v>
      </c>
    </row>
    <row r="137" spans="1:9">
      <c r="A137" s="18" t="str">
        <f>HLOOKUP(INDICE!$F$2,Nombres!$C$3:$D$636,50,FALSE)</f>
        <v>Net attributable profit</v>
      </c>
      <c r="B137" s="18">
        <f>+B135+B136</f>
        <v>28566.668648835031</v>
      </c>
      <c r="C137" s="18">
        <f t="shared" ref="C137:I137" si="23">+C135+C136</f>
        <v>27526.460451571813</v>
      </c>
      <c r="D137" s="18">
        <f t="shared" si="23"/>
        <v>28193.105868248724</v>
      </c>
      <c r="E137" s="18">
        <f t="shared" si="23"/>
        <v>29548.013595860855</v>
      </c>
      <c r="F137" s="88">
        <f t="shared" si="23"/>
        <v>29850.524717254506</v>
      </c>
      <c r="G137" s="88">
        <f t="shared" si="23"/>
        <v>30851.981366404099</v>
      </c>
      <c r="H137" s="88">
        <f t="shared" si="23"/>
        <v>0</v>
      </c>
      <c r="I137" s="88">
        <f t="shared" si="23"/>
        <v>0</v>
      </c>
    </row>
    <row r="138" spans="1:9">
      <c r="A138" s="8"/>
      <c r="B138" s="93">
        <v>0</v>
      </c>
      <c r="C138" s="93">
        <v>0</v>
      </c>
      <c r="D138" s="93">
        <v>0</v>
      </c>
      <c r="E138" s="93">
        <v>0</v>
      </c>
      <c r="F138" s="93">
        <v>0</v>
      </c>
      <c r="G138" s="93">
        <v>-2.9103830456733704E-11</v>
      </c>
      <c r="H138" s="93">
        <v>0</v>
      </c>
      <c r="I138" s="93">
        <v>0</v>
      </c>
    </row>
    <row r="139" spans="1:9">
      <c r="A139" s="17"/>
      <c r="B139" s="17"/>
      <c r="C139" s="17"/>
      <c r="D139" s="17"/>
      <c r="E139" s="17"/>
      <c r="F139" s="67"/>
      <c r="G139" s="67"/>
      <c r="H139" s="67"/>
      <c r="I139" s="67"/>
    </row>
    <row r="140" spans="1:9" ht="17">
      <c r="A140" s="59" t="str">
        <f>HLOOKUP(INDICE!$F$2,Nombres!$C$3:$D$636,51,FALSE)</f>
        <v>Balance sheets</v>
      </c>
      <c r="B140" s="60"/>
      <c r="C140" s="60"/>
      <c r="D140" s="60"/>
      <c r="E140" s="60"/>
      <c r="F140" s="95"/>
      <c r="G140" s="95"/>
      <c r="H140" s="95"/>
      <c r="I140" s="95"/>
    </row>
    <row r="141" spans="1:9">
      <c r="A141" s="9" t="str">
        <f>HLOOKUP(INDICE!$F$2,Nombres!$C$3:$D$636,74,FALSE)</f>
        <v>(Million Mexican pesos)</v>
      </c>
      <c r="B141" s="57"/>
      <c r="C141" s="78"/>
      <c r="D141" s="78"/>
      <c r="E141" s="78"/>
      <c r="F141" s="96"/>
      <c r="G141" s="70"/>
      <c r="H141" s="70"/>
      <c r="I141" s="70"/>
    </row>
    <row r="142" spans="1:9">
      <c r="A142" s="57"/>
      <c r="B142" s="80">
        <f t="shared" ref="B142:I142" si="24">+B$30</f>
        <v>45747</v>
      </c>
      <c r="C142" s="80">
        <f t="shared" si="24"/>
        <v>45838</v>
      </c>
      <c r="D142" s="80">
        <f t="shared" si="24"/>
        <v>45930</v>
      </c>
      <c r="E142" s="92">
        <f t="shared" si="24"/>
        <v>46022</v>
      </c>
      <c r="F142" s="80">
        <f t="shared" si="24"/>
        <v>46112</v>
      </c>
      <c r="G142" s="80">
        <f t="shared" si="24"/>
        <v>46203</v>
      </c>
      <c r="H142" s="80">
        <f t="shared" si="24"/>
        <v>46295</v>
      </c>
      <c r="I142" s="80">
        <f t="shared" si="24"/>
        <v>46387</v>
      </c>
    </row>
    <row r="143" spans="1:9">
      <c r="A143" s="7" t="str">
        <f>HLOOKUP(INDICE!$F$2,Nombres!$C$3:$D$636,52,FALSE)</f>
        <v>Cash, cash balances at central banks and other demand deposits</v>
      </c>
      <c r="B143" s="70">
        <v>289798.48448407336</v>
      </c>
      <c r="C143" s="70">
        <v>235747.30062030486</v>
      </c>
      <c r="D143" s="70">
        <v>265390.65354753134</v>
      </c>
      <c r="E143" s="71">
        <v>219992.83705275203</v>
      </c>
      <c r="F143" s="70">
        <v>195375.06564087051</v>
      </c>
      <c r="G143" s="70">
        <v>256115.0879950393</v>
      </c>
      <c r="H143" s="70">
        <v>0</v>
      </c>
      <c r="I143" s="70">
        <v>0</v>
      </c>
    </row>
    <row r="144" spans="1:9">
      <c r="A144" s="7" t="str">
        <f>HLOOKUP(INDICE!$F$2,Nombres!$C$3:$D$636,53,FALSE)</f>
        <v xml:space="preserve">Financial assets designated at fair value </v>
      </c>
      <c r="B144" s="79">
        <v>1094920.6817314303</v>
      </c>
      <c r="C144" s="79">
        <v>1174835.9790094579</v>
      </c>
      <c r="D144" s="79">
        <v>1181641.0573184988</v>
      </c>
      <c r="E144" s="89">
        <v>1269948.9225402926</v>
      </c>
      <c r="F144" s="70">
        <v>1231849.8367848757</v>
      </c>
      <c r="G144" s="70">
        <v>1275611.5919691937</v>
      </c>
      <c r="H144" s="70">
        <v>0</v>
      </c>
      <c r="I144" s="70">
        <v>0</v>
      </c>
    </row>
    <row r="145" spans="1:9">
      <c r="A145" s="7" t="str">
        <f>HLOOKUP(INDICE!$F$2,Nombres!$C$3:$D$636,54,FALSE)</f>
        <v>Financial assets at amortized cost</v>
      </c>
      <c r="B145" s="70">
        <v>2067748.8085590526</v>
      </c>
      <c r="C145" s="70">
        <v>2107078.290511773</v>
      </c>
      <c r="D145" s="70">
        <v>2123237.4715700541</v>
      </c>
      <c r="E145" s="71">
        <v>2227818.0050536604</v>
      </c>
      <c r="F145" s="70">
        <v>2272146.8018545853</v>
      </c>
      <c r="G145" s="70">
        <v>2359283.6077853586</v>
      </c>
      <c r="H145" s="70">
        <v>0</v>
      </c>
      <c r="I145" s="70">
        <v>0</v>
      </c>
    </row>
    <row r="146" spans="1:9">
      <c r="A146" s="7" t="str">
        <f>HLOOKUP(INDICE!$F$2,Nombres!$C$3:$D$636,55,FALSE)</f>
        <v xml:space="preserve">    of which loans and advances to customers</v>
      </c>
      <c r="B146" s="70">
        <v>1953026.7839696622</v>
      </c>
      <c r="C146" s="70">
        <v>1960664.5335816538</v>
      </c>
      <c r="D146" s="70">
        <v>1984058.781879477</v>
      </c>
      <c r="E146" s="71">
        <v>2053924.8328089272</v>
      </c>
      <c r="F146" s="70">
        <v>2109022.29091756</v>
      </c>
      <c r="G146" s="70">
        <v>2158835.7976773265</v>
      </c>
      <c r="H146" s="70">
        <v>0</v>
      </c>
      <c r="I146" s="70">
        <v>0</v>
      </c>
    </row>
    <row r="147" spans="1:9" hidden="1">
      <c r="A147" s="7"/>
      <c r="B147" s="70"/>
      <c r="C147" s="70"/>
      <c r="D147" s="70"/>
      <c r="E147" s="71"/>
      <c r="F147" s="70"/>
      <c r="G147" s="70"/>
      <c r="H147" s="70"/>
      <c r="I147" s="70"/>
    </row>
    <row r="148" spans="1:9">
      <c r="A148" s="7" t="str">
        <f>HLOOKUP(INDICE!$F$2,Nombres!$C$3:$D$636,56,FALSE)</f>
        <v>Tangible assets</v>
      </c>
      <c r="B148" s="70">
        <v>43296.261671588465</v>
      </c>
      <c r="C148" s="70">
        <v>43373.187301130885</v>
      </c>
      <c r="D148" s="70">
        <v>43186.691675232949</v>
      </c>
      <c r="E148" s="71">
        <v>43956.71575814778</v>
      </c>
      <c r="F148" s="70">
        <v>43433.428821058733</v>
      </c>
      <c r="G148" s="70">
        <v>43270.773949006514</v>
      </c>
      <c r="H148" s="70">
        <v>0</v>
      </c>
      <c r="I148" s="70">
        <v>0</v>
      </c>
    </row>
    <row r="149" spans="1:9">
      <c r="A149" s="7" t="str">
        <f>HLOOKUP(INDICE!$F$2,Nombres!$C$3:$D$636,57,FALSE)</f>
        <v>Other assets</v>
      </c>
      <c r="B149" s="79">
        <f>+B150-B148-B145-B144-B143</f>
        <v>98420.513315304532</v>
      </c>
      <c r="C149" s="79">
        <f t="shared" ref="C149:I149" si="25">+C150-C148-C145-C144-C143</f>
        <v>98089.847510295484</v>
      </c>
      <c r="D149" s="79">
        <f t="shared" si="25"/>
        <v>101647.32788176567</v>
      </c>
      <c r="E149" s="89">
        <f t="shared" si="25"/>
        <v>95567.587262545945</v>
      </c>
      <c r="F149" s="70">
        <f t="shared" si="25"/>
        <v>104045.76133163061</v>
      </c>
      <c r="G149" s="70">
        <f t="shared" si="25"/>
        <v>104802.09262902499</v>
      </c>
      <c r="H149" s="70">
        <f t="shared" si="25"/>
        <v>0</v>
      </c>
      <c r="I149" s="70">
        <f t="shared" si="25"/>
        <v>0</v>
      </c>
    </row>
    <row r="150" spans="1:9">
      <c r="A150" s="18" t="str">
        <f>HLOOKUP(INDICE!$F$2,Nombres!$C$3:$D$636,58,FALSE)</f>
        <v>Total assets / Liabilities and equity</v>
      </c>
      <c r="B150" s="18">
        <v>3594184.7497614492</v>
      </c>
      <c r="C150" s="18">
        <v>3659124.6049529621</v>
      </c>
      <c r="D150" s="18">
        <v>3715103.2019930827</v>
      </c>
      <c r="E150" s="18">
        <v>3857284.0676673986</v>
      </c>
      <c r="F150" s="88">
        <v>3846850.8944330211</v>
      </c>
      <c r="G150" s="88">
        <v>4039083.1543276231</v>
      </c>
      <c r="H150" s="88">
        <v>0</v>
      </c>
      <c r="I150" s="88">
        <v>0</v>
      </c>
    </row>
    <row r="151" spans="1:9">
      <c r="A151" s="7" t="str">
        <f>HLOOKUP(INDICE!$F$2,Nombres!$C$3:$D$636,59,FALSE)</f>
        <v>Financial liabilities held for trading and designated at fair value through profit or loss</v>
      </c>
      <c r="B151" s="79">
        <v>552929.16572229262</v>
      </c>
      <c r="C151" s="79">
        <v>627501.383223649</v>
      </c>
      <c r="D151" s="79">
        <v>657703.35499319807</v>
      </c>
      <c r="E151" s="89">
        <v>688117.97162432026</v>
      </c>
      <c r="F151" s="70">
        <v>641300.00983766699</v>
      </c>
      <c r="G151" s="70">
        <v>741628.09377811197</v>
      </c>
      <c r="H151" s="70">
        <v>0</v>
      </c>
      <c r="I151" s="70">
        <v>0</v>
      </c>
    </row>
    <row r="152" spans="1:9">
      <c r="A152" s="7" t="str">
        <f>HLOOKUP(INDICE!$F$2,Nombres!$C$3:$D$636,60,FALSE)</f>
        <v>Deposits from central banks and credit institutions</v>
      </c>
      <c r="B152" s="79">
        <v>176537.27538712593</v>
      </c>
      <c r="C152" s="79">
        <v>171644.79653008014</v>
      </c>
      <c r="D152" s="79">
        <v>146694.28945469286</v>
      </c>
      <c r="E152" s="89">
        <v>127299.85306844953</v>
      </c>
      <c r="F152" s="70">
        <v>125451.6171410775</v>
      </c>
      <c r="G152" s="70">
        <v>116444.1335460188</v>
      </c>
      <c r="H152" s="70">
        <v>0</v>
      </c>
      <c r="I152" s="70">
        <v>0</v>
      </c>
    </row>
    <row r="153" spans="1:9">
      <c r="A153" s="7" t="str">
        <f>HLOOKUP(INDICE!$F$2,Nombres!$C$3:$D$636,61,FALSE)</f>
        <v>Deposits from customers</v>
      </c>
      <c r="B153" s="79">
        <v>1913515.02547991</v>
      </c>
      <c r="C153" s="79">
        <v>1889497.5248421063</v>
      </c>
      <c r="D153" s="79">
        <v>1885152.3150913361</v>
      </c>
      <c r="E153" s="89">
        <v>1982024.6738608177</v>
      </c>
      <c r="F153" s="70">
        <v>2056674.9451150922</v>
      </c>
      <c r="G153" s="70">
        <v>2095591.6467203174</v>
      </c>
      <c r="H153" s="70">
        <v>0</v>
      </c>
      <c r="I153" s="70">
        <v>0</v>
      </c>
    </row>
    <row r="154" spans="1:9">
      <c r="A154" s="7" t="str">
        <f>HLOOKUP(INDICE!$F$2,Nombres!$C$3:$D$636,62,FALSE)</f>
        <v>Debt certificates</v>
      </c>
      <c r="B154" s="70">
        <v>244861.75863967775</v>
      </c>
      <c r="C154" s="70">
        <v>244681.7560976464</v>
      </c>
      <c r="D154" s="70">
        <v>255334.74758597501</v>
      </c>
      <c r="E154" s="71">
        <v>246326.24987316204</v>
      </c>
      <c r="F154" s="70">
        <v>258991.28021441464</v>
      </c>
      <c r="G154" s="70">
        <v>267699.55203467963</v>
      </c>
      <c r="H154" s="70">
        <v>0</v>
      </c>
      <c r="I154" s="70">
        <v>0</v>
      </c>
    </row>
    <row r="155" spans="1:9" hidden="1">
      <c r="A155" s="7"/>
      <c r="B155" s="70"/>
      <c r="C155" s="70"/>
      <c r="D155" s="70"/>
      <c r="E155" s="71"/>
      <c r="F155" s="70"/>
      <c r="G155" s="70"/>
      <c r="H155" s="70"/>
      <c r="I155" s="70"/>
    </row>
    <row r="156" spans="1:9">
      <c r="A156" s="7" t="str">
        <f>HLOOKUP(INDICE!$F$2,Nombres!$C$3:$D$636,63,FALSE)</f>
        <v>Other liabilities</v>
      </c>
      <c r="B156" s="79">
        <f>+B150-B151-B152-B153-B154-B157</f>
        <v>439053.60723519331</v>
      </c>
      <c r="C156" s="79">
        <f t="shared" ref="C156:I156" si="26">+C150-C151-C152-C153-C154-C157</f>
        <v>464313.64204404026</v>
      </c>
      <c r="D156" s="79">
        <f t="shared" si="26"/>
        <v>508733.27856594679</v>
      </c>
      <c r="E156" s="89">
        <f t="shared" si="26"/>
        <v>580896.99875876389</v>
      </c>
      <c r="F156" s="70">
        <f t="shared" si="26"/>
        <v>524522.76224052859</v>
      </c>
      <c r="G156" s="70">
        <f t="shared" si="26"/>
        <v>583403.28826463036</v>
      </c>
      <c r="H156" s="70">
        <f t="shared" si="26"/>
        <v>0</v>
      </c>
      <c r="I156" s="70">
        <f t="shared" si="26"/>
        <v>0</v>
      </c>
    </row>
    <row r="157" spans="1:9">
      <c r="A157" s="7" t="str">
        <f>HLOOKUP(INDICE!$F$2,Nombres!$C$3:$D$636,282,FALSE)</f>
        <v>Allocated regulatory capital</v>
      </c>
      <c r="B157" s="70">
        <v>267287.91729724925</v>
      </c>
      <c r="C157" s="70">
        <v>261485.50221544006</v>
      </c>
      <c r="D157" s="70">
        <v>261485.21630193369</v>
      </c>
      <c r="E157" s="70">
        <v>232618.32048188508</v>
      </c>
      <c r="F157" s="70">
        <v>239910.27988424129</v>
      </c>
      <c r="G157" s="70">
        <v>234316.43998386478</v>
      </c>
      <c r="H157" s="70">
        <v>0</v>
      </c>
      <c r="I157" s="70">
        <v>0</v>
      </c>
    </row>
    <row r="158" spans="1:9">
      <c r="A158" s="8"/>
      <c r="B158" s="79"/>
      <c r="C158" s="79"/>
      <c r="D158" s="79"/>
      <c r="E158" s="79"/>
      <c r="F158" s="70"/>
      <c r="G158" s="70"/>
      <c r="H158" s="70"/>
      <c r="I158" s="70"/>
    </row>
    <row r="159" spans="1:9">
      <c r="A159" s="7"/>
      <c r="B159" s="79"/>
      <c r="C159" s="79"/>
      <c r="D159" s="79"/>
      <c r="E159" s="79"/>
      <c r="F159" s="70"/>
      <c r="G159" s="70"/>
      <c r="H159" s="70"/>
      <c r="I159" s="70"/>
    </row>
    <row r="160" spans="1:9" ht="17">
      <c r="A160" s="90" t="str">
        <f>HLOOKUP(INDICE!$F$2,Nombres!$C$3:$D$636,65,FALSE)</f>
        <v>Relevant business indicators</v>
      </c>
      <c r="B160" s="91"/>
      <c r="C160" s="91"/>
      <c r="D160" s="91"/>
      <c r="E160" s="91"/>
      <c r="F160" s="97"/>
      <c r="G160" s="97"/>
      <c r="H160" s="97"/>
      <c r="I160" s="97"/>
    </row>
    <row r="161" spans="1:9">
      <c r="A161" s="9" t="str">
        <f>HLOOKUP(INDICE!$F$2,Nombres!$C$3:$D$636,74,FALSE)</f>
        <v>(Million Mexican pesos)</v>
      </c>
      <c r="B161" s="57"/>
      <c r="C161" s="57"/>
      <c r="D161" s="57"/>
      <c r="E161" s="57"/>
      <c r="F161" s="96"/>
      <c r="G161" s="70"/>
      <c r="H161" s="70"/>
      <c r="I161" s="70"/>
    </row>
    <row r="162" spans="1:9" ht="15.75" customHeight="1">
      <c r="A162" s="57"/>
      <c r="B162" s="80">
        <f t="shared" ref="B162:I162" si="27">+B$30</f>
        <v>45747</v>
      </c>
      <c r="C162" s="80">
        <f t="shared" si="27"/>
        <v>45838</v>
      </c>
      <c r="D162" s="80">
        <f t="shared" si="27"/>
        <v>45930</v>
      </c>
      <c r="E162" s="92">
        <f t="shared" si="27"/>
        <v>46022</v>
      </c>
      <c r="F162" s="80">
        <f t="shared" si="27"/>
        <v>46112</v>
      </c>
      <c r="G162" s="80">
        <f t="shared" si="27"/>
        <v>46203</v>
      </c>
      <c r="H162" s="80">
        <f t="shared" si="27"/>
        <v>46295</v>
      </c>
      <c r="I162" s="80">
        <f t="shared" si="27"/>
        <v>46387</v>
      </c>
    </row>
    <row r="163" spans="1:9" ht="15.75" customHeight="1">
      <c r="A163" s="7" t="str">
        <f>HLOOKUP(INDICE!$F$2,Nombres!$C$3:$D$636,66,FALSE)</f>
        <v>Loans and advances to customers (gross) (*)</v>
      </c>
      <c r="B163" s="70">
        <v>2007021.1826832218</v>
      </c>
      <c r="C163" s="70">
        <v>2024641.5891298093</v>
      </c>
      <c r="D163" s="70">
        <v>2049696.3935229194</v>
      </c>
      <c r="E163" s="71">
        <v>2123645.8464551615</v>
      </c>
      <c r="F163" s="70">
        <v>2175854.0114287501</v>
      </c>
      <c r="G163" s="70">
        <v>2226880.8308763369</v>
      </c>
      <c r="H163" s="70">
        <v>0</v>
      </c>
      <c r="I163" s="70">
        <v>0</v>
      </c>
    </row>
    <row r="164" spans="1:9" ht="15.75" customHeight="1">
      <c r="A164" s="7" t="str">
        <f>HLOOKUP(INDICE!$F$2,Nombres!$C$3:$D$636,67,FALSE)</f>
        <v>Customer deposits under management (*)</v>
      </c>
      <c r="B164" s="70">
        <v>1892467.6068083702</v>
      </c>
      <c r="C164" s="70">
        <v>1889443.4929467065</v>
      </c>
      <c r="D164" s="70">
        <v>1885112.7834409368</v>
      </c>
      <c r="E164" s="71">
        <v>1981222.422158683</v>
      </c>
      <c r="F164" s="70">
        <v>2037679.6621051629</v>
      </c>
      <c r="G164" s="70">
        <v>2018830.4330223049</v>
      </c>
      <c r="H164" s="70">
        <v>0</v>
      </c>
      <c r="I164" s="70">
        <v>0</v>
      </c>
    </row>
    <row r="165" spans="1:9" ht="15.75" customHeight="1">
      <c r="A165" s="7" t="str">
        <f>HLOOKUP(INDICE!$F$2,Nombres!$C$3:$D$636,68,FALSE)</f>
        <v>Investment funds and managed portfolios</v>
      </c>
      <c r="B165" s="70">
        <v>1187944.9886812826</v>
      </c>
      <c r="C165" s="70">
        <v>1243672.3126427459</v>
      </c>
      <c r="D165" s="70">
        <v>1314528.3856725628</v>
      </c>
      <c r="E165" s="71">
        <v>1323187.0000731102</v>
      </c>
      <c r="F165" s="70">
        <v>1338099.0317680049</v>
      </c>
      <c r="G165" s="70">
        <v>1402262.6812260631</v>
      </c>
      <c r="H165" s="70">
        <v>0</v>
      </c>
      <c r="I165" s="70">
        <v>0</v>
      </c>
    </row>
    <row r="166" spans="1:9" ht="15.75" customHeight="1">
      <c r="A166" s="7" t="str">
        <f>HLOOKUP(INDICE!$F$2,Nombres!$C$3:$D$636,69,FALSE)</f>
        <v>Pension funds</v>
      </c>
      <c r="B166" s="70">
        <v>0</v>
      </c>
      <c r="C166" s="70">
        <v>0</v>
      </c>
      <c r="D166" s="70">
        <v>0</v>
      </c>
      <c r="E166" s="71">
        <v>0</v>
      </c>
      <c r="F166" s="70">
        <v>0</v>
      </c>
      <c r="G166" s="70">
        <v>0</v>
      </c>
      <c r="H166" s="70">
        <v>0</v>
      </c>
      <c r="I166" s="70">
        <v>0</v>
      </c>
    </row>
    <row r="167" spans="1:9">
      <c r="A167" s="7" t="str">
        <f>HLOOKUP(INDICE!$F$2,Nombres!$C$3:$D$636,70,FALSE)</f>
        <v>Other off balance-sheet funds</v>
      </c>
      <c r="B167" s="70">
        <v>106147.50494756001</v>
      </c>
      <c r="C167" s="70">
        <v>120072.12487615002</v>
      </c>
      <c r="D167" s="70">
        <v>140837.53470214992</v>
      </c>
      <c r="E167" s="71">
        <v>145210.22401103997</v>
      </c>
      <c r="F167" s="70">
        <v>156532.60407031002</v>
      </c>
      <c r="G167" s="70">
        <v>169209.87418838468</v>
      </c>
      <c r="H167" s="70">
        <v>0</v>
      </c>
      <c r="I167" s="70">
        <v>0</v>
      </c>
    </row>
    <row r="168" spans="1:9">
      <c r="A168" s="8" t="str">
        <f>HLOOKUP(INDICE!$F$2,Nombres!$C$3:$D$636,71,FALSE)</f>
        <v xml:space="preserve">(*) Excluding repos. </v>
      </c>
      <c r="B168" s="79"/>
      <c r="C168" s="79"/>
      <c r="D168" s="79"/>
      <c r="E168" s="79"/>
      <c r="F168" s="70"/>
      <c r="G168" s="70"/>
      <c r="H168" s="70"/>
      <c r="I168" s="70"/>
    </row>
    <row r="169" spans="1:9">
      <c r="A169" s="8">
        <f>HLOOKUP(INDICE!$F$2,Nombres!$C$3:$D$636,72,FALSE)</f>
        <v>0</v>
      </c>
      <c r="B169" s="57"/>
      <c r="C169" s="57"/>
      <c r="D169" s="57"/>
      <c r="E169" s="57"/>
      <c r="F169" s="57"/>
      <c r="G169" s="57"/>
      <c r="H169" s="57"/>
      <c r="I169" s="57"/>
    </row>
    <row r="170" spans="1:9">
      <c r="A170" s="57"/>
      <c r="B170" s="57"/>
      <c r="C170" s="57"/>
      <c r="D170" s="57"/>
      <c r="E170" s="57"/>
      <c r="F170" s="57"/>
      <c r="G170" s="57"/>
      <c r="H170" s="57"/>
      <c r="I170" s="57"/>
    </row>
    <row r="171" spans="1:9">
      <c r="A171" s="57"/>
      <c r="B171" s="57"/>
      <c r="C171" s="57"/>
      <c r="D171" s="57"/>
      <c r="E171" s="57"/>
      <c r="F171" s="57"/>
      <c r="G171" s="57"/>
      <c r="H171" s="57"/>
      <c r="I171" s="57"/>
    </row>
    <row r="172" spans="1:9">
      <c r="A172" s="98"/>
      <c r="C172" s="99"/>
      <c r="D172" s="99"/>
      <c r="E172" s="99"/>
    </row>
    <row r="173" spans="1:9">
      <c r="A173" s="98"/>
      <c r="C173" s="99"/>
      <c r="D173" s="99"/>
      <c r="E173" s="99"/>
    </row>
    <row r="1006" spans="1:1">
      <c r="A1006" t="s">
        <v>557</v>
      </c>
    </row>
  </sheetData>
  <mergeCells count="6">
    <mergeCell ref="B6:E6"/>
    <mergeCell ref="F6:I6"/>
    <mergeCell ref="B62:E62"/>
    <mergeCell ref="F62:I62"/>
    <mergeCell ref="B118:E118"/>
    <mergeCell ref="F118:I118"/>
  </mergeCells>
  <conditionalFormatting sqref="B26:I26">
    <cfRule type="cellIs" dxfId="41" priority="3" operator="notBetween">
      <formula>0.5</formula>
      <formula>-0.5</formula>
    </cfRule>
  </conditionalFormatting>
  <conditionalFormatting sqref="B82:I82">
    <cfRule type="cellIs" dxfId="40" priority="2" operator="notBetween">
      <formula>0.5</formula>
      <formula>-0.5</formula>
    </cfRule>
  </conditionalFormatting>
  <conditionalFormatting sqref="B138:I138">
    <cfRule type="cellIs" dxfId="39" priority="1" operator="notBetween">
      <formula>0.5</formula>
      <formula>-0.5</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320FA-BA58-4E93-8823-B76E1B8BE410}">
  <sheetPr>
    <tabColor theme="8"/>
  </sheetPr>
  <dimension ref="A1:M1006"/>
  <sheetViews>
    <sheetView showGridLines="0" workbookViewId="0">
      <selection activeCell="I1" sqref="H1:I1048576"/>
    </sheetView>
  </sheetViews>
  <sheetFormatPr baseColWidth="10" defaultColWidth="11.453125" defaultRowHeight="14.5"/>
  <cols>
    <col min="1" max="1" width="62" customWidth="1"/>
    <col min="8" max="9" width="0" hidden="1" customWidth="1"/>
  </cols>
  <sheetData>
    <row r="1" spans="1:9" ht="17">
      <c r="A1" s="56" t="str">
        <f>HLOOKUP(INDICE!$F$2,Nombres!$C$3:$D$636,12,FALSE)</f>
        <v xml:space="preserve">Turkey </v>
      </c>
      <c r="B1" s="57"/>
      <c r="C1" s="57"/>
      <c r="D1" s="57"/>
      <c r="E1" s="57"/>
      <c r="F1" s="57"/>
      <c r="G1" s="57"/>
      <c r="H1" s="57"/>
      <c r="I1" s="57"/>
    </row>
    <row r="2" spans="1:9" ht="19.5">
      <c r="A2" s="58"/>
      <c r="B2" s="57"/>
      <c r="C2" s="57"/>
      <c r="D2" s="57"/>
      <c r="E2" s="57"/>
      <c r="F2" s="57"/>
      <c r="G2" s="57"/>
      <c r="H2" s="57"/>
      <c r="I2" s="57"/>
    </row>
    <row r="3" spans="1:9" ht="17">
      <c r="A3" s="59" t="str">
        <f>HLOOKUP(INDICE!$F$2,Nombres!$C$3:$D$636,31,FALSE)</f>
        <v xml:space="preserve">Income statement  </v>
      </c>
      <c r="B3" s="60"/>
      <c r="C3" s="60"/>
      <c r="D3" s="60"/>
      <c r="E3" s="60"/>
      <c r="F3" s="60"/>
      <c r="G3" s="60"/>
      <c r="H3" s="60"/>
      <c r="I3" s="60"/>
    </row>
    <row r="4" spans="1:9">
      <c r="A4" s="9" t="str">
        <f>HLOOKUP(INDICE!$F$2,Nombres!$C$3:$D$636,32,FALSE)</f>
        <v>(Million euros)</v>
      </c>
      <c r="B4" s="57"/>
      <c r="C4" s="61"/>
      <c r="D4" s="61"/>
      <c r="E4" s="61"/>
      <c r="F4" s="57"/>
      <c r="G4" s="57"/>
      <c r="H4" s="57"/>
      <c r="I4" s="57"/>
    </row>
    <row r="5" spans="1:9">
      <c r="A5" s="62"/>
      <c r="B5" s="57"/>
      <c r="C5" s="61"/>
      <c r="D5" s="61"/>
      <c r="E5" s="61"/>
      <c r="F5" s="57"/>
      <c r="G5" s="57"/>
      <c r="H5" s="57"/>
      <c r="I5" s="57"/>
    </row>
    <row r="6" spans="1:9">
      <c r="A6" s="63"/>
      <c r="B6" s="257">
        <f>+España!B6</f>
        <v>2025</v>
      </c>
      <c r="C6" s="257"/>
      <c r="D6" s="257"/>
      <c r="E6" s="258"/>
      <c r="F6" s="257">
        <f>+España!F6</f>
        <v>2026</v>
      </c>
      <c r="G6" s="257"/>
      <c r="H6" s="257"/>
      <c r="I6" s="257"/>
    </row>
    <row r="7" spans="1:9">
      <c r="A7" s="63"/>
      <c r="B7" s="64" t="str">
        <f>+España!B7</f>
        <v>1Q</v>
      </c>
      <c r="C7" s="64" t="str">
        <f>+España!C7</f>
        <v>2Q</v>
      </c>
      <c r="D7" s="64" t="str">
        <f>+España!D7</f>
        <v>3Q</v>
      </c>
      <c r="E7" s="65" t="str">
        <f>+España!E7</f>
        <v>4Q</v>
      </c>
      <c r="F7" s="64" t="str">
        <f>+España!F7</f>
        <v>1Q</v>
      </c>
      <c r="G7" s="64" t="str">
        <f>+España!G7</f>
        <v>2Q</v>
      </c>
      <c r="H7" s="64" t="str">
        <f>+España!H7</f>
        <v>3Q</v>
      </c>
      <c r="I7" s="64" t="str">
        <f>+España!I7</f>
        <v>4Q</v>
      </c>
    </row>
    <row r="8" spans="1:9">
      <c r="A8" s="17" t="str">
        <f>HLOOKUP(INDICE!$F$2,Nombres!$C$3:$D$636,33,FALSE)</f>
        <v>Net interest income</v>
      </c>
      <c r="B8" s="17">
        <v>701.1889999960008</v>
      </c>
      <c r="C8" s="17">
        <v>605.34799999299571</v>
      </c>
      <c r="D8" s="17">
        <v>830.785999999002</v>
      </c>
      <c r="E8" s="66">
        <v>942.07500000600294</v>
      </c>
      <c r="F8" s="67">
        <v>1121.0410000000008</v>
      </c>
      <c r="G8" s="67">
        <v>1031.1339999999987</v>
      </c>
      <c r="H8" s="67">
        <v>0</v>
      </c>
      <c r="I8" s="67">
        <v>0</v>
      </c>
    </row>
    <row r="9" spans="1:9">
      <c r="A9" s="7" t="str">
        <f>HLOOKUP(INDICE!$F$2,Nombres!$C$3:$D$636,34,FALSE)</f>
        <v>Net fees and commissions</v>
      </c>
      <c r="B9" s="70">
        <v>549.47799999800031</v>
      </c>
      <c r="C9" s="70">
        <v>508.2089999989999</v>
      </c>
      <c r="D9" s="70">
        <v>544.3095634230001</v>
      </c>
      <c r="E9" s="71">
        <v>520.96967213900007</v>
      </c>
      <c r="F9" s="70">
        <v>564.57716726099989</v>
      </c>
      <c r="G9" s="70">
        <v>637.51060653000002</v>
      </c>
      <c r="H9" s="70">
        <v>0</v>
      </c>
      <c r="I9" s="70">
        <v>0</v>
      </c>
    </row>
    <row r="10" spans="1:9">
      <c r="A10" s="7" t="str">
        <f>HLOOKUP(INDICE!$F$2,Nombres!$C$3:$D$636,35,FALSE)</f>
        <v>Net trading income</v>
      </c>
      <c r="B10" s="70">
        <v>123.54615368700007</v>
      </c>
      <c r="C10" s="70">
        <v>97.597247127999935</v>
      </c>
      <c r="D10" s="70">
        <v>118.50622063800007</v>
      </c>
      <c r="E10" s="71">
        <v>54.454707911999755</v>
      </c>
      <c r="F10" s="70">
        <v>146.07859285000001</v>
      </c>
      <c r="G10" s="70">
        <v>73.451401667000241</v>
      </c>
      <c r="H10" s="70">
        <v>0</v>
      </c>
      <c r="I10" s="70">
        <v>0</v>
      </c>
    </row>
    <row r="11" spans="1:9">
      <c r="A11" s="7" t="str">
        <f>HLOOKUP(INDICE!$F$2,Nombres!$C$3:$D$636,36,FALSE)</f>
        <v>Other operating income and expenses</v>
      </c>
      <c r="B11" s="70">
        <v>-107.22100000000009</v>
      </c>
      <c r="C11" s="70">
        <v>-69.442999999999955</v>
      </c>
      <c r="D11" s="70">
        <v>-126.34899999999996</v>
      </c>
      <c r="E11" s="71">
        <v>-80.774799999999971</v>
      </c>
      <c r="F11" s="70">
        <v>-119.64399799999994</v>
      </c>
      <c r="G11" s="70">
        <v>-81.754000000000147</v>
      </c>
      <c r="H11" s="70">
        <v>0</v>
      </c>
      <c r="I11" s="70">
        <v>0</v>
      </c>
    </row>
    <row r="12" spans="1:9">
      <c r="A12" s="17" t="str">
        <f>HLOOKUP(INDICE!$F$2,Nombres!$C$3:$D$636,37,FALSE)</f>
        <v>Gross income</v>
      </c>
      <c r="B12" s="17">
        <f>+SUM(B8:B11)</f>
        <v>1266.9921536810011</v>
      </c>
      <c r="C12" s="17">
        <f t="shared" ref="C12:I12" si="0">+SUM(C8:C11)</f>
        <v>1141.7112471199955</v>
      </c>
      <c r="D12" s="17">
        <f t="shared" si="0"/>
        <v>1367.2527840600023</v>
      </c>
      <c r="E12" s="66">
        <f t="shared" si="0"/>
        <v>1436.7245800570029</v>
      </c>
      <c r="F12" s="67">
        <f t="shared" si="0"/>
        <v>1712.0527621110007</v>
      </c>
      <c r="G12" s="67">
        <f t="shared" si="0"/>
        <v>1660.3420081969989</v>
      </c>
      <c r="H12" s="67">
        <f t="shared" si="0"/>
        <v>0</v>
      </c>
      <c r="I12" s="67">
        <f t="shared" si="0"/>
        <v>0</v>
      </c>
    </row>
    <row r="13" spans="1:9">
      <c r="A13" s="7" t="str">
        <f>HLOOKUP(INDICE!$F$2,Nombres!$C$3:$D$636,38,FALSE)</f>
        <v>Operating expenses</v>
      </c>
      <c r="B13" s="70">
        <v>-576.9803163250001</v>
      </c>
      <c r="C13" s="70">
        <v>-502.70361532099997</v>
      </c>
      <c r="D13" s="70">
        <v>-570.96352262599987</v>
      </c>
      <c r="E13" s="71">
        <v>-664.48747609100064</v>
      </c>
      <c r="F13" s="70">
        <v>-678.56838078499982</v>
      </c>
      <c r="G13" s="70">
        <v>-690.01674259499964</v>
      </c>
      <c r="H13" s="70">
        <v>0</v>
      </c>
      <c r="I13" s="70">
        <v>0</v>
      </c>
    </row>
    <row r="14" spans="1:9">
      <c r="A14" s="7" t="str">
        <f>HLOOKUP(INDICE!$F$2,Nombres!$C$3:$D$636,39,FALSE)</f>
        <v xml:space="preserve">  Administration expenses</v>
      </c>
      <c r="B14" s="70">
        <v>-518.19529632500019</v>
      </c>
      <c r="C14" s="70">
        <v>-447.163596321</v>
      </c>
      <c r="D14" s="70">
        <v>-509.5005026259999</v>
      </c>
      <c r="E14" s="71">
        <v>-609.0684620910007</v>
      </c>
      <c r="F14" s="70">
        <v>-613.0163807849998</v>
      </c>
      <c r="G14" s="70">
        <v>-621.00274259499963</v>
      </c>
      <c r="H14" s="70">
        <v>0</v>
      </c>
      <c r="I14" s="70">
        <v>0</v>
      </c>
    </row>
    <row r="15" spans="1:9">
      <c r="A15" s="72" t="str">
        <f>HLOOKUP(INDICE!$F$2,Nombres!$C$3:$D$636,40,FALSE)</f>
        <v xml:space="preserve">  Personnel expenses</v>
      </c>
      <c r="B15" s="70">
        <v>-333.20900000000017</v>
      </c>
      <c r="C15" s="70">
        <v>-282.34899999899994</v>
      </c>
      <c r="D15" s="70">
        <v>-336.52300000099979</v>
      </c>
      <c r="E15" s="71">
        <v>-358.95700000100027</v>
      </c>
      <c r="F15" s="70">
        <v>-395.18199999999979</v>
      </c>
      <c r="G15" s="70">
        <v>-401.02199999999988</v>
      </c>
      <c r="H15" s="70">
        <v>0</v>
      </c>
      <c r="I15" s="70">
        <v>0</v>
      </c>
    </row>
    <row r="16" spans="1:9">
      <c r="A16" s="72" t="str">
        <f>HLOOKUP(INDICE!$F$2,Nombres!$C$3:$D$636,41,FALSE)</f>
        <v xml:space="preserve">  General and administrative expenses</v>
      </c>
      <c r="B16" s="70">
        <v>-184.98629632499998</v>
      </c>
      <c r="C16" s="70">
        <v>-164.81459632200009</v>
      </c>
      <c r="D16" s="70">
        <v>-172.97750262500003</v>
      </c>
      <c r="E16" s="71">
        <v>-250.1114620900004</v>
      </c>
      <c r="F16" s="70">
        <v>-217.83438078500001</v>
      </c>
      <c r="G16" s="70">
        <v>-219.98074259499978</v>
      </c>
      <c r="H16" s="70">
        <v>0</v>
      </c>
      <c r="I16" s="70">
        <v>0</v>
      </c>
    </row>
    <row r="17" spans="1:9">
      <c r="A17" s="7" t="str">
        <f>HLOOKUP(INDICE!$F$2,Nombres!$C$3:$D$636,42,FALSE)</f>
        <v xml:space="preserve">  Depreciation</v>
      </c>
      <c r="B17" s="70">
        <v>-58.785020000000003</v>
      </c>
      <c r="C17" s="70">
        <v>-55.540019000000001</v>
      </c>
      <c r="D17" s="70">
        <v>-61.463020000000014</v>
      </c>
      <c r="E17" s="71">
        <v>-55.419013999999997</v>
      </c>
      <c r="F17" s="70">
        <v>-65.552000000000007</v>
      </c>
      <c r="G17" s="70">
        <v>-69.01400000000001</v>
      </c>
      <c r="H17" s="70">
        <v>0</v>
      </c>
      <c r="I17" s="70">
        <v>0</v>
      </c>
    </row>
    <row r="18" spans="1:9">
      <c r="A18" s="17" t="str">
        <f>HLOOKUP(INDICE!$F$2,Nombres!$C$3:$D$636,43,FALSE)</f>
        <v>Operating income</v>
      </c>
      <c r="B18" s="17">
        <f>+B12+B13</f>
        <v>690.01183735600102</v>
      </c>
      <c r="C18" s="17">
        <f t="shared" ref="C18:I18" si="1">+C12+C13</f>
        <v>639.00763179899559</v>
      </c>
      <c r="D18" s="17">
        <f t="shared" si="1"/>
        <v>796.28926143400247</v>
      </c>
      <c r="E18" s="66">
        <f t="shared" si="1"/>
        <v>772.23710396600222</v>
      </c>
      <c r="F18" s="67">
        <f t="shared" si="1"/>
        <v>1033.4843813260009</v>
      </c>
      <c r="G18" s="67">
        <f t="shared" si="1"/>
        <v>970.32526560199926</v>
      </c>
      <c r="H18" s="67">
        <f t="shared" si="1"/>
        <v>0</v>
      </c>
      <c r="I18" s="67">
        <f t="shared" si="1"/>
        <v>0</v>
      </c>
    </row>
    <row r="19" spans="1:9">
      <c r="A19" s="7" t="str">
        <f>HLOOKUP(INDICE!$F$2,Nombres!$C$3:$D$636,44,FALSE)</f>
        <v>Impaiment on financial assets not measured at fair value through profit or loss</v>
      </c>
      <c r="B19" s="70">
        <v>-234.32600000000005</v>
      </c>
      <c r="C19" s="70">
        <v>-173.03399999999988</v>
      </c>
      <c r="D19" s="70">
        <v>-259.94400000000007</v>
      </c>
      <c r="E19" s="71">
        <v>-332.48090002300023</v>
      </c>
      <c r="F19" s="70">
        <v>-352.05700000000002</v>
      </c>
      <c r="G19" s="70">
        <v>-333.08500199999986</v>
      </c>
      <c r="H19" s="70">
        <v>0</v>
      </c>
      <c r="I19" s="70">
        <v>0</v>
      </c>
    </row>
    <row r="20" spans="1:9">
      <c r="A20" s="7" t="str">
        <f>HLOOKUP(INDICE!$F$2,Nombres!$C$3:$D$636,45,FALSE)</f>
        <v>Provisions or reversal of provisions and other results</v>
      </c>
      <c r="B20" s="70">
        <v>-2.468999999999995</v>
      </c>
      <c r="C20" s="70">
        <v>12.991000000000005</v>
      </c>
      <c r="D20" s="70">
        <v>-23.372000000000003</v>
      </c>
      <c r="E20" s="71">
        <v>-21.50631800099999</v>
      </c>
      <c r="F20" s="70">
        <v>-15.702002</v>
      </c>
      <c r="G20" s="70">
        <v>-15.24999900000002</v>
      </c>
      <c r="H20" s="70">
        <v>0</v>
      </c>
      <c r="I20" s="70">
        <v>0</v>
      </c>
    </row>
    <row r="21" spans="1:9">
      <c r="A21" s="17" t="str">
        <f>HLOOKUP(INDICE!$F$2,Nombres!$C$3:$D$636,46,FALSE)</f>
        <v>Profit/(loss) before tax</v>
      </c>
      <c r="B21" s="17">
        <f>+B18+B19+B20</f>
        <v>453.21683735600101</v>
      </c>
      <c r="C21" s="17">
        <f t="shared" ref="C21:I21" si="2">+C18+C19+C20</f>
        <v>478.9646317989957</v>
      </c>
      <c r="D21" s="17">
        <f t="shared" si="2"/>
        <v>512.97326143400244</v>
      </c>
      <c r="E21" s="66">
        <f t="shared" si="2"/>
        <v>418.24988594200198</v>
      </c>
      <c r="F21" s="67">
        <f t="shared" si="2"/>
        <v>665.72537932600085</v>
      </c>
      <c r="G21" s="67">
        <f t="shared" si="2"/>
        <v>621.99026460199946</v>
      </c>
      <c r="H21" s="67">
        <f t="shared" si="2"/>
        <v>0</v>
      </c>
      <c r="I21" s="67">
        <f t="shared" si="2"/>
        <v>0</v>
      </c>
    </row>
    <row r="22" spans="1:9">
      <c r="A22" s="7" t="str">
        <f>HLOOKUP(INDICE!$F$2,Nombres!$C$3:$D$636,47,FALSE)</f>
        <v>Income tax</v>
      </c>
      <c r="B22" s="70">
        <v>-264.56865120679987</v>
      </c>
      <c r="C22" s="70">
        <v>-177.70158953970014</v>
      </c>
      <c r="D22" s="70">
        <v>-232.01527843019963</v>
      </c>
      <c r="E22" s="71">
        <v>-230.07890051835045</v>
      </c>
      <c r="F22" s="70">
        <v>-354.10937027239999</v>
      </c>
      <c r="G22" s="70">
        <v>-302.39946107207987</v>
      </c>
      <c r="H22" s="70">
        <v>0</v>
      </c>
      <c r="I22" s="70">
        <v>0</v>
      </c>
    </row>
    <row r="23" spans="1:9">
      <c r="A23" s="17" t="str">
        <f>HLOOKUP(INDICE!$F$2,Nombres!$C$3:$D$636,48,FALSE)</f>
        <v>Profit/(loss) for the year</v>
      </c>
      <c r="B23" s="17">
        <f>+B21+B22</f>
        <v>188.64818614920114</v>
      </c>
      <c r="C23" s="17">
        <f t="shared" ref="C23:I23" si="3">+C21+C22</f>
        <v>301.26304225929556</v>
      </c>
      <c r="D23" s="17">
        <f t="shared" si="3"/>
        <v>280.95798300380284</v>
      </c>
      <c r="E23" s="66">
        <f t="shared" si="3"/>
        <v>188.17098542365153</v>
      </c>
      <c r="F23" s="67">
        <f t="shared" si="3"/>
        <v>311.61600905360086</v>
      </c>
      <c r="G23" s="67">
        <f t="shared" si="3"/>
        <v>319.59080352991958</v>
      </c>
      <c r="H23" s="67">
        <f t="shared" si="3"/>
        <v>0</v>
      </c>
      <c r="I23" s="67">
        <f t="shared" si="3"/>
        <v>0</v>
      </c>
    </row>
    <row r="24" spans="1:9">
      <c r="A24" s="7" t="str">
        <f>HLOOKUP(INDICE!$F$2,Nombres!$C$3:$D$636,49,FALSE)</f>
        <v>Non-controlling interests</v>
      </c>
      <c r="B24" s="70">
        <v>-30.527999997999959</v>
      </c>
      <c r="C24" s="70">
        <v>-47.391000001999998</v>
      </c>
      <c r="D24" s="70">
        <v>-44.666999999000112</v>
      </c>
      <c r="E24" s="71">
        <v>-31.45699999899999</v>
      </c>
      <c r="F24" s="70">
        <v>-49.01199900000001</v>
      </c>
      <c r="G24" s="70">
        <v>-50.328999999999979</v>
      </c>
      <c r="H24" s="70">
        <v>0</v>
      </c>
      <c r="I24" s="70">
        <v>0</v>
      </c>
    </row>
    <row r="25" spans="1:9">
      <c r="A25" s="18" t="str">
        <f>HLOOKUP(INDICE!$F$2,Nombres!$C$3:$D$636,50,FALSE)</f>
        <v>Net attributable profit</v>
      </c>
      <c r="B25" s="18">
        <f>+B23+B24</f>
        <v>158.12018615120118</v>
      </c>
      <c r="C25" s="18">
        <f t="shared" ref="C25:I25" si="4">+C23+C24</f>
        <v>253.87204225729556</v>
      </c>
      <c r="D25" s="18">
        <f t="shared" si="4"/>
        <v>236.29098300480274</v>
      </c>
      <c r="E25" s="18">
        <f t="shared" si="4"/>
        <v>156.71398542465153</v>
      </c>
      <c r="F25" s="88">
        <f t="shared" si="4"/>
        <v>262.60401005360086</v>
      </c>
      <c r="G25" s="88">
        <f t="shared" si="4"/>
        <v>269.26180352991958</v>
      </c>
      <c r="H25" s="88">
        <f t="shared" si="4"/>
        <v>0</v>
      </c>
      <c r="I25" s="88">
        <f t="shared" si="4"/>
        <v>0</v>
      </c>
    </row>
    <row r="26" spans="1:9">
      <c r="A26" s="8"/>
      <c r="B26" s="93">
        <v>2.2737367544323206E-13</v>
      </c>
      <c r="C26" s="93">
        <v>0</v>
      </c>
      <c r="D26" s="93">
        <v>0</v>
      </c>
      <c r="E26" s="93">
        <v>0</v>
      </c>
      <c r="F26" s="93">
        <v>-7.9580786405131221E-13</v>
      </c>
      <c r="G26" s="93">
        <v>6.8212102632969618E-13</v>
      </c>
      <c r="H26" s="93">
        <v>0</v>
      </c>
      <c r="I26" s="93">
        <v>0</v>
      </c>
    </row>
    <row r="27" spans="1:9">
      <c r="A27" s="17"/>
      <c r="B27" s="17"/>
      <c r="C27" s="17"/>
      <c r="D27" s="17"/>
      <c r="E27" s="17"/>
      <c r="F27" s="17"/>
      <c r="G27" s="17"/>
      <c r="H27" s="17"/>
      <c r="I27" s="17"/>
    </row>
    <row r="28" spans="1:9" ht="17">
      <c r="A28" s="59" t="str">
        <f>HLOOKUP(INDICE!$F$2,Nombres!$C$3:$D$636,51,FALSE)</f>
        <v>Balance sheets</v>
      </c>
      <c r="B28" s="60"/>
      <c r="C28" s="60"/>
      <c r="D28" s="60"/>
      <c r="E28" s="60"/>
      <c r="F28" s="60"/>
      <c r="G28" s="60"/>
      <c r="H28" s="60"/>
      <c r="I28" s="60"/>
    </row>
    <row r="29" spans="1:9">
      <c r="A29" s="9" t="str">
        <f>HLOOKUP(INDICE!$F$2,Nombres!$C$3:$D$636,32,FALSE)</f>
        <v>(Million euros)</v>
      </c>
      <c r="B29" s="57"/>
      <c r="C29" s="78"/>
      <c r="D29" s="78"/>
      <c r="E29" s="78"/>
      <c r="F29" s="57"/>
      <c r="G29" s="79"/>
      <c r="H29" s="79"/>
      <c r="I29" s="79"/>
    </row>
    <row r="30" spans="1:9">
      <c r="A30" s="57"/>
      <c r="B30" s="80">
        <f>+España!B32</f>
        <v>45747</v>
      </c>
      <c r="C30" s="80">
        <f>+España!C32</f>
        <v>45838</v>
      </c>
      <c r="D30" s="80">
        <f>+España!D32</f>
        <v>45930</v>
      </c>
      <c r="E30" s="92">
        <f>+España!E32</f>
        <v>46022</v>
      </c>
      <c r="F30" s="94">
        <f>+España!F32</f>
        <v>46112</v>
      </c>
      <c r="G30" s="94">
        <f>+España!G32</f>
        <v>46203</v>
      </c>
      <c r="H30" s="94">
        <f>+España!H32</f>
        <v>46295</v>
      </c>
      <c r="I30" s="94">
        <f>+España!I32</f>
        <v>46387</v>
      </c>
    </row>
    <row r="31" spans="1:9">
      <c r="A31" s="7" t="str">
        <f>HLOOKUP(INDICE!$F$2,Nombres!$C$3:$D$636,52,FALSE)</f>
        <v>Cash, cash balances at central banks and other demand deposits</v>
      </c>
      <c r="B31" s="70">
        <v>10536.392000000002</v>
      </c>
      <c r="C31" s="70">
        <v>9500.5739999999987</v>
      </c>
      <c r="D31" s="70">
        <v>9995.8310000000001</v>
      </c>
      <c r="E31" s="71">
        <v>9060.5519999999997</v>
      </c>
      <c r="F31" s="70">
        <v>9593.382999999998</v>
      </c>
      <c r="G31" s="70">
        <v>8163.2169999999987</v>
      </c>
      <c r="H31" s="70">
        <v>0</v>
      </c>
      <c r="I31" s="70">
        <v>0</v>
      </c>
    </row>
    <row r="32" spans="1:9">
      <c r="A32" s="7" t="str">
        <f>HLOOKUP(INDICE!$F$2,Nombres!$C$3:$D$636,53,FALSE)</f>
        <v xml:space="preserve">Financial assets designated at fair value </v>
      </c>
      <c r="B32" s="79">
        <v>4839.5640000000003</v>
      </c>
      <c r="C32" s="79">
        <v>4560.0420000000013</v>
      </c>
      <c r="D32" s="79">
        <v>4824.3200000000006</v>
      </c>
      <c r="E32" s="89">
        <v>5009.6960000000008</v>
      </c>
      <c r="F32" s="70">
        <v>8133.2349999999997</v>
      </c>
      <c r="G32" s="70">
        <v>6209.0219999999999</v>
      </c>
      <c r="H32" s="70">
        <v>0</v>
      </c>
      <c r="I32" s="70">
        <v>0</v>
      </c>
    </row>
    <row r="33" spans="1:9">
      <c r="A33" s="7" t="str">
        <f>HLOOKUP(INDICE!$F$2,Nombres!$C$3:$D$636,54,FALSE)</f>
        <v>Financial assets at amortized cost</v>
      </c>
      <c r="B33" s="70">
        <v>66112.928000500004</v>
      </c>
      <c r="C33" s="70">
        <v>64147.194999599989</v>
      </c>
      <c r="D33" s="70">
        <v>67483.791000199999</v>
      </c>
      <c r="E33" s="71">
        <v>72047.087000099986</v>
      </c>
      <c r="F33" s="70">
        <v>71519.4840004</v>
      </c>
      <c r="G33" s="70">
        <v>79299.835999999996</v>
      </c>
      <c r="H33" s="70">
        <v>0</v>
      </c>
      <c r="I33" s="70">
        <v>0</v>
      </c>
    </row>
    <row r="34" spans="1:9">
      <c r="A34" s="7" t="str">
        <f>HLOOKUP(INDICE!$F$2,Nombres!$C$3:$D$636,55,FALSE)</f>
        <v xml:space="preserve">    of which loans and advances to customers</v>
      </c>
      <c r="B34" s="70">
        <v>47891.609000500001</v>
      </c>
      <c r="C34" s="70">
        <v>48046.207999599988</v>
      </c>
      <c r="D34" s="70">
        <v>50627.991000199996</v>
      </c>
      <c r="E34" s="71">
        <v>53745.333000099992</v>
      </c>
      <c r="F34" s="70">
        <v>56951.946000399999</v>
      </c>
      <c r="G34" s="70">
        <v>59445.981</v>
      </c>
      <c r="H34" s="70">
        <v>0</v>
      </c>
      <c r="I34" s="70">
        <v>0</v>
      </c>
    </row>
    <row r="35" spans="1:9" hidden="1">
      <c r="A35" s="7"/>
      <c r="B35" s="70"/>
      <c r="C35" s="70"/>
      <c r="D35" s="70"/>
      <c r="E35" s="71"/>
      <c r="F35" s="70"/>
      <c r="G35" s="70"/>
      <c r="H35" s="70"/>
      <c r="I35" s="70"/>
    </row>
    <row r="36" spans="1:9">
      <c r="A36" s="7" t="str">
        <f>HLOOKUP(INDICE!$F$2,Nombres!$C$3:$D$636,56,FALSE)</f>
        <v>Tangible assets</v>
      </c>
      <c r="B36" s="70">
        <v>1998.038</v>
      </c>
      <c r="C36" s="70">
        <v>1808.2909999999997</v>
      </c>
      <c r="D36" s="70">
        <v>1825.6660000000002</v>
      </c>
      <c r="E36" s="71">
        <v>1904.64</v>
      </c>
      <c r="F36" s="70">
        <v>2046.664</v>
      </c>
      <c r="G36" s="70">
        <v>2066.4209999999998</v>
      </c>
      <c r="H36" s="70">
        <v>0</v>
      </c>
      <c r="I36" s="70">
        <v>0</v>
      </c>
    </row>
    <row r="37" spans="1:9">
      <c r="A37" s="7" t="str">
        <f>HLOOKUP(INDICE!$F$2,Nombres!$C$3:$D$636,57,FALSE)</f>
        <v>Other assets</v>
      </c>
      <c r="B37" s="79">
        <f>+B38-B36-B33-B32-B31</f>
        <v>2487.83500000001</v>
      </c>
      <c r="C37" s="79">
        <f t="shared" ref="C37:I37" si="5">+C38-C36-C33-C32-C31</f>
        <v>2466.1080003850166</v>
      </c>
      <c r="D37" s="79">
        <f t="shared" si="5"/>
        <v>2641.6570000000047</v>
      </c>
      <c r="E37" s="89">
        <f t="shared" si="5"/>
        <v>2679.9700000040393</v>
      </c>
      <c r="F37" s="70">
        <f t="shared" si="5"/>
        <v>2921.8460000000232</v>
      </c>
      <c r="G37" s="70">
        <f t="shared" si="5"/>
        <v>3146.3979999999883</v>
      </c>
      <c r="H37" s="70">
        <f t="shared" si="5"/>
        <v>0</v>
      </c>
      <c r="I37" s="70">
        <f t="shared" si="5"/>
        <v>0</v>
      </c>
    </row>
    <row r="38" spans="1:9">
      <c r="A38" s="18" t="str">
        <f>HLOOKUP(INDICE!$F$2,Nombres!$C$3:$D$636,58,FALSE)</f>
        <v>Total assets / Liabilities and equity</v>
      </c>
      <c r="B38" s="88">
        <v>85974.757000500016</v>
      </c>
      <c r="C38" s="88">
        <v>82482.209999985003</v>
      </c>
      <c r="D38" s="88">
        <v>86771.265000200001</v>
      </c>
      <c r="E38" s="100">
        <v>90701.945000104024</v>
      </c>
      <c r="F38" s="88">
        <v>94214.612000400026</v>
      </c>
      <c r="G38" s="88">
        <v>98884.893999999986</v>
      </c>
      <c r="H38" s="88">
        <v>0</v>
      </c>
      <c r="I38" s="88">
        <v>0</v>
      </c>
    </row>
    <row r="39" spans="1:9">
      <c r="A39" s="7" t="str">
        <f>HLOOKUP(INDICE!$F$2,Nombres!$C$3:$D$636,59,FALSE)</f>
        <v>Financial liabilities held for trading and designated at fair value through profit or loss</v>
      </c>
      <c r="B39" s="79">
        <v>1854.4489999999996</v>
      </c>
      <c r="C39" s="79">
        <v>1718.8319999999999</v>
      </c>
      <c r="D39" s="79">
        <v>1662.2460000000003</v>
      </c>
      <c r="E39" s="89">
        <v>1689.6029999999996</v>
      </c>
      <c r="F39" s="70">
        <v>1867.7890000000002</v>
      </c>
      <c r="G39" s="70">
        <v>1818.1880000000001</v>
      </c>
      <c r="H39" s="70">
        <v>0</v>
      </c>
      <c r="I39" s="70">
        <v>0</v>
      </c>
    </row>
    <row r="40" spans="1:9">
      <c r="A40" s="7" t="str">
        <f>HLOOKUP(INDICE!$F$2,Nombres!$C$3:$D$636,60,FALSE)</f>
        <v>Deposits from central banks and credit institutions</v>
      </c>
      <c r="B40" s="79">
        <v>3775.34</v>
      </c>
      <c r="C40" s="79">
        <v>4485.4189999999999</v>
      </c>
      <c r="D40" s="79">
        <v>4273.9010000000007</v>
      </c>
      <c r="E40" s="89">
        <v>3564.6010000000006</v>
      </c>
      <c r="F40" s="70">
        <v>3317.058</v>
      </c>
      <c r="G40" s="70">
        <v>4466.1829999999991</v>
      </c>
      <c r="H40" s="70">
        <v>0</v>
      </c>
      <c r="I40" s="70">
        <v>0</v>
      </c>
    </row>
    <row r="41" spans="1:9" ht="15.75" customHeight="1">
      <c r="A41" s="7" t="str">
        <f>HLOOKUP(INDICE!$F$2,Nombres!$C$3:$D$636,61,FALSE)</f>
        <v>Deposits from customers</v>
      </c>
      <c r="B41" s="79">
        <v>62374.892000000022</v>
      </c>
      <c r="C41" s="79">
        <v>58250.047999999995</v>
      </c>
      <c r="D41" s="79">
        <v>60866.130000000005</v>
      </c>
      <c r="E41" s="89">
        <v>62984.45199999999</v>
      </c>
      <c r="F41" s="70">
        <v>65432.887999999992</v>
      </c>
      <c r="G41" s="70">
        <v>68614.12</v>
      </c>
      <c r="H41" s="70">
        <v>0</v>
      </c>
      <c r="I41" s="70">
        <v>0</v>
      </c>
    </row>
    <row r="42" spans="1:9">
      <c r="A42" s="7" t="str">
        <f>HLOOKUP(INDICE!$F$2,Nombres!$C$3:$D$636,62,FALSE)</f>
        <v>Debt certificates</v>
      </c>
      <c r="B42" s="70">
        <v>4545.6956976000001</v>
      </c>
      <c r="C42" s="70">
        <v>5163.0545485000002</v>
      </c>
      <c r="D42" s="70">
        <v>6060.3019355191518</v>
      </c>
      <c r="E42" s="71">
        <v>7502.3197088170145</v>
      </c>
      <c r="F42" s="70">
        <v>7269.8081041266105</v>
      </c>
      <c r="G42" s="70">
        <v>7546.0652078947123</v>
      </c>
      <c r="H42" s="70">
        <v>0</v>
      </c>
      <c r="I42" s="70">
        <v>0</v>
      </c>
    </row>
    <row r="43" spans="1:9" hidden="1">
      <c r="A43" s="7"/>
      <c r="B43" s="70"/>
      <c r="C43" s="70"/>
      <c r="D43" s="70"/>
      <c r="E43" s="71"/>
      <c r="F43" s="70"/>
      <c r="G43" s="70"/>
      <c r="H43" s="70"/>
      <c r="I43" s="70"/>
    </row>
    <row r="44" spans="1:9">
      <c r="A44" s="7" t="str">
        <f>HLOOKUP(INDICE!$F$2,Nombres!$C$3:$D$636,63,FALSE)</f>
        <v>Other liabilities</v>
      </c>
      <c r="B44" s="79">
        <f>+B38-B39-B40-B41-B42-B45</f>
        <v>4665.1448568390042</v>
      </c>
      <c r="C44" s="79">
        <f t="shared" ref="C44:I44" si="6">+C38-C39-C40-C41-C42-C45</f>
        <v>4128.1106947890185</v>
      </c>
      <c r="D44" s="79">
        <f t="shared" si="6"/>
        <v>5093.9773502634471</v>
      </c>
      <c r="E44" s="89">
        <f t="shared" si="6"/>
        <v>5725.5748960929432</v>
      </c>
      <c r="F44" s="70">
        <f t="shared" si="6"/>
        <v>6937.3735776803042</v>
      </c>
      <c r="G44" s="70">
        <f t="shared" si="6"/>
        <v>6510.3830646939568</v>
      </c>
      <c r="H44" s="70">
        <f t="shared" si="6"/>
        <v>0</v>
      </c>
      <c r="I44" s="70">
        <f t="shared" si="6"/>
        <v>0</v>
      </c>
    </row>
    <row r="45" spans="1:9">
      <c r="A45" s="7" t="str">
        <f>HLOOKUP(INDICE!$F$2,Nombres!$C$3:$D$636,282,FALSE)</f>
        <v>Allocated regulatory capital</v>
      </c>
      <c r="B45" s="70">
        <v>8759.2354460610004</v>
      </c>
      <c r="C45" s="70">
        <v>8736.7457566960002</v>
      </c>
      <c r="D45" s="70">
        <v>8814.7087144174002</v>
      </c>
      <c r="E45" s="70">
        <v>9235.3943951940782</v>
      </c>
      <c r="F45" s="70">
        <v>9389.6953185931106</v>
      </c>
      <c r="G45" s="70">
        <v>9929.9547274113211</v>
      </c>
      <c r="H45" s="70">
        <v>0</v>
      </c>
      <c r="I45" s="70">
        <v>0</v>
      </c>
    </row>
    <row r="46" spans="1:9">
      <c r="A46" s="8"/>
      <c r="B46" s="79"/>
      <c r="C46" s="79"/>
      <c r="D46" s="79"/>
      <c r="E46" s="79"/>
      <c r="F46" s="79"/>
      <c r="G46" s="79"/>
      <c r="H46" s="79"/>
      <c r="I46" s="79"/>
    </row>
    <row r="47" spans="1:9">
      <c r="A47" s="7"/>
      <c r="B47" s="79"/>
      <c r="C47" s="79"/>
      <c r="D47" s="79"/>
      <c r="E47" s="79"/>
      <c r="F47" s="79"/>
      <c r="G47" s="79"/>
      <c r="H47" s="79"/>
      <c r="I47" s="79"/>
    </row>
    <row r="48" spans="1:9" ht="17">
      <c r="A48" s="59" t="str">
        <f>HLOOKUP(INDICE!$F$2,Nombres!$C$3:$D$636,65,FALSE)</f>
        <v>Relevant business indicators</v>
      </c>
      <c r="B48" s="60"/>
      <c r="C48" s="60"/>
      <c r="D48" s="60"/>
      <c r="E48" s="60"/>
      <c r="F48" s="60"/>
      <c r="G48" s="60"/>
      <c r="H48" s="60"/>
      <c r="I48" s="60"/>
    </row>
    <row r="49" spans="1:13">
      <c r="A49" s="9" t="str">
        <f>HLOOKUP(INDICE!$F$2,Nombres!$C$3:$D$636,32,FALSE)</f>
        <v>(Million euros)</v>
      </c>
      <c r="B49" s="57"/>
      <c r="C49" s="57"/>
      <c r="D49" s="57"/>
      <c r="E49" s="57"/>
      <c r="F49" s="57"/>
      <c r="G49" s="79"/>
      <c r="H49" s="79"/>
      <c r="I49" s="79"/>
    </row>
    <row r="50" spans="1:13">
      <c r="A50" s="57"/>
      <c r="B50" s="80">
        <f t="shared" ref="B50:I50" si="7">+B$30</f>
        <v>45747</v>
      </c>
      <c r="C50" s="80">
        <f t="shared" si="7"/>
        <v>45838</v>
      </c>
      <c r="D50" s="80">
        <f t="shared" si="7"/>
        <v>45930</v>
      </c>
      <c r="E50" s="92">
        <f t="shared" si="7"/>
        <v>46022</v>
      </c>
      <c r="F50" s="94">
        <f t="shared" si="7"/>
        <v>46112</v>
      </c>
      <c r="G50" s="94">
        <f t="shared" si="7"/>
        <v>46203</v>
      </c>
      <c r="H50" s="94">
        <f t="shared" si="7"/>
        <v>46295</v>
      </c>
      <c r="I50" s="94">
        <f t="shared" si="7"/>
        <v>46387</v>
      </c>
    </row>
    <row r="51" spans="1:13">
      <c r="A51" s="7" t="str">
        <f>HLOOKUP(INDICE!$F$2,Nombres!$C$3:$D$636,66,FALSE)</f>
        <v>Loans and advances to customers (gross) (*)</v>
      </c>
      <c r="B51" s="70">
        <v>49687.601000499999</v>
      </c>
      <c r="C51" s="70">
        <v>49840.853999599989</v>
      </c>
      <c r="D51" s="70">
        <v>52469.273000199988</v>
      </c>
      <c r="E51" s="71">
        <v>55755.996000099993</v>
      </c>
      <c r="F51" s="70">
        <v>59139.278000400009</v>
      </c>
      <c r="G51" s="70">
        <v>61771.726999999999</v>
      </c>
      <c r="H51" s="70">
        <v>0</v>
      </c>
      <c r="I51" s="70">
        <v>0</v>
      </c>
      <c r="L51" s="68"/>
      <c r="M51" s="68"/>
    </row>
    <row r="52" spans="1:13">
      <c r="A52" s="7" t="str">
        <f>HLOOKUP(INDICE!$F$2,Nombres!$C$3:$D$636,67,FALSE)</f>
        <v>Customer deposits under management (*)</v>
      </c>
      <c r="B52" s="70">
        <v>62296.729000000007</v>
      </c>
      <c r="C52" s="70">
        <v>57121.381000000008</v>
      </c>
      <c r="D52" s="70">
        <v>59659.392999999996</v>
      </c>
      <c r="E52" s="71">
        <v>62534.910000000011</v>
      </c>
      <c r="F52" s="70">
        <v>65356.154000000002</v>
      </c>
      <c r="G52" s="70">
        <v>68188.438999999998</v>
      </c>
      <c r="H52" s="70">
        <v>0</v>
      </c>
      <c r="I52" s="70">
        <v>0</v>
      </c>
    </row>
    <row r="53" spans="1:13">
      <c r="A53" s="7" t="str">
        <f>HLOOKUP(INDICE!$F$2,Nombres!$C$3:$D$636,68,FALSE)</f>
        <v>Investment funds and managed portfolios</v>
      </c>
      <c r="B53" s="70">
        <v>13351.406000000001</v>
      </c>
      <c r="C53" s="70">
        <v>15050.7</v>
      </c>
      <c r="D53" s="70">
        <v>17728.61</v>
      </c>
      <c r="E53" s="71">
        <v>19435.589</v>
      </c>
      <c r="F53" s="70">
        <v>19208.013999999999</v>
      </c>
      <c r="G53" s="70">
        <v>19894.27</v>
      </c>
      <c r="H53" s="70">
        <v>0</v>
      </c>
      <c r="I53" s="70">
        <v>0</v>
      </c>
    </row>
    <row r="54" spans="1:13">
      <c r="A54" s="7" t="str">
        <f>HLOOKUP(INDICE!$F$2,Nombres!$C$3:$D$636,69,FALSE)</f>
        <v>Pension funds</v>
      </c>
      <c r="B54" s="70">
        <v>5220.6970000000001</v>
      </c>
      <c r="C54" s="70">
        <v>5272.366</v>
      </c>
      <c r="D54" s="70">
        <v>5962.4369999999999</v>
      </c>
      <c r="E54" s="71">
        <v>6854.8680000000004</v>
      </c>
      <c r="F54" s="70">
        <v>7614.7089999999998</v>
      </c>
      <c r="G54" s="70">
        <v>7774.3310000000001</v>
      </c>
      <c r="H54" s="70">
        <v>0</v>
      </c>
      <c r="I54" s="70">
        <v>0</v>
      </c>
    </row>
    <row r="55" spans="1:13">
      <c r="A55" s="7" t="str">
        <f>HLOOKUP(INDICE!$F$2,Nombres!$C$3:$D$636,70,FALSE)</f>
        <v>Other off balance-sheet funds</v>
      </c>
      <c r="B55" s="70">
        <v>0</v>
      </c>
      <c r="C55" s="70">
        <v>0</v>
      </c>
      <c r="D55" s="70">
        <v>0</v>
      </c>
      <c r="E55" s="71">
        <v>0</v>
      </c>
      <c r="F55" s="70">
        <v>0</v>
      </c>
      <c r="G55" s="70">
        <v>0</v>
      </c>
      <c r="H55" s="70">
        <v>0</v>
      </c>
      <c r="I55" s="70">
        <v>0</v>
      </c>
    </row>
    <row r="56" spans="1:13">
      <c r="A56" s="8" t="str">
        <f>HLOOKUP(INDICE!$F$2,Nombres!$C$3:$D$636,71,FALSE)</f>
        <v xml:space="preserve">(*) Excluding repos. </v>
      </c>
      <c r="B56" s="79"/>
      <c r="C56" s="79"/>
      <c r="D56" s="79"/>
      <c r="E56" s="79"/>
      <c r="F56" s="79"/>
      <c r="G56" s="79"/>
      <c r="H56" s="79"/>
      <c r="I56" s="79"/>
    </row>
    <row r="57" spans="1:13">
      <c r="A57" s="8">
        <f>HLOOKUP(INDICE!$F$2,Nombres!$C$3:$D$636,72,FALSE)</f>
        <v>0</v>
      </c>
      <c r="B57" s="57"/>
      <c r="C57" s="57"/>
      <c r="D57" s="57"/>
      <c r="E57" s="57"/>
      <c r="F57" s="57"/>
      <c r="G57" s="57"/>
      <c r="H57" s="57"/>
      <c r="I57" s="57"/>
    </row>
    <row r="58" spans="1:13">
      <c r="A58" s="8"/>
      <c r="B58" s="57"/>
      <c r="C58" s="57"/>
      <c r="D58" s="57"/>
      <c r="E58" s="57"/>
      <c r="F58" s="57"/>
      <c r="G58" s="57"/>
      <c r="H58" s="57"/>
      <c r="I58" s="57"/>
    </row>
    <row r="59" spans="1:13" ht="17">
      <c r="A59" s="59" t="str">
        <f>HLOOKUP(INDICE!$F$2,Nombres!$C$3:$D$636,31,FALSE)</f>
        <v xml:space="preserve">Income statement  </v>
      </c>
      <c r="B59" s="60"/>
      <c r="C59" s="60"/>
      <c r="D59" s="60"/>
      <c r="E59" s="60"/>
      <c r="F59" s="60"/>
      <c r="G59" s="60"/>
      <c r="H59" s="60"/>
      <c r="I59" s="60"/>
    </row>
    <row r="60" spans="1:13">
      <c r="A60" s="9" t="str">
        <f>HLOOKUP(INDICE!$F$2,Nombres!$C$3:$D$636,73,FALSE)</f>
        <v xml:space="preserve">(Constant million euros)    </v>
      </c>
      <c r="B60" s="57"/>
      <c r="C60" s="61"/>
      <c r="D60" s="61"/>
      <c r="E60" s="61"/>
      <c r="F60" s="57"/>
      <c r="G60" s="57"/>
      <c r="H60" s="57"/>
      <c r="I60" s="57"/>
    </row>
    <row r="61" spans="1:13">
      <c r="A61" s="62"/>
      <c r="B61" s="57"/>
      <c r="C61" s="61"/>
      <c r="D61" s="61"/>
      <c r="E61" s="61"/>
      <c r="F61" s="57"/>
      <c r="G61" s="57"/>
      <c r="H61" s="57"/>
      <c r="I61" s="57"/>
    </row>
    <row r="62" spans="1:13">
      <c r="A62" s="63"/>
      <c r="B62" s="257">
        <f>+B$6</f>
        <v>2025</v>
      </c>
      <c r="C62" s="257"/>
      <c r="D62" s="257"/>
      <c r="E62" s="258"/>
      <c r="F62" s="257">
        <f>+F$6</f>
        <v>2026</v>
      </c>
      <c r="G62" s="257"/>
      <c r="H62" s="257"/>
      <c r="I62" s="257"/>
    </row>
    <row r="63" spans="1:13">
      <c r="A63" s="63"/>
      <c r="B63" s="64" t="str">
        <f>+B$7</f>
        <v>1Q</v>
      </c>
      <c r="C63" s="64" t="str">
        <f t="shared" ref="C63:I63" si="8">+C$7</f>
        <v>2Q</v>
      </c>
      <c r="D63" s="64" t="str">
        <f t="shared" si="8"/>
        <v>3Q</v>
      </c>
      <c r="E63" s="65" t="str">
        <f t="shared" si="8"/>
        <v>4Q</v>
      </c>
      <c r="F63" s="64" t="str">
        <f t="shared" si="8"/>
        <v>1Q</v>
      </c>
      <c r="G63" s="64" t="str">
        <f t="shared" si="8"/>
        <v>2Q</v>
      </c>
      <c r="H63" s="64" t="str">
        <f t="shared" si="8"/>
        <v>3Q</v>
      </c>
      <c r="I63" s="64" t="str">
        <f t="shared" si="8"/>
        <v>4Q</v>
      </c>
    </row>
    <row r="64" spans="1:13">
      <c r="A64" s="17" t="str">
        <f>HLOOKUP(INDICE!$F$2,Nombres!$C$3:$D$636,33,FALSE)</f>
        <v>Net interest income</v>
      </c>
      <c r="B64" s="17">
        <v>560.81816531127163</v>
      </c>
      <c r="C64" s="17">
        <v>607.90755897883275</v>
      </c>
      <c r="D64" s="17">
        <v>824.17875951019141</v>
      </c>
      <c r="E64" s="66">
        <v>957.20966672296811</v>
      </c>
      <c r="F64" s="67">
        <v>1082.2385036750188</v>
      </c>
      <c r="G64" s="67">
        <v>1069.9364963250018</v>
      </c>
      <c r="H64" s="67">
        <v>0</v>
      </c>
      <c r="I64" s="67">
        <v>0</v>
      </c>
    </row>
    <row r="65" spans="1:9">
      <c r="A65" s="7" t="str">
        <f>HLOOKUP(INDICE!$F$2,Nombres!$C$3:$D$636,34,FALSE)</f>
        <v>Net fees and commissions</v>
      </c>
      <c r="B65" s="70">
        <v>428.86037313504983</v>
      </c>
      <c r="C65" s="70">
        <v>505.61193534321455</v>
      </c>
      <c r="D65" s="70">
        <v>550.13159514648464</v>
      </c>
      <c r="E65" s="71">
        <v>542.81106308939604</v>
      </c>
      <c r="F65" s="70">
        <v>543.90382085712611</v>
      </c>
      <c r="G65" s="70">
        <v>658.18395293388369</v>
      </c>
      <c r="H65" s="70">
        <v>0</v>
      </c>
      <c r="I65" s="70">
        <v>0</v>
      </c>
    </row>
    <row r="66" spans="1:9">
      <c r="A66" s="7" t="str">
        <f>HLOOKUP(INDICE!$F$2,Nombres!$C$3:$D$636,35,FALSE)</f>
        <v>Net trading income</v>
      </c>
      <c r="B66" s="70">
        <v>99.42222166692666</v>
      </c>
      <c r="C66" s="70">
        <v>103.08259951460913</v>
      </c>
      <c r="D66" s="70">
        <v>119.93430926856671</v>
      </c>
      <c r="E66" s="71">
        <v>58.911508775846499</v>
      </c>
      <c r="F66" s="70">
        <v>142.04082623364394</v>
      </c>
      <c r="G66" s="70">
        <v>77.489168283357458</v>
      </c>
      <c r="H66" s="70">
        <v>0</v>
      </c>
      <c r="I66" s="70">
        <v>0</v>
      </c>
    </row>
    <row r="67" spans="1:9">
      <c r="A67" s="7" t="str">
        <f>HLOOKUP(INDICE!$F$2,Nombres!$C$3:$D$636,36,FALSE)</f>
        <v>Other operating income and expenses</v>
      </c>
      <c r="B67" s="70">
        <v>-184.08155472498999</v>
      </c>
      <c r="C67" s="70">
        <v>-50.20333693062414</v>
      </c>
      <c r="D67" s="70">
        <v>-120.76139926594763</v>
      </c>
      <c r="E67" s="71">
        <v>-65.888803445899939</v>
      </c>
      <c r="F67" s="70">
        <v>-128.71743207148683</v>
      </c>
      <c r="G67" s="70">
        <v>-72.680565928613362</v>
      </c>
      <c r="H67" s="70">
        <v>0</v>
      </c>
      <c r="I67" s="70">
        <v>0</v>
      </c>
    </row>
    <row r="68" spans="1:9">
      <c r="A68" s="17" t="str">
        <f>HLOOKUP(INDICE!$F$2,Nombres!$C$3:$D$636,37,FALSE)</f>
        <v>Gross income</v>
      </c>
      <c r="B68" s="17">
        <f>+SUM(B64:B67)</f>
        <v>905.01920538825811</v>
      </c>
      <c r="C68" s="17">
        <f t="shared" ref="C68:I68" si="9">+SUM(C64:C67)</f>
        <v>1166.3987569060323</v>
      </c>
      <c r="D68" s="17">
        <f t="shared" si="9"/>
        <v>1373.4832646592952</v>
      </c>
      <c r="E68" s="66">
        <f t="shared" si="9"/>
        <v>1493.0434351423107</v>
      </c>
      <c r="F68" s="67">
        <f t="shared" si="9"/>
        <v>1639.4657186943018</v>
      </c>
      <c r="G68" s="67">
        <f t="shared" si="9"/>
        <v>1732.9290516136296</v>
      </c>
      <c r="H68" s="67">
        <f t="shared" si="9"/>
        <v>0</v>
      </c>
      <c r="I68" s="67">
        <f t="shared" si="9"/>
        <v>0</v>
      </c>
    </row>
    <row r="69" spans="1:9">
      <c r="A69" s="7" t="str">
        <f>HLOOKUP(INDICE!$F$2,Nombres!$C$3:$D$636,38,FALSE)</f>
        <v>Operating expenses</v>
      </c>
      <c r="B69" s="70">
        <v>-462.05074135708441</v>
      </c>
      <c r="C69" s="70">
        <v>-503.67855026386229</v>
      </c>
      <c r="D69" s="70">
        <v>-574.56117274538644</v>
      </c>
      <c r="E69" s="71">
        <v>-678.97059387334264</v>
      </c>
      <c r="F69" s="70">
        <v>-655.69246740118717</v>
      </c>
      <c r="G69" s="70">
        <v>-712.89265597872452</v>
      </c>
      <c r="H69" s="70">
        <v>0</v>
      </c>
      <c r="I69" s="70">
        <v>0</v>
      </c>
    </row>
    <row r="70" spans="1:9">
      <c r="A70" s="7" t="str">
        <f>HLOOKUP(INDICE!$F$2,Nombres!$C$3:$D$636,39,FALSE)</f>
        <v xml:space="preserve">  Administration expenses</v>
      </c>
      <c r="B70" s="70">
        <v>-409.82940966610755</v>
      </c>
      <c r="C70" s="70">
        <v>-448.52221328513036</v>
      </c>
      <c r="D70" s="70">
        <v>-513.0201074481314</v>
      </c>
      <c r="E70" s="71">
        <v>-622.25346316582295</v>
      </c>
      <c r="F70" s="70">
        <v>-591.4564364614298</v>
      </c>
      <c r="G70" s="70">
        <v>-642.56268691848106</v>
      </c>
      <c r="H70" s="70">
        <v>0</v>
      </c>
      <c r="I70" s="70">
        <v>0</v>
      </c>
    </row>
    <row r="71" spans="1:9">
      <c r="A71" s="72" t="str">
        <f>HLOOKUP(INDICE!$F$2,Nombres!$C$3:$D$636,40,FALSE)</f>
        <v xml:space="preserve">  Personnel expenses</v>
      </c>
      <c r="B71" s="70">
        <v>-263.68966146494745</v>
      </c>
      <c r="C71" s="70">
        <v>-283.78533599051576</v>
      </c>
      <c r="D71" s="70">
        <v>-337.81542319448545</v>
      </c>
      <c r="E71" s="71">
        <v>-369.13213860228308</v>
      </c>
      <c r="F71" s="70">
        <v>-381.30131289490436</v>
      </c>
      <c r="G71" s="70">
        <v>-414.90268710510219</v>
      </c>
      <c r="H71" s="70">
        <v>0</v>
      </c>
      <c r="I71" s="70">
        <v>0</v>
      </c>
    </row>
    <row r="72" spans="1:9">
      <c r="A72" s="72" t="str">
        <f>HLOOKUP(INDICE!$F$2,Nombres!$C$3:$D$636,41,FALSE)</f>
        <v xml:space="preserve">  General and administrative expenses</v>
      </c>
      <c r="B72" s="70">
        <v>-146.13974820116002</v>
      </c>
      <c r="C72" s="70">
        <v>-164.7368772946146</v>
      </c>
      <c r="D72" s="70">
        <v>-175.20468425364598</v>
      </c>
      <c r="E72" s="71">
        <v>-253.12132456353993</v>
      </c>
      <c r="F72" s="70">
        <v>-210.1551235665253</v>
      </c>
      <c r="G72" s="70">
        <v>-227.65999981337893</v>
      </c>
      <c r="H72" s="70">
        <v>0</v>
      </c>
      <c r="I72" s="70">
        <v>0</v>
      </c>
    </row>
    <row r="73" spans="1:9">
      <c r="A73" s="7" t="str">
        <f>HLOOKUP(INDICE!$F$2,Nombres!$C$3:$D$636,42,FALSE)</f>
        <v xml:space="preserve">  Depreciation</v>
      </c>
      <c r="B73" s="70">
        <v>-52.221331690976847</v>
      </c>
      <c r="C73" s="70">
        <v>-55.156336978731844</v>
      </c>
      <c r="D73" s="70">
        <v>-61.54106529725501</v>
      </c>
      <c r="E73" s="71">
        <v>-56.71713070751958</v>
      </c>
      <c r="F73" s="70">
        <v>-64.236030939757441</v>
      </c>
      <c r="G73" s="70">
        <v>-70.329969060243428</v>
      </c>
      <c r="H73" s="70">
        <v>0</v>
      </c>
      <c r="I73" s="70">
        <v>0</v>
      </c>
    </row>
    <row r="74" spans="1:9">
      <c r="A74" s="17" t="str">
        <f>HLOOKUP(INDICE!$F$2,Nombres!$C$3:$D$636,43,FALSE)</f>
        <v>Operating income</v>
      </c>
      <c r="B74" s="17">
        <f>+B68+B69</f>
        <v>442.96846403117371</v>
      </c>
      <c r="C74" s="17">
        <f t="shared" ref="C74:I74" si="10">+C68+C69</f>
        <v>662.72020664217007</v>
      </c>
      <c r="D74" s="17">
        <f t="shared" si="10"/>
        <v>798.92209191390873</v>
      </c>
      <c r="E74" s="66">
        <f t="shared" si="10"/>
        <v>814.07284126896809</v>
      </c>
      <c r="F74" s="67">
        <f t="shared" si="10"/>
        <v>983.77325129311464</v>
      </c>
      <c r="G74" s="67">
        <f t="shared" si="10"/>
        <v>1020.036395634905</v>
      </c>
      <c r="H74" s="67">
        <f t="shared" si="10"/>
        <v>0</v>
      </c>
      <c r="I74" s="67">
        <f t="shared" si="10"/>
        <v>0</v>
      </c>
    </row>
    <row r="75" spans="1:9">
      <c r="A75" s="7" t="str">
        <f>HLOOKUP(INDICE!$F$2,Nombres!$C$3:$D$636,44,FALSE)</f>
        <v>Impaiment on financial assets not measured at fair value through profit or loss</v>
      </c>
      <c r="B75" s="70">
        <v>-183.33138256067289</v>
      </c>
      <c r="C75" s="70">
        <v>-176.74843201602229</v>
      </c>
      <c r="D75" s="70">
        <v>-258.37883519026582</v>
      </c>
      <c r="E75" s="71">
        <v>-335.53718061323048</v>
      </c>
      <c r="F75" s="70">
        <v>-339.08448618780432</v>
      </c>
      <c r="G75" s="70">
        <v>-346.05751581220045</v>
      </c>
      <c r="H75" s="70">
        <v>0</v>
      </c>
      <c r="I75" s="70">
        <v>0</v>
      </c>
    </row>
    <row r="76" spans="1:9">
      <c r="A76" s="7" t="str">
        <f>HLOOKUP(INDICE!$F$2,Nombres!$C$3:$D$636,45,FALSE)</f>
        <v>Provisions or reversal of provisions and other results</v>
      </c>
      <c r="B76" s="70">
        <v>-3.4638257412684914</v>
      </c>
      <c r="C76" s="70">
        <v>11.62782113542144</v>
      </c>
      <c r="D76" s="70">
        <v>-21.116717888934602</v>
      </c>
      <c r="E76" s="71">
        <v>-20.753284892119233</v>
      </c>
      <c r="F76" s="70">
        <v>-15.374900764845773</v>
      </c>
      <c r="G76" s="70">
        <v>-15.577100235153949</v>
      </c>
      <c r="H76" s="70">
        <v>0</v>
      </c>
      <c r="I76" s="70">
        <v>0</v>
      </c>
    </row>
    <row r="77" spans="1:9">
      <c r="A77" s="17" t="str">
        <f>HLOOKUP(INDICE!$F$2,Nombres!$C$3:$D$636,46,FALSE)</f>
        <v>Profit/(loss) before tax</v>
      </c>
      <c r="B77" s="17">
        <f>+B74+B75+B76</f>
        <v>256.17325572923232</v>
      </c>
      <c r="C77" s="17">
        <f t="shared" ref="C77:I77" si="11">+C74+C75+C76</f>
        <v>497.59959576156916</v>
      </c>
      <c r="D77" s="17">
        <f t="shared" si="11"/>
        <v>519.42653883470825</v>
      </c>
      <c r="E77" s="66">
        <f t="shared" si="11"/>
        <v>457.7823757636184</v>
      </c>
      <c r="F77" s="67">
        <f t="shared" si="11"/>
        <v>629.31386434046453</v>
      </c>
      <c r="G77" s="67">
        <f t="shared" si="11"/>
        <v>658.40177958755066</v>
      </c>
      <c r="H77" s="67">
        <f t="shared" si="11"/>
        <v>0</v>
      </c>
      <c r="I77" s="67">
        <f t="shared" si="11"/>
        <v>0</v>
      </c>
    </row>
    <row r="78" spans="1:9">
      <c r="A78" s="7" t="str">
        <f>HLOOKUP(INDICE!$F$2,Nombres!$C$3:$D$636,47,FALSE)</f>
        <v>Income tax</v>
      </c>
      <c r="B78" s="70">
        <v>-206.06669514382838</v>
      </c>
      <c r="C78" s="70">
        <v>-183.3860655836975</v>
      </c>
      <c r="D78" s="70">
        <v>-234.23073695543846</v>
      </c>
      <c r="E78" s="71">
        <v>-242.47907970425038</v>
      </c>
      <c r="F78" s="70">
        <v>-343.2040333909971</v>
      </c>
      <c r="G78" s="70">
        <v>-313.30479795348668</v>
      </c>
      <c r="H78" s="70">
        <v>0</v>
      </c>
      <c r="I78" s="70">
        <v>0</v>
      </c>
    </row>
    <row r="79" spans="1:9">
      <c r="A79" s="17" t="str">
        <f>HLOOKUP(INDICE!$F$2,Nombres!$C$3:$D$636,48,FALSE)</f>
        <v>Profit/(loss) for the year</v>
      </c>
      <c r="B79" s="17">
        <f>+B77+B78</f>
        <v>50.10656058540394</v>
      </c>
      <c r="C79" s="17">
        <f t="shared" ref="C79:I79" si="12">+C77+C78</f>
        <v>314.21353017787169</v>
      </c>
      <c r="D79" s="17">
        <f t="shared" si="12"/>
        <v>285.19580187926977</v>
      </c>
      <c r="E79" s="66">
        <f t="shared" si="12"/>
        <v>215.30329605936802</v>
      </c>
      <c r="F79" s="67">
        <f t="shared" si="12"/>
        <v>286.10983094946744</v>
      </c>
      <c r="G79" s="67">
        <f t="shared" si="12"/>
        <v>345.09698163406398</v>
      </c>
      <c r="H79" s="67">
        <f t="shared" si="12"/>
        <v>0</v>
      </c>
      <c r="I79" s="67">
        <f t="shared" si="12"/>
        <v>0</v>
      </c>
    </row>
    <row r="80" spans="1:9">
      <c r="A80" s="7" t="str">
        <f>HLOOKUP(INDICE!$F$2,Nombres!$C$3:$D$636,49,FALSE)</f>
        <v>Non-controlling interests</v>
      </c>
      <c r="B80" s="70">
        <v>-10.164362810748681</v>
      </c>
      <c r="C80" s="70">
        <v>-48.994506389638019</v>
      </c>
      <c r="D80" s="70">
        <v>-45.222294255927252</v>
      </c>
      <c r="E80" s="71">
        <v>-35.459676090366415</v>
      </c>
      <c r="F80" s="70">
        <v>-45.232228297603726</v>
      </c>
      <c r="G80" s="70">
        <v>-54.10877070239772</v>
      </c>
      <c r="H80" s="70">
        <v>0</v>
      </c>
      <c r="I80" s="70">
        <v>0</v>
      </c>
    </row>
    <row r="81" spans="1:9">
      <c r="A81" s="18" t="str">
        <f>HLOOKUP(INDICE!$F$2,Nombres!$C$3:$D$636,50,FALSE)</f>
        <v>Net attributable profit</v>
      </c>
      <c r="B81" s="18">
        <f>+B79+B80</f>
        <v>39.942197774655256</v>
      </c>
      <c r="C81" s="18">
        <f t="shared" ref="C81:I81" si="13">+C79+C80</f>
        <v>265.2190237882337</v>
      </c>
      <c r="D81" s="18">
        <f t="shared" si="13"/>
        <v>239.97350762334253</v>
      </c>
      <c r="E81" s="18">
        <f t="shared" si="13"/>
        <v>179.84361996900162</v>
      </c>
      <c r="F81" s="88">
        <f t="shared" si="13"/>
        <v>240.8776026518637</v>
      </c>
      <c r="G81" s="88">
        <f t="shared" si="13"/>
        <v>290.98821093166623</v>
      </c>
      <c r="H81" s="88">
        <f t="shared" si="13"/>
        <v>0</v>
      </c>
      <c r="I81" s="88">
        <f t="shared" si="13"/>
        <v>0</v>
      </c>
    </row>
    <row r="82" spans="1:9">
      <c r="A82" s="8"/>
      <c r="B82" s="93">
        <v>0</v>
      </c>
      <c r="C82" s="93">
        <v>0</v>
      </c>
      <c r="D82" s="93">
        <v>0</v>
      </c>
      <c r="E82" s="93">
        <v>5.6843418860808015E-13</v>
      </c>
      <c r="F82" s="93">
        <v>-2.8421709430404007E-13</v>
      </c>
      <c r="G82" s="93">
        <v>0</v>
      </c>
      <c r="H82" s="93">
        <v>0</v>
      </c>
      <c r="I82" s="93">
        <v>0</v>
      </c>
    </row>
    <row r="83" spans="1:9">
      <c r="A83" s="17"/>
      <c r="B83" s="17"/>
      <c r="C83" s="17"/>
      <c r="D83" s="17"/>
      <c r="E83" s="17"/>
      <c r="F83" s="67"/>
      <c r="G83" s="67"/>
      <c r="H83" s="67"/>
      <c r="I83" s="67"/>
    </row>
    <row r="84" spans="1:9" ht="17">
      <c r="A84" s="59" t="str">
        <f>HLOOKUP(INDICE!$F$2,Nombres!$C$3:$D$636,51,FALSE)</f>
        <v>Balance sheets</v>
      </c>
      <c r="B84" s="60"/>
      <c r="C84" s="60"/>
      <c r="D84" s="60"/>
      <c r="E84" s="60"/>
      <c r="F84" s="95"/>
      <c r="G84" s="95"/>
      <c r="H84" s="95"/>
      <c r="I84" s="95"/>
    </row>
    <row r="85" spans="1:9">
      <c r="A85" s="9" t="str">
        <f>HLOOKUP(INDICE!$F$2,Nombres!$C$3:$D$636,73,FALSE)</f>
        <v xml:space="preserve">(Constant million euros)    </v>
      </c>
      <c r="B85" s="57"/>
      <c r="C85" s="78"/>
      <c r="D85" s="78"/>
      <c r="E85" s="78"/>
      <c r="F85" s="96"/>
      <c r="G85" s="70"/>
      <c r="H85" s="70"/>
      <c r="I85" s="70"/>
    </row>
    <row r="86" spans="1:9">
      <c r="A86" s="57"/>
      <c r="B86" s="80">
        <f t="shared" ref="B86:I86" si="14">+B$30</f>
        <v>45747</v>
      </c>
      <c r="C86" s="80">
        <f t="shared" si="14"/>
        <v>45838</v>
      </c>
      <c r="D86" s="80">
        <f t="shared" si="14"/>
        <v>45930</v>
      </c>
      <c r="E86" s="92">
        <f t="shared" si="14"/>
        <v>46022</v>
      </c>
      <c r="F86" s="80">
        <f t="shared" si="14"/>
        <v>46112</v>
      </c>
      <c r="G86" s="80">
        <f t="shared" si="14"/>
        <v>46203</v>
      </c>
      <c r="H86" s="80">
        <f t="shared" si="14"/>
        <v>46295</v>
      </c>
      <c r="I86" s="80">
        <f t="shared" si="14"/>
        <v>46387</v>
      </c>
    </row>
    <row r="87" spans="1:9">
      <c r="A87" s="7" t="str">
        <f>HLOOKUP(INDICE!$F$2,Nombres!$C$3:$D$636,52,FALSE)</f>
        <v>Cash, cash balances at central banks and other demand deposits</v>
      </c>
      <c r="B87" s="70">
        <v>8796.4042289395584</v>
      </c>
      <c r="C87" s="70">
        <v>8638.3652197696247</v>
      </c>
      <c r="D87" s="70">
        <v>9475.5912383536343</v>
      </c>
      <c r="E87" s="71">
        <v>8768.2832436590888</v>
      </c>
      <c r="F87" s="70">
        <v>9343.1879001890738</v>
      </c>
      <c r="G87" s="70">
        <v>8163.2169999997432</v>
      </c>
      <c r="H87" s="70">
        <v>0</v>
      </c>
      <c r="I87" s="70">
        <v>0</v>
      </c>
    </row>
    <row r="88" spans="1:9">
      <c r="A88" s="7" t="str">
        <f>HLOOKUP(INDICE!$F$2,Nombres!$C$3:$D$636,53,FALSE)</f>
        <v xml:space="preserve">Financial assets designated at fair value </v>
      </c>
      <c r="B88" s="79">
        <v>3933.1789273730074</v>
      </c>
      <c r="C88" s="79">
        <v>4114.8397161299908</v>
      </c>
      <c r="D88" s="79">
        <v>4522.7846094941306</v>
      </c>
      <c r="E88" s="89">
        <v>4819.6470524127326</v>
      </c>
      <c r="F88" s="70">
        <v>7873.3362849024543</v>
      </c>
      <c r="G88" s="70">
        <v>6209.0220000000036</v>
      </c>
      <c r="H88" s="70">
        <v>0</v>
      </c>
      <c r="I88" s="70">
        <v>0</v>
      </c>
    </row>
    <row r="89" spans="1:9">
      <c r="A89" s="7" t="str">
        <f>HLOOKUP(INDICE!$F$2,Nombres!$C$3:$D$636,54,FALSE)</f>
        <v>Financial assets at amortized cost</v>
      </c>
      <c r="B89" s="70">
        <v>53011.137881724484</v>
      </c>
      <c r="C89" s="70">
        <v>57457.273889891134</v>
      </c>
      <c r="D89" s="70">
        <v>62847.903206688294</v>
      </c>
      <c r="E89" s="71">
        <v>68946.559011190649</v>
      </c>
      <c r="F89" s="70">
        <v>69183.263143382035</v>
      </c>
      <c r="G89" s="70">
        <v>79299.835999985284</v>
      </c>
      <c r="H89" s="70">
        <v>0</v>
      </c>
      <c r="I89" s="70">
        <v>0</v>
      </c>
    </row>
    <row r="90" spans="1:9">
      <c r="A90" s="7" t="str">
        <f>HLOOKUP(INDICE!$F$2,Nombres!$C$3:$D$636,55,FALSE)</f>
        <v xml:space="preserve">    of which loans and advances to customers</v>
      </c>
      <c r="B90" s="70">
        <v>38363.369679452298</v>
      </c>
      <c r="C90" s="70">
        <v>42926.427063257361</v>
      </c>
      <c r="D90" s="70">
        <v>47060.7140183542</v>
      </c>
      <c r="E90" s="71">
        <v>51383.803973924136</v>
      </c>
      <c r="F90" s="70">
        <v>55058.257351722059</v>
      </c>
      <c r="G90" s="70">
        <v>59445.980999997388</v>
      </c>
      <c r="H90" s="70">
        <v>0</v>
      </c>
      <c r="I90" s="70">
        <v>0</v>
      </c>
    </row>
    <row r="91" spans="1:9" hidden="1">
      <c r="A91" s="7"/>
      <c r="B91" s="70"/>
      <c r="C91" s="70"/>
      <c r="D91" s="70"/>
      <c r="E91" s="71"/>
      <c r="F91" s="70"/>
      <c r="G91" s="70"/>
      <c r="H91" s="70"/>
      <c r="I91" s="70"/>
    </row>
    <row r="92" spans="1:9">
      <c r="A92" s="7" t="str">
        <f>HLOOKUP(INDICE!$F$2,Nombres!$C$3:$D$636,56,FALSE)</f>
        <v>Tangible assets</v>
      </c>
      <c r="B92" s="70">
        <v>1713.1936899013024</v>
      </c>
      <c r="C92" s="70">
        <v>1671.8093248297487</v>
      </c>
      <c r="D92" s="70">
        <v>1735.7614854880317</v>
      </c>
      <c r="E92" s="71">
        <v>1845.0440457208203</v>
      </c>
      <c r="F92" s="70">
        <v>1999.0907368776855</v>
      </c>
      <c r="G92" s="70">
        <v>2066.4210000000098</v>
      </c>
      <c r="H92" s="70">
        <v>0</v>
      </c>
      <c r="I92" s="70">
        <v>0</v>
      </c>
    </row>
    <row r="93" spans="1:9">
      <c r="A93" s="7" t="str">
        <f>HLOOKUP(INDICE!$F$2,Nombres!$C$3:$D$636,57,FALSE)</f>
        <v>Other assets</v>
      </c>
      <c r="B93" s="79">
        <f>+B94-B92-B89-B88-B87</f>
        <v>2110.8329917543924</v>
      </c>
      <c r="C93" s="79">
        <f t="shared" ref="C93:I93" si="15">+C94-C92-C89-C88-C87</f>
        <v>2261.7558385805169</v>
      </c>
      <c r="D93" s="79">
        <f t="shared" si="15"/>
        <v>2489.289447487743</v>
      </c>
      <c r="E93" s="89">
        <f t="shared" si="15"/>
        <v>2583.3071258869004</v>
      </c>
      <c r="F93" s="70">
        <f t="shared" si="15"/>
        <v>2838.2908636406555</v>
      </c>
      <c r="G93" s="70">
        <f t="shared" si="15"/>
        <v>3146.3979999831854</v>
      </c>
      <c r="H93" s="70">
        <f t="shared" si="15"/>
        <v>0</v>
      </c>
      <c r="I93" s="70">
        <f t="shared" si="15"/>
        <v>0</v>
      </c>
    </row>
    <row r="94" spans="1:9">
      <c r="A94" s="18" t="str">
        <f>HLOOKUP(INDICE!$F$2,Nombres!$C$3:$D$636,58,FALSE)</f>
        <v>Total assets / Liabilities and equity</v>
      </c>
      <c r="B94" s="18">
        <v>69564.74771969275</v>
      </c>
      <c r="C94" s="18">
        <v>74144.043989201018</v>
      </c>
      <c r="D94" s="18">
        <v>81071.329987511839</v>
      </c>
      <c r="E94" s="18">
        <v>86962.840478870188</v>
      </c>
      <c r="F94" s="18">
        <v>91237.168928991901</v>
      </c>
      <c r="G94" s="18">
        <v>98884.893999968233</v>
      </c>
      <c r="H94" s="18">
        <v>0</v>
      </c>
      <c r="I94" s="18">
        <v>0</v>
      </c>
    </row>
    <row r="95" spans="1:9">
      <c r="A95" s="7" t="str">
        <f>HLOOKUP(INDICE!$F$2,Nombres!$C$3:$D$636,59,FALSE)</f>
        <v>Financial liabilities held for trading and designated at fair value through profit or loss</v>
      </c>
      <c r="B95" s="79">
        <v>1696.2881534050034</v>
      </c>
      <c r="C95" s="79">
        <v>1714.1030342994484</v>
      </c>
      <c r="D95" s="79">
        <v>1676.770347204277</v>
      </c>
      <c r="E95" s="89">
        <v>1712.1014715439512</v>
      </c>
      <c r="F95" s="70">
        <v>1860.0884056625141</v>
      </c>
      <c r="G95" s="70">
        <v>1818.187999992208</v>
      </c>
      <c r="H95" s="70">
        <v>0</v>
      </c>
      <c r="I95" s="70">
        <v>0</v>
      </c>
    </row>
    <row r="96" spans="1:9">
      <c r="A96" s="7" t="str">
        <f>HLOOKUP(INDICE!$F$2,Nombres!$C$3:$D$636,60,FALSE)</f>
        <v>Deposits from central banks and credit institutions</v>
      </c>
      <c r="B96" s="79">
        <v>3064.5915003529449</v>
      </c>
      <c r="C96" s="79">
        <v>4068.1044891204065</v>
      </c>
      <c r="D96" s="79">
        <v>4022.3891806634997</v>
      </c>
      <c r="E96" s="89">
        <v>3435.8329403726775</v>
      </c>
      <c r="F96" s="70">
        <v>3224.9161164318598</v>
      </c>
      <c r="G96" s="70">
        <v>4466.1829999969032</v>
      </c>
      <c r="H96" s="70">
        <v>0</v>
      </c>
      <c r="I96" s="70">
        <v>0</v>
      </c>
    </row>
    <row r="97" spans="1:9">
      <c r="A97" s="7" t="str">
        <f>HLOOKUP(INDICE!$F$2,Nombres!$C$3:$D$636,61,FALSE)</f>
        <v>Deposits from customers</v>
      </c>
      <c r="B97" s="79">
        <v>50243.962974642789</v>
      </c>
      <c r="C97" s="79">
        <v>52194.344511357609</v>
      </c>
      <c r="D97" s="79">
        <v>56788.782480888418</v>
      </c>
      <c r="E97" s="89">
        <v>60324.350344435879</v>
      </c>
      <c r="F97" s="70">
        <v>63335.497228216642</v>
      </c>
      <c r="G97" s="70">
        <v>68614.11999999691</v>
      </c>
      <c r="H97" s="70">
        <v>0</v>
      </c>
      <c r="I97" s="70">
        <v>0</v>
      </c>
    </row>
    <row r="98" spans="1:9">
      <c r="A98" s="7" t="str">
        <f>HLOOKUP(INDICE!$F$2,Nombres!$C$3:$D$636,62,FALSE)</f>
        <v>Debt certificates</v>
      </c>
      <c r="B98" s="70">
        <v>3577.4110572971972</v>
      </c>
      <c r="C98" s="70">
        <v>4565.5051180054106</v>
      </c>
      <c r="D98" s="70">
        <v>5591.6332122516314</v>
      </c>
      <c r="E98" s="71">
        <v>7139.3188383445222</v>
      </c>
      <c r="F98" s="70">
        <v>7005.4280485343334</v>
      </c>
      <c r="G98" s="70">
        <v>7546.0652078947696</v>
      </c>
      <c r="H98" s="70">
        <v>0</v>
      </c>
      <c r="I98" s="70">
        <v>0</v>
      </c>
    </row>
    <row r="99" spans="1:9" hidden="1">
      <c r="A99" s="7"/>
      <c r="B99" s="70"/>
      <c r="C99" s="70"/>
      <c r="D99" s="70"/>
      <c r="E99" s="71"/>
      <c r="F99" s="70"/>
      <c r="G99" s="70"/>
      <c r="H99" s="70"/>
      <c r="I99" s="70"/>
    </row>
    <row r="100" spans="1:9">
      <c r="A100" s="7" t="str">
        <f>HLOOKUP(INDICE!$F$2,Nombres!$C$3:$D$636,63,FALSE)</f>
        <v>Other liabilities</v>
      </c>
      <c r="B100" s="79">
        <f>+B94-B95-B96-B97-B98-B101</f>
        <v>4061.6545707574423</v>
      </c>
      <c r="C100" s="79">
        <f t="shared" ref="C100:I100" si="16">+C94-C95-C96-C97-C98-C101</f>
        <v>3851.4065854951705</v>
      </c>
      <c r="D100" s="79">
        <f t="shared" si="16"/>
        <v>4837.1332266914096</v>
      </c>
      <c r="E100" s="89">
        <f t="shared" si="16"/>
        <v>5546.6819863659293</v>
      </c>
      <c r="F100" s="70">
        <f t="shared" si="16"/>
        <v>6747.6073861003024</v>
      </c>
      <c r="G100" s="70">
        <f t="shared" si="16"/>
        <v>6510.3830646927472</v>
      </c>
      <c r="H100" s="70">
        <f t="shared" si="16"/>
        <v>0</v>
      </c>
      <c r="I100" s="70">
        <f t="shared" si="16"/>
        <v>0</v>
      </c>
    </row>
    <row r="101" spans="1:9">
      <c r="A101" s="7" t="str">
        <f>HLOOKUP(INDICE!$F$2,Nombres!$C$3:$D$636,282,FALSE)</f>
        <v>Allocated regulatory capital</v>
      </c>
      <c r="B101" s="70">
        <v>6920.8394632373675</v>
      </c>
      <c r="C101" s="70">
        <v>7750.5802509229716</v>
      </c>
      <c r="D101" s="70">
        <v>8154.6215398126087</v>
      </c>
      <c r="E101" s="70">
        <v>8804.554897807222</v>
      </c>
      <c r="F101" s="70">
        <v>9063.6317440462517</v>
      </c>
      <c r="G101" s="70">
        <v>9929.9547273946937</v>
      </c>
      <c r="H101" s="70">
        <v>0</v>
      </c>
      <c r="I101" s="70">
        <v>0</v>
      </c>
    </row>
    <row r="102" spans="1:9">
      <c r="A102" s="8"/>
      <c r="B102" s="79"/>
      <c r="C102" s="79"/>
      <c r="D102" s="79"/>
      <c r="E102" s="79"/>
      <c r="F102" s="70"/>
      <c r="G102" s="70"/>
      <c r="H102" s="70"/>
      <c r="I102" s="70"/>
    </row>
    <row r="103" spans="1:9">
      <c r="A103" s="7"/>
      <c r="B103" s="79"/>
      <c r="C103" s="79"/>
      <c r="D103" s="79"/>
      <c r="E103" s="79"/>
      <c r="F103" s="70"/>
      <c r="G103" s="70"/>
      <c r="H103" s="70"/>
      <c r="I103" s="70"/>
    </row>
    <row r="104" spans="1:9" ht="17">
      <c r="A104" s="59" t="str">
        <f>HLOOKUP(INDICE!$F$2,Nombres!$C$3:$D$636,65,FALSE)</f>
        <v>Relevant business indicators</v>
      </c>
      <c r="B104" s="60"/>
      <c r="C104" s="60"/>
      <c r="D104" s="60"/>
      <c r="E104" s="60"/>
      <c r="F104" s="95"/>
      <c r="G104" s="95"/>
      <c r="H104" s="95"/>
      <c r="I104" s="95"/>
    </row>
    <row r="105" spans="1:9">
      <c r="A105" s="9" t="str">
        <f>HLOOKUP(INDICE!$F$2,Nombres!$C$3:$D$636,73,FALSE)</f>
        <v xml:space="preserve">(Constant million euros)    </v>
      </c>
      <c r="B105" s="57"/>
      <c r="C105" s="57"/>
      <c r="D105" s="57"/>
      <c r="E105" s="57"/>
      <c r="F105" s="96"/>
      <c r="G105" s="70"/>
      <c r="H105" s="70"/>
      <c r="I105" s="70"/>
    </row>
    <row r="106" spans="1:9">
      <c r="A106" s="57"/>
      <c r="B106" s="80">
        <f t="shared" ref="B106:I106" si="17">+B$30</f>
        <v>45747</v>
      </c>
      <c r="C106" s="80">
        <f t="shared" si="17"/>
        <v>45838</v>
      </c>
      <c r="D106" s="80">
        <f t="shared" si="17"/>
        <v>45930</v>
      </c>
      <c r="E106" s="92">
        <f t="shared" si="17"/>
        <v>46022</v>
      </c>
      <c r="F106" s="80">
        <f t="shared" si="17"/>
        <v>46112</v>
      </c>
      <c r="G106" s="80">
        <f t="shared" si="17"/>
        <v>46203</v>
      </c>
      <c r="H106" s="80">
        <f t="shared" si="17"/>
        <v>46295</v>
      </c>
      <c r="I106" s="80">
        <f t="shared" si="17"/>
        <v>46387</v>
      </c>
    </row>
    <row r="107" spans="1:9">
      <c r="A107" s="7" t="str">
        <f>HLOOKUP(INDICE!$F$2,Nombres!$C$3:$D$636,66,FALSE)</f>
        <v>Loans and advances to customers (gross) (*)</v>
      </c>
      <c r="B107" s="70">
        <v>39771.947090390015</v>
      </c>
      <c r="C107" s="70">
        <v>44509.869552127406</v>
      </c>
      <c r="D107" s="70">
        <v>48758.244190651545</v>
      </c>
      <c r="E107" s="71">
        <v>53296.240343562255</v>
      </c>
      <c r="F107" s="70">
        <v>57164.252705748462</v>
      </c>
      <c r="G107" s="70">
        <v>61771.726999997423</v>
      </c>
      <c r="H107" s="70">
        <v>0</v>
      </c>
      <c r="I107" s="70">
        <v>0</v>
      </c>
    </row>
    <row r="108" spans="1:9">
      <c r="A108" s="7" t="str">
        <f>HLOOKUP(INDICE!$F$2,Nombres!$C$3:$D$636,67,FALSE)</f>
        <v>Customer deposits under management (*)</v>
      </c>
      <c r="B108" s="70">
        <v>50183.625346997542</v>
      </c>
      <c r="C108" s="70">
        <v>51205.709478946992</v>
      </c>
      <c r="D108" s="70">
        <v>55680.59015354135</v>
      </c>
      <c r="E108" s="71">
        <v>59897.473077034905</v>
      </c>
      <c r="F108" s="70">
        <v>63261.680073398289</v>
      </c>
      <c r="G108" s="70">
        <v>68188.438999996928</v>
      </c>
      <c r="H108" s="70">
        <v>0</v>
      </c>
      <c r="I108" s="70">
        <v>0</v>
      </c>
    </row>
    <row r="109" spans="1:9">
      <c r="A109" s="7" t="str">
        <f>HLOOKUP(INDICE!$F$2,Nombres!$C$3:$D$636,68,FALSE)</f>
        <v>Investment funds and managed portfolios</v>
      </c>
      <c r="B109" s="70">
        <v>10306.566582251106</v>
      </c>
      <c r="C109" s="70">
        <v>13183.38294847151</v>
      </c>
      <c r="D109" s="70">
        <v>16280.854549523443</v>
      </c>
      <c r="E109" s="71">
        <v>18455.69740457747</v>
      </c>
      <c r="F109" s="70">
        <v>18477.87086807255</v>
      </c>
      <c r="G109" s="70">
        <v>19894.270000000131</v>
      </c>
      <c r="H109" s="70">
        <v>0</v>
      </c>
      <c r="I109" s="70">
        <v>0</v>
      </c>
    </row>
    <row r="110" spans="1:9">
      <c r="A110" s="7" t="str">
        <f>HLOOKUP(INDICE!$F$2,Nombres!$C$3:$D$636,69,FALSE)</f>
        <v>Pension funds</v>
      </c>
      <c r="B110" s="70">
        <v>4030.0969977438035</v>
      </c>
      <c r="C110" s="70">
        <v>4618.2317116480262</v>
      </c>
      <c r="D110" s="70">
        <v>5475.5318977458992</v>
      </c>
      <c r="E110" s="71">
        <v>6509.2634731224834</v>
      </c>
      <c r="F110" s="70">
        <v>7325.2554688865748</v>
      </c>
      <c r="G110" s="70">
        <v>7774.3310000000492</v>
      </c>
      <c r="H110" s="70">
        <v>0</v>
      </c>
      <c r="I110" s="70">
        <v>0</v>
      </c>
    </row>
    <row r="111" spans="1:9">
      <c r="A111" s="7" t="str">
        <f>HLOOKUP(INDICE!$F$2,Nombres!$C$3:$D$636,70,FALSE)</f>
        <v>Other off balance-sheet funds</v>
      </c>
      <c r="B111" s="70">
        <v>0</v>
      </c>
      <c r="C111" s="70">
        <v>0</v>
      </c>
      <c r="D111" s="70">
        <v>0</v>
      </c>
      <c r="E111" s="71">
        <v>0</v>
      </c>
      <c r="F111" s="70">
        <v>0</v>
      </c>
      <c r="G111" s="70">
        <v>0</v>
      </c>
      <c r="H111" s="70">
        <v>0</v>
      </c>
      <c r="I111" s="70">
        <v>0</v>
      </c>
    </row>
    <row r="112" spans="1:9">
      <c r="A112" s="8" t="str">
        <f>HLOOKUP(INDICE!$F$2,Nombres!$C$3:$D$636,71,FALSE)</f>
        <v xml:space="preserve">(*) Excluding repos. </v>
      </c>
      <c r="B112" s="79"/>
      <c r="C112" s="79"/>
      <c r="D112" s="79"/>
      <c r="E112" s="79"/>
      <c r="F112" s="79"/>
      <c r="G112" s="79"/>
      <c r="H112" s="79"/>
      <c r="I112" s="79"/>
    </row>
    <row r="113" spans="1:9">
      <c r="A113" s="8">
        <f>HLOOKUP(INDICE!$F$2,Nombres!$C$3:$D$636,72,FALSE)</f>
        <v>0</v>
      </c>
      <c r="B113" s="57"/>
      <c r="C113" s="57"/>
      <c r="D113" s="57"/>
      <c r="E113" s="57"/>
      <c r="F113" s="57"/>
      <c r="G113" s="57"/>
      <c r="H113" s="57"/>
      <c r="I113" s="57"/>
    </row>
    <row r="114" spans="1:9">
      <c r="A114" s="8"/>
      <c r="B114" s="79"/>
      <c r="C114" s="70"/>
      <c r="D114" s="70"/>
      <c r="E114" s="70"/>
      <c r="F114" s="70"/>
      <c r="G114" s="57"/>
      <c r="H114" s="57"/>
      <c r="I114" s="57"/>
    </row>
    <row r="115" spans="1:9" ht="17">
      <c r="A115" s="59" t="str">
        <f>HLOOKUP(INDICE!$F$2,Nombres!$C$3:$D$636,31,FALSE)</f>
        <v xml:space="preserve">Income statement  </v>
      </c>
      <c r="B115" s="60"/>
      <c r="C115" s="60"/>
      <c r="D115" s="60"/>
      <c r="E115" s="60"/>
      <c r="F115" s="60"/>
      <c r="G115" s="60"/>
      <c r="H115" s="60"/>
      <c r="I115" s="60"/>
    </row>
    <row r="116" spans="1:9">
      <c r="A116" s="9" t="str">
        <f>HLOOKUP(INDICE!$F$2,Nombres!$C$3:$D$636,77,FALSE)</f>
        <v>(Million Turkish liras)</v>
      </c>
      <c r="B116" s="57"/>
      <c r="C116" s="61"/>
      <c r="D116" s="61"/>
      <c r="E116" s="61"/>
      <c r="F116" s="57"/>
      <c r="G116" s="57"/>
      <c r="H116" s="57"/>
      <c r="I116" s="57"/>
    </row>
    <row r="117" spans="1:9">
      <c r="A117" s="62"/>
      <c r="B117" s="57"/>
      <c r="C117" s="61"/>
      <c r="D117" s="61"/>
      <c r="E117" s="61"/>
      <c r="F117" s="57"/>
      <c r="G117" s="57"/>
      <c r="H117" s="57"/>
      <c r="I117" s="57"/>
    </row>
    <row r="118" spans="1:9">
      <c r="A118" s="63"/>
      <c r="B118" s="257">
        <f>+B$6</f>
        <v>2025</v>
      </c>
      <c r="C118" s="257"/>
      <c r="D118" s="257"/>
      <c r="E118" s="258"/>
      <c r="F118" s="257">
        <f>+F$6</f>
        <v>2026</v>
      </c>
      <c r="G118" s="257"/>
      <c r="H118" s="257"/>
      <c r="I118" s="257"/>
    </row>
    <row r="119" spans="1:9">
      <c r="A119" s="63"/>
      <c r="B119" s="64" t="str">
        <f>+B$7</f>
        <v>1Q</v>
      </c>
      <c r="C119" s="64" t="str">
        <f t="shared" ref="C119:I119" si="18">+C$7</f>
        <v>2Q</v>
      </c>
      <c r="D119" s="64" t="str">
        <f t="shared" si="18"/>
        <v>3Q</v>
      </c>
      <c r="E119" s="65" t="str">
        <f t="shared" si="18"/>
        <v>4Q</v>
      </c>
      <c r="F119" s="64" t="str">
        <f t="shared" si="18"/>
        <v>1Q</v>
      </c>
      <c r="G119" s="64" t="str">
        <f t="shared" si="18"/>
        <v>2Q</v>
      </c>
      <c r="H119" s="64" t="str">
        <f t="shared" si="18"/>
        <v>3Q</v>
      </c>
      <c r="I119" s="64" t="str">
        <f t="shared" si="18"/>
        <v>4Q</v>
      </c>
    </row>
    <row r="120" spans="1:9">
      <c r="A120" s="17" t="str">
        <f>HLOOKUP(INDICE!$F$2,Nombres!$C$3:$D$636,33,FALSE)</f>
        <v>Net interest income</v>
      </c>
      <c r="B120" s="17">
        <v>28563.033011207976</v>
      </c>
      <c r="C120" s="17">
        <v>31455.247644581053</v>
      </c>
      <c r="D120" s="17">
        <v>43075.362843270996</v>
      </c>
      <c r="E120" s="66">
        <v>50584.28937864639</v>
      </c>
      <c r="F120" s="67">
        <v>57335.403072502078</v>
      </c>
      <c r="G120" s="67">
        <v>56891.815348401797</v>
      </c>
      <c r="H120" s="67">
        <v>0</v>
      </c>
      <c r="I120" s="67">
        <v>0</v>
      </c>
    </row>
    <row r="121" spans="1:9">
      <c r="A121" s="7" t="str">
        <f>HLOOKUP(INDICE!$F$2,Nombres!$C$3:$D$636,34,FALSE)</f>
        <v>Net fees and commissions</v>
      </c>
      <c r="B121" s="70">
        <v>22526.810537057467</v>
      </c>
      <c r="C121" s="70">
        <v>26632.171868377125</v>
      </c>
      <c r="D121" s="70">
        <v>28912.51382719204</v>
      </c>
      <c r="E121" s="71">
        <v>28907.022136465224</v>
      </c>
      <c r="F121" s="70">
        <v>28874.515980193664</v>
      </c>
      <c r="G121" s="70">
        <v>35013.3920188595</v>
      </c>
      <c r="H121" s="70">
        <v>0</v>
      </c>
      <c r="I121" s="70">
        <v>0</v>
      </c>
    </row>
    <row r="122" spans="1:9">
      <c r="A122" s="7" t="str">
        <f>HLOOKUP(INDICE!$F$2,Nombres!$C$3:$D$636,35,FALSE)</f>
        <v>Net trading income</v>
      </c>
      <c r="B122" s="70">
        <v>5047.0772010350256</v>
      </c>
      <c r="C122" s="70">
        <v>5171.3153835454168</v>
      </c>
      <c r="D122" s="70">
        <v>6244.0173170869421</v>
      </c>
      <c r="E122" s="71">
        <v>3275.0480533108484</v>
      </c>
      <c r="F122" s="70">
        <v>7471.049737590929</v>
      </c>
      <c r="G122" s="70">
        <v>4187.8206920734674</v>
      </c>
      <c r="H122" s="70">
        <v>0</v>
      </c>
      <c r="I122" s="70">
        <v>0</v>
      </c>
    </row>
    <row r="123" spans="1:9">
      <c r="A123" s="7" t="str">
        <f>HLOOKUP(INDICE!$F$2,Nombres!$C$3:$D$636,36,FALSE)</f>
        <v>Other operating income and expenses</v>
      </c>
      <c r="B123" s="70">
        <v>-4391.6662697236952</v>
      </c>
      <c r="C123" s="70">
        <v>-3813.5139926802672</v>
      </c>
      <c r="D123" s="70">
        <v>-6563.4913288554253</v>
      </c>
      <c r="E123" s="71">
        <v>-4541.4587624953692</v>
      </c>
      <c r="F123" s="70">
        <v>-6119.0425617236078</v>
      </c>
      <c r="G123" s="70">
        <v>-4579.581398840658</v>
      </c>
      <c r="H123" s="70">
        <v>0</v>
      </c>
      <c r="I123" s="70">
        <v>0</v>
      </c>
    </row>
    <row r="124" spans="1:9">
      <c r="A124" s="17" t="str">
        <f>HLOOKUP(INDICE!$F$2,Nombres!$C$3:$D$636,37,FALSE)</f>
        <v>Gross income</v>
      </c>
      <c r="B124" s="17">
        <f>+SUM(B120:B123)</f>
        <v>51745.254479576775</v>
      </c>
      <c r="C124" s="17">
        <f t="shared" ref="C124:I124" si="19">+SUM(C120:C123)</f>
        <v>59445.220903823327</v>
      </c>
      <c r="D124" s="17">
        <f t="shared" si="19"/>
        <v>71668.402658694555</v>
      </c>
      <c r="E124" s="66">
        <f t="shared" si="19"/>
        <v>78224.9008059271</v>
      </c>
      <c r="F124" s="67">
        <f t="shared" si="19"/>
        <v>87561.926228563068</v>
      </c>
      <c r="G124" s="67">
        <f t="shared" si="19"/>
        <v>91513.446660494097</v>
      </c>
      <c r="H124" s="67">
        <f t="shared" si="19"/>
        <v>0</v>
      </c>
      <c r="I124" s="67">
        <f t="shared" si="19"/>
        <v>0</v>
      </c>
    </row>
    <row r="125" spans="1:9">
      <c r="A125" s="7" t="str">
        <f>HLOOKUP(INDICE!$F$2,Nombres!$C$3:$D$636,38,FALSE)</f>
        <v>Operating expenses</v>
      </c>
      <c r="B125" s="70">
        <v>-23571.531337238463</v>
      </c>
      <c r="C125" s="70">
        <v>-26290.806641347124</v>
      </c>
      <c r="D125" s="70">
        <v>-30091.468673073901</v>
      </c>
      <c r="E125" s="71">
        <v>-35995.240560752478</v>
      </c>
      <c r="F125" s="70">
        <v>-34705.04561898228</v>
      </c>
      <c r="G125" s="70">
        <v>-37963.444164536399</v>
      </c>
      <c r="H125" s="70">
        <v>0</v>
      </c>
      <c r="I125" s="70">
        <v>0</v>
      </c>
    </row>
    <row r="126" spans="1:9">
      <c r="A126" s="7" t="str">
        <f>HLOOKUP(INDICE!$F$2,Nombres!$C$3:$D$636,39,FALSE)</f>
        <v xml:space="preserve">  Administration expenses</v>
      </c>
      <c r="B126" s="70">
        <v>-21168.306889418553</v>
      </c>
      <c r="C126" s="70">
        <v>-23407.794202394689</v>
      </c>
      <c r="D126" s="70">
        <v>-26852.017819297842</v>
      </c>
      <c r="E126" s="71">
        <v>-32928.913987693813</v>
      </c>
      <c r="F126" s="70">
        <v>-31352.430085352549</v>
      </c>
      <c r="G126" s="70">
        <v>-34169.295090405991</v>
      </c>
      <c r="H126" s="70">
        <v>0</v>
      </c>
      <c r="I126" s="70">
        <v>0</v>
      </c>
    </row>
    <row r="127" spans="1:9">
      <c r="A127" s="72" t="str">
        <f>HLOOKUP(INDICE!$F$2,Nombres!$C$3:$D$636,40,FALSE)</f>
        <v xml:space="preserve">  Personnel expenses</v>
      </c>
      <c r="B127" s="70">
        <v>-13610.276229486961</v>
      </c>
      <c r="C127" s="70">
        <v>-14810.901879793288</v>
      </c>
      <c r="D127" s="70">
        <v>-17691.476654290174</v>
      </c>
      <c r="E127" s="71">
        <v>-19537.948972466183</v>
      </c>
      <c r="F127" s="70">
        <v>-20211.399471642384</v>
      </c>
      <c r="G127" s="70">
        <v>-22064.215926680379</v>
      </c>
      <c r="H127" s="70">
        <v>0</v>
      </c>
      <c r="I127" s="70">
        <v>0</v>
      </c>
    </row>
    <row r="128" spans="1:9">
      <c r="A128" s="72" t="str">
        <f>HLOOKUP(INDICE!$F$2,Nombres!$C$3:$D$636,41,FALSE)</f>
        <v xml:space="preserve">  General and administrative expenses</v>
      </c>
      <c r="B128" s="70">
        <v>-7558.03065993159</v>
      </c>
      <c r="C128" s="70">
        <v>-8596.8923226014012</v>
      </c>
      <c r="D128" s="70">
        <v>-9160.5411650076749</v>
      </c>
      <c r="E128" s="71">
        <v>-13390.965015227626</v>
      </c>
      <c r="F128" s="70">
        <v>-11141.030613710171</v>
      </c>
      <c r="G128" s="70">
        <v>-12105.079163725613</v>
      </c>
      <c r="H128" s="70">
        <v>0</v>
      </c>
      <c r="I128" s="70">
        <v>0</v>
      </c>
    </row>
    <row r="129" spans="1:9">
      <c r="A129" s="7" t="str">
        <f>HLOOKUP(INDICE!$F$2,Nombres!$C$3:$D$636,42,FALSE)</f>
        <v xml:space="preserve">  Depreciation</v>
      </c>
      <c r="B129" s="70">
        <v>-2403.2244478199091</v>
      </c>
      <c r="C129" s="70">
        <v>-2883.0124389524362</v>
      </c>
      <c r="D129" s="70">
        <v>-3239.4508537760612</v>
      </c>
      <c r="E129" s="71">
        <v>-3066.3265730586622</v>
      </c>
      <c r="F129" s="70">
        <v>-3352.6155336297302</v>
      </c>
      <c r="G129" s="70">
        <v>-3794.1490741304005</v>
      </c>
      <c r="H129" s="70">
        <v>0</v>
      </c>
      <c r="I129" s="70">
        <v>0</v>
      </c>
    </row>
    <row r="130" spans="1:9">
      <c r="A130" s="17" t="str">
        <f>HLOOKUP(INDICE!$F$2,Nombres!$C$3:$D$636,43,FALSE)</f>
        <v>Operating income</v>
      </c>
      <c r="B130" s="17">
        <f>+B124+B125</f>
        <v>28173.723142338313</v>
      </c>
      <c r="C130" s="17">
        <f t="shared" ref="C130:I130" si="20">+C124+C125</f>
        <v>33154.414262476203</v>
      </c>
      <c r="D130" s="17">
        <f t="shared" si="20"/>
        <v>41576.93398562065</v>
      </c>
      <c r="E130" s="66">
        <f t="shared" si="20"/>
        <v>42229.660245174622</v>
      </c>
      <c r="F130" s="67">
        <f t="shared" si="20"/>
        <v>52856.880609580789</v>
      </c>
      <c r="G130" s="67">
        <f t="shared" si="20"/>
        <v>53550.002495957699</v>
      </c>
      <c r="H130" s="67">
        <f t="shared" si="20"/>
        <v>0</v>
      </c>
      <c r="I130" s="67">
        <f t="shared" si="20"/>
        <v>0</v>
      </c>
    </row>
    <row r="131" spans="1:9">
      <c r="A131" s="7" t="str">
        <f>HLOOKUP(INDICE!$F$2,Nombres!$C$3:$D$636,44,FALSE)</f>
        <v>Impaiment on financial assets not measured at fair value through profit or loss</v>
      </c>
      <c r="B131" s="70">
        <v>-9605.7245272035998</v>
      </c>
      <c r="C131" s="70">
        <v>-9341.3403556560497</v>
      </c>
      <c r="D131" s="70">
        <v>-13582.560202741986</v>
      </c>
      <c r="E131" s="71">
        <v>-17931.335463276901</v>
      </c>
      <c r="F131" s="70">
        <v>-18005.432209575793</v>
      </c>
      <c r="G131" s="70">
        <v>-18408.936057434035</v>
      </c>
      <c r="H131" s="70">
        <v>0</v>
      </c>
      <c r="I131" s="70">
        <v>0</v>
      </c>
    </row>
    <row r="132" spans="1:9">
      <c r="A132" s="7" t="str">
        <f>HLOOKUP(INDICE!$F$2,Nombres!$C$3:$D$636,45,FALSE)</f>
        <v>Provisions or reversal of provisions and other results</v>
      </c>
      <c r="B132" s="70">
        <v>-103.02302093401677</v>
      </c>
      <c r="C132" s="70">
        <v>586.53060153745412</v>
      </c>
      <c r="D132" s="70">
        <v>-1121.8007401304885</v>
      </c>
      <c r="E132" s="71">
        <v>-1112.1917098493391</v>
      </c>
      <c r="F132" s="70">
        <v>-803.04287198267014</v>
      </c>
      <c r="G132" s="70">
        <v>-843.3862419577456</v>
      </c>
      <c r="H132" s="70">
        <v>0</v>
      </c>
      <c r="I132" s="70">
        <v>0</v>
      </c>
    </row>
    <row r="133" spans="1:9">
      <c r="A133" s="17" t="str">
        <f>HLOOKUP(INDICE!$F$2,Nombres!$C$3:$D$636,46,FALSE)</f>
        <v>Profit/(loss) before tax</v>
      </c>
      <c r="B133" s="17">
        <f>+B130+B131+B132</f>
        <v>18464.975594200696</v>
      </c>
      <c r="C133" s="17">
        <f t="shared" ref="C133:I133" si="21">+C130+C131+C132</f>
        <v>24399.604508357606</v>
      </c>
      <c r="D133" s="17">
        <f t="shared" si="21"/>
        <v>26872.573042748172</v>
      </c>
      <c r="E133" s="66">
        <f t="shared" si="21"/>
        <v>23186.133072048382</v>
      </c>
      <c r="F133" s="67">
        <f t="shared" si="21"/>
        <v>34048.405528022333</v>
      </c>
      <c r="G133" s="67">
        <f t="shared" si="21"/>
        <v>34297.680196565911</v>
      </c>
      <c r="H133" s="67">
        <f t="shared" si="21"/>
        <v>0</v>
      </c>
      <c r="I133" s="67">
        <f t="shared" si="21"/>
        <v>0</v>
      </c>
    </row>
    <row r="134" spans="1:9">
      <c r="A134" s="7" t="str">
        <f>HLOOKUP(INDICE!$F$2,Nombres!$C$3:$D$636,47,FALSE)</f>
        <v>Income tax</v>
      </c>
      <c r="B134" s="70">
        <v>-10822.548380298329</v>
      </c>
      <c r="C134" s="70">
        <v>-9627.2419954031138</v>
      </c>
      <c r="D134" s="70">
        <v>-12250.061882043176</v>
      </c>
      <c r="E134" s="71">
        <v>-12642.011843661456</v>
      </c>
      <c r="F134" s="70">
        <v>-18110.619292419266</v>
      </c>
      <c r="G134" s="70">
        <v>-16757.908304016506</v>
      </c>
      <c r="H134" s="70">
        <v>0</v>
      </c>
      <c r="I134" s="70">
        <v>0</v>
      </c>
    </row>
    <row r="135" spans="1:9">
      <c r="A135" s="17" t="str">
        <f>HLOOKUP(INDICE!$F$2,Nombres!$C$3:$D$636,48,FALSE)</f>
        <v>Profit/(loss) for the year</v>
      </c>
      <c r="B135" s="17">
        <f>+B133+B134</f>
        <v>7642.4272139023669</v>
      </c>
      <c r="C135" s="17">
        <f t="shared" ref="C135:I135" si="22">+C133+C134</f>
        <v>14772.362512954493</v>
      </c>
      <c r="D135" s="17">
        <f t="shared" si="22"/>
        <v>14622.511160704997</v>
      </c>
      <c r="E135" s="66">
        <f t="shared" si="22"/>
        <v>10544.121228386926</v>
      </c>
      <c r="F135" s="67">
        <f t="shared" si="22"/>
        <v>15937.786235603067</v>
      </c>
      <c r="G135" s="67">
        <f t="shared" si="22"/>
        <v>17539.771892549405</v>
      </c>
      <c r="H135" s="67">
        <f t="shared" si="22"/>
        <v>0</v>
      </c>
      <c r="I135" s="67">
        <f t="shared" si="22"/>
        <v>0</v>
      </c>
    </row>
    <row r="136" spans="1:9">
      <c r="A136" s="7" t="str">
        <f>HLOOKUP(INDICE!$F$2,Nombres!$C$3:$D$636,49,FALSE)</f>
        <v>Non-controlling interests</v>
      </c>
      <c r="B136" s="70">
        <v>-1238.8830809342007</v>
      </c>
      <c r="C136" s="70">
        <v>-2333.6233572911665</v>
      </c>
      <c r="D136" s="70">
        <v>-2328.5105491135614</v>
      </c>
      <c r="E136" s="71">
        <v>-1758.6041912949086</v>
      </c>
      <c r="F136" s="70">
        <v>-2506.7356621030158</v>
      </c>
      <c r="G136" s="70">
        <v>-2763.423086856159</v>
      </c>
      <c r="H136" s="70">
        <v>0</v>
      </c>
      <c r="I136" s="70">
        <v>0</v>
      </c>
    </row>
    <row r="137" spans="1:9">
      <c r="A137" s="18" t="str">
        <f>HLOOKUP(INDICE!$F$2,Nombres!$C$3:$D$636,50,FALSE)</f>
        <v>Net attributable profit</v>
      </c>
      <c r="B137" s="18">
        <f>+B135+B136</f>
        <v>6403.5441329681662</v>
      </c>
      <c r="C137" s="18">
        <f t="shared" ref="C137:I137" si="23">+C135+C136</f>
        <v>12438.739155663327</v>
      </c>
      <c r="D137" s="18">
        <f t="shared" si="23"/>
        <v>12294.000611591435</v>
      </c>
      <c r="E137" s="18">
        <f t="shared" si="23"/>
        <v>8785.5170370920168</v>
      </c>
      <c r="F137" s="88">
        <f t="shared" si="23"/>
        <v>13431.050573500052</v>
      </c>
      <c r="G137" s="88">
        <f t="shared" si="23"/>
        <v>14776.348805693246</v>
      </c>
      <c r="H137" s="88">
        <f t="shared" si="23"/>
        <v>0</v>
      </c>
      <c r="I137" s="88">
        <f t="shared" si="23"/>
        <v>0</v>
      </c>
    </row>
    <row r="138" spans="1:9">
      <c r="A138" s="8"/>
      <c r="B138" s="93">
        <v>-4.1836756281554699E-11</v>
      </c>
      <c r="C138" s="93">
        <v>0</v>
      </c>
      <c r="D138" s="93">
        <v>-1.6370904631912708E-11</v>
      </c>
      <c r="E138" s="93"/>
      <c r="F138" s="101"/>
      <c r="G138" s="101"/>
      <c r="H138" s="101"/>
      <c r="I138" s="101"/>
    </row>
    <row r="139" spans="1:9">
      <c r="A139" s="17"/>
      <c r="B139" s="17"/>
      <c r="C139" s="17"/>
      <c r="D139" s="17"/>
      <c r="E139" s="17"/>
      <c r="F139" s="67"/>
      <c r="G139" s="67"/>
      <c r="H139" s="67"/>
      <c r="I139" s="67"/>
    </row>
    <row r="140" spans="1:9" ht="17">
      <c r="A140" s="59" t="str">
        <f>HLOOKUP(INDICE!$F$2,Nombres!$C$3:$D$636,51,FALSE)</f>
        <v>Balance sheets</v>
      </c>
      <c r="B140" s="60"/>
      <c r="C140" s="60"/>
      <c r="D140" s="60"/>
      <c r="E140" s="60"/>
      <c r="F140" s="95"/>
      <c r="G140" s="95"/>
      <c r="H140" s="95"/>
      <c r="I140" s="95"/>
    </row>
    <row r="141" spans="1:9">
      <c r="A141" s="9" t="str">
        <f>HLOOKUP(INDICE!$F$2,Nombres!$C$3:$D$636,77,FALSE)</f>
        <v>(Million Turkish liras)</v>
      </c>
      <c r="B141" s="57"/>
      <c r="C141" s="78"/>
      <c r="D141" s="78"/>
      <c r="E141" s="78"/>
      <c r="F141" s="96"/>
      <c r="G141" s="70"/>
      <c r="H141" s="70"/>
      <c r="I141" s="70"/>
    </row>
    <row r="142" spans="1:9">
      <c r="A142" s="57"/>
      <c r="B142" s="80">
        <f t="shared" ref="B142:I142" si="24">+B$30</f>
        <v>45747</v>
      </c>
      <c r="C142" s="80">
        <f t="shared" si="24"/>
        <v>45838</v>
      </c>
      <c r="D142" s="80">
        <f t="shared" si="24"/>
        <v>45930</v>
      </c>
      <c r="E142" s="92">
        <f t="shared" si="24"/>
        <v>46022</v>
      </c>
      <c r="F142" s="80">
        <f t="shared" si="24"/>
        <v>46112</v>
      </c>
      <c r="G142" s="80">
        <f t="shared" si="24"/>
        <v>46203</v>
      </c>
      <c r="H142" s="80">
        <f t="shared" si="24"/>
        <v>46295</v>
      </c>
      <c r="I142" s="80">
        <f t="shared" si="24"/>
        <v>46387</v>
      </c>
    </row>
    <row r="143" spans="1:9">
      <c r="A143" s="7" t="str">
        <f>HLOOKUP(INDICE!$F$2,Nombres!$C$3:$D$636,52,FALSE)</f>
        <v>Cash, cash balances at central banks and other demand deposits</v>
      </c>
      <c r="B143" s="70">
        <v>432412.47403242294</v>
      </c>
      <c r="C143" s="70">
        <v>442424.63014996349</v>
      </c>
      <c r="D143" s="70">
        <v>488023.45815784083</v>
      </c>
      <c r="E143" s="71">
        <v>457411.09505405236</v>
      </c>
      <c r="F143" s="70">
        <v>490637.26478007133</v>
      </c>
      <c r="G143" s="70">
        <v>433990.90122882102</v>
      </c>
      <c r="H143" s="70">
        <v>0</v>
      </c>
      <c r="I143" s="70">
        <v>0</v>
      </c>
    </row>
    <row r="144" spans="1:9">
      <c r="A144" s="7" t="str">
        <f>HLOOKUP(INDICE!$F$2,Nombres!$C$3:$D$636,53,FALSE)</f>
        <v xml:space="preserve">Financial assets designated at fair value </v>
      </c>
      <c r="B144" s="79">
        <v>198615.22259973545</v>
      </c>
      <c r="C144" s="79">
        <v>212352.94786592526</v>
      </c>
      <c r="D144" s="79">
        <v>235536.32806116925</v>
      </c>
      <c r="E144" s="89">
        <v>252908.49092284945</v>
      </c>
      <c r="F144" s="70">
        <v>415960.4775722691</v>
      </c>
      <c r="G144" s="70">
        <v>330097.68741044903</v>
      </c>
      <c r="H144" s="70">
        <v>0</v>
      </c>
      <c r="I144" s="70">
        <v>0</v>
      </c>
    </row>
    <row r="145" spans="1:9">
      <c r="A145" s="7" t="str">
        <f>HLOOKUP(INDICE!$F$2,Nombres!$C$3:$D$636,54,FALSE)</f>
        <v>Financial assets at amortized cost</v>
      </c>
      <c r="B145" s="70">
        <v>2713267.9537935844</v>
      </c>
      <c r="C145" s="70">
        <v>2987219.4062023768</v>
      </c>
      <c r="D145" s="70">
        <v>3294740.8828247385</v>
      </c>
      <c r="E145" s="71">
        <v>3637210.7306666877</v>
      </c>
      <c r="F145" s="70">
        <v>3657742.4260482029</v>
      </c>
      <c r="G145" s="70">
        <v>4215912.3410454961</v>
      </c>
      <c r="H145" s="70">
        <v>0</v>
      </c>
      <c r="I145" s="70">
        <v>0</v>
      </c>
    </row>
    <row r="146" spans="1:9">
      <c r="A146" s="7" t="str">
        <f>HLOOKUP(INDICE!$F$2,Nombres!$C$3:$D$636,55,FALSE)</f>
        <v xml:space="preserve">    of which loans and advances to customers</v>
      </c>
      <c r="B146" s="70">
        <v>1965466.8441814659</v>
      </c>
      <c r="C146" s="70">
        <v>2237425.4233830185</v>
      </c>
      <c r="D146" s="70">
        <v>2471795.2161756433</v>
      </c>
      <c r="E146" s="71">
        <v>2713268.6420893893</v>
      </c>
      <c r="F146" s="70">
        <v>2912710.4598594173</v>
      </c>
      <c r="G146" s="70">
        <v>3160398.0230613793</v>
      </c>
      <c r="H146" s="70">
        <v>0</v>
      </c>
      <c r="I146" s="70">
        <v>0</v>
      </c>
    </row>
    <row r="147" spans="1:9" hidden="1">
      <c r="A147" s="7"/>
      <c r="B147" s="70"/>
      <c r="C147" s="70"/>
      <c r="D147" s="70"/>
      <c r="E147" s="71"/>
      <c r="F147" s="70"/>
      <c r="G147" s="70"/>
      <c r="H147" s="70"/>
      <c r="I147" s="70"/>
    </row>
    <row r="148" spans="1:9">
      <c r="A148" s="7" t="str">
        <f>HLOOKUP(INDICE!$F$2,Nombres!$C$3:$D$636,56,FALSE)</f>
        <v>Tangible assets</v>
      </c>
      <c r="B148" s="70">
        <v>81999.279714625591</v>
      </c>
      <c r="C148" s="70">
        <v>84208.85694679858</v>
      </c>
      <c r="D148" s="70">
        <v>89133.943417135641</v>
      </c>
      <c r="E148" s="71">
        <v>96153.464831259203</v>
      </c>
      <c r="F148" s="70">
        <v>104673.15095038747</v>
      </c>
      <c r="G148" s="70">
        <v>109859.61932755128</v>
      </c>
      <c r="H148" s="70">
        <v>0</v>
      </c>
      <c r="I148" s="70">
        <v>0</v>
      </c>
    </row>
    <row r="149" spans="1:9">
      <c r="A149" s="7" t="str">
        <f>HLOOKUP(INDICE!$F$2,Nombres!$C$3:$D$636,57,FALSE)</f>
        <v>Other assets</v>
      </c>
      <c r="B149" s="79">
        <f>+B150-B148-B145-B144-B143</f>
        <v>102100.49961289769</v>
      </c>
      <c r="C149" s="79">
        <f t="shared" ref="C149:I149" si="25">+C150-C148-C145-C144-C143</f>
        <v>114842.21058511437</v>
      </c>
      <c r="D149" s="79">
        <f t="shared" si="25"/>
        <v>128972.82721097214</v>
      </c>
      <c r="E149" s="89">
        <f t="shared" si="25"/>
        <v>135295.06948413857</v>
      </c>
      <c r="F149" s="70">
        <f t="shared" si="25"/>
        <v>149432.8465295569</v>
      </c>
      <c r="G149" s="70">
        <f t="shared" si="25"/>
        <v>167275.73254971998</v>
      </c>
      <c r="H149" s="70">
        <f t="shared" si="25"/>
        <v>0</v>
      </c>
      <c r="I149" s="70">
        <f t="shared" si="25"/>
        <v>0</v>
      </c>
    </row>
    <row r="150" spans="1:9">
      <c r="A150" s="18" t="str">
        <f>HLOOKUP(INDICE!$F$2,Nombres!$C$3:$D$636,58,FALSE)</f>
        <v>Total assets / Liabilities and equity</v>
      </c>
      <c r="B150" s="18">
        <v>3528395.4297532663</v>
      </c>
      <c r="C150" s="18">
        <v>3841048.0517501784</v>
      </c>
      <c r="D150" s="18">
        <v>4236407.4396718564</v>
      </c>
      <c r="E150" s="87">
        <v>4578978.8509589871</v>
      </c>
      <c r="F150" s="88">
        <v>4818446.1658804873</v>
      </c>
      <c r="G150" s="88">
        <v>5257136.2815620378</v>
      </c>
      <c r="H150" s="88">
        <v>0</v>
      </c>
      <c r="I150" s="88">
        <v>0</v>
      </c>
    </row>
    <row r="151" spans="1:9">
      <c r="A151" s="7" t="str">
        <f>HLOOKUP(INDICE!$F$2,Nombres!$C$3:$D$636,59,FALSE)</f>
        <v>Financial liabilities held for trading and designated at fair value through profit or loss</v>
      </c>
      <c r="B151" s="79">
        <v>76106.401512497556</v>
      </c>
      <c r="C151" s="79">
        <v>80042.912343404765</v>
      </c>
      <c r="D151" s="79">
        <v>81155.337782482471</v>
      </c>
      <c r="E151" s="89">
        <v>85297.57993021814</v>
      </c>
      <c r="F151" s="70">
        <v>95524.893162433043</v>
      </c>
      <c r="G151" s="70">
        <v>96662.510468614666</v>
      </c>
      <c r="H151" s="70">
        <v>0</v>
      </c>
      <c r="I151" s="70">
        <v>0</v>
      </c>
    </row>
    <row r="152" spans="1:9">
      <c r="A152" s="7" t="str">
        <f>HLOOKUP(INDICE!$F$2,Nombres!$C$3:$D$636,60,FALSE)</f>
        <v>Deposits from central banks and credit institutions</v>
      </c>
      <c r="B152" s="79">
        <v>154939.57606248895</v>
      </c>
      <c r="C152" s="79">
        <v>208877.88907747</v>
      </c>
      <c r="D152" s="79">
        <v>208663.38634982466</v>
      </c>
      <c r="E152" s="89">
        <v>179954.60396219493</v>
      </c>
      <c r="F152" s="70">
        <v>169645.29240988937</v>
      </c>
      <c r="G152" s="70">
        <v>237441.04624703212</v>
      </c>
      <c r="H152" s="70">
        <v>0</v>
      </c>
      <c r="I152" s="70">
        <v>0</v>
      </c>
    </row>
    <row r="153" spans="1:9">
      <c r="A153" s="7" t="str">
        <f>HLOOKUP(INDICE!$F$2,Nombres!$C$3:$D$636,61,FALSE)</f>
        <v>Deposits from customers</v>
      </c>
      <c r="B153" s="79">
        <v>2559859.3301412249</v>
      </c>
      <c r="C153" s="79">
        <v>2712599.8852930441</v>
      </c>
      <c r="D153" s="79">
        <v>2971648.8051152658</v>
      </c>
      <c r="E153" s="89">
        <v>3179694.4778529042</v>
      </c>
      <c r="F153" s="70">
        <v>3346453.8208241705</v>
      </c>
      <c r="G153" s="70">
        <v>3647814.7984822718</v>
      </c>
      <c r="H153" s="70">
        <v>0</v>
      </c>
      <c r="I153" s="70">
        <v>0</v>
      </c>
    </row>
    <row r="154" spans="1:9">
      <c r="A154" s="7" t="str">
        <f>HLOOKUP(INDICE!$F$2,Nombres!$C$3:$D$636,62,FALSE)</f>
        <v>Debt certificates</v>
      </c>
      <c r="B154" s="70">
        <v>186554.89685635277</v>
      </c>
      <c r="C154" s="70">
        <v>240434.15682716671</v>
      </c>
      <c r="D154" s="70">
        <v>295880.30330373801</v>
      </c>
      <c r="E154" s="71">
        <v>378745.6077130576</v>
      </c>
      <c r="F154" s="70">
        <v>371801.97680889239</v>
      </c>
      <c r="G154" s="70">
        <v>401180.51992318721</v>
      </c>
      <c r="H154" s="70">
        <v>0</v>
      </c>
      <c r="I154" s="70">
        <v>0</v>
      </c>
    </row>
    <row r="155" spans="1:9" hidden="1">
      <c r="A155" s="7"/>
      <c r="B155" s="70"/>
      <c r="C155" s="70"/>
      <c r="D155" s="70"/>
      <c r="E155" s="71"/>
      <c r="F155" s="70"/>
      <c r="G155" s="70"/>
      <c r="H155" s="70"/>
      <c r="I155" s="70"/>
    </row>
    <row r="156" spans="1:9">
      <c r="A156" s="7" t="str">
        <f>HLOOKUP(INDICE!$F$2,Nombres!$C$3:$D$636,63,FALSE)</f>
        <v>Other liabilities</v>
      </c>
      <c r="B156" s="79">
        <f>+B150-B151-B152-B153-B154-B157</f>
        <v>191457.07840644842</v>
      </c>
      <c r="C156" s="79">
        <f t="shared" ref="C156:I156" si="26">+C150-C151-C152-C153-C154-C157</f>
        <v>192238.68445845996</v>
      </c>
      <c r="D156" s="79">
        <f t="shared" si="26"/>
        <v>248701.72797568672</v>
      </c>
      <c r="E156" s="89">
        <f t="shared" si="26"/>
        <v>289048.77793712739</v>
      </c>
      <c r="F156" s="70">
        <f t="shared" si="26"/>
        <v>354800.17809250357</v>
      </c>
      <c r="G156" s="70">
        <f t="shared" si="26"/>
        <v>346119.30732589611</v>
      </c>
      <c r="H156" s="70">
        <f t="shared" si="26"/>
        <v>0</v>
      </c>
      <c r="I156" s="70">
        <f t="shared" si="26"/>
        <v>0</v>
      </c>
    </row>
    <row r="157" spans="1:9">
      <c r="A157" s="7" t="str">
        <f>HLOOKUP(INDICE!$F$2,Nombres!$C$3:$D$636,282,FALSE)</f>
        <v>Allocated regulatory capital</v>
      </c>
      <c r="B157" s="70">
        <v>359478.14677425375</v>
      </c>
      <c r="C157" s="70">
        <v>406854.52375063277</v>
      </c>
      <c r="D157" s="70">
        <v>430357.87914485851</v>
      </c>
      <c r="E157" s="70">
        <v>466237.80356348481</v>
      </c>
      <c r="F157" s="70">
        <v>480220.00458259846</v>
      </c>
      <c r="G157" s="70">
        <v>527918.09911503585</v>
      </c>
      <c r="H157" s="70">
        <v>0</v>
      </c>
      <c r="I157" s="70">
        <v>0</v>
      </c>
    </row>
    <row r="158" spans="1:9">
      <c r="A158" s="8"/>
      <c r="B158" s="79"/>
      <c r="C158" s="79"/>
      <c r="D158" s="79"/>
      <c r="E158" s="79"/>
      <c r="F158" s="70"/>
      <c r="G158" s="70"/>
      <c r="H158" s="70"/>
      <c r="I158" s="70"/>
    </row>
    <row r="159" spans="1:9">
      <c r="A159" s="7"/>
      <c r="B159" s="79"/>
      <c r="C159" s="79"/>
      <c r="D159" s="79"/>
      <c r="E159" s="79"/>
      <c r="F159" s="70"/>
      <c r="G159" s="70"/>
      <c r="H159" s="70"/>
      <c r="I159" s="70"/>
    </row>
    <row r="160" spans="1:9" ht="17">
      <c r="A160" s="59" t="str">
        <f>HLOOKUP(INDICE!$F$2,Nombres!$C$3:$D$636,65,FALSE)</f>
        <v>Relevant business indicators</v>
      </c>
      <c r="B160" s="60"/>
      <c r="C160" s="60"/>
      <c r="D160" s="60"/>
      <c r="E160" s="60"/>
      <c r="F160" s="95"/>
      <c r="G160" s="95"/>
      <c r="H160" s="95"/>
      <c r="I160" s="95"/>
    </row>
    <row r="161" spans="1:9">
      <c r="A161" s="9" t="str">
        <f>HLOOKUP(INDICE!$F$2,Nombres!$C$3:$D$636,77,FALSE)</f>
        <v>(Million Turkish liras)</v>
      </c>
      <c r="B161" s="57"/>
      <c r="C161" s="57"/>
      <c r="D161" s="57"/>
      <c r="E161" s="57"/>
      <c r="F161" s="96"/>
      <c r="G161" s="70"/>
      <c r="H161" s="70"/>
      <c r="I161" s="70"/>
    </row>
    <row r="162" spans="1:9" ht="15.75" customHeight="1">
      <c r="A162" s="57"/>
      <c r="B162" s="80">
        <f t="shared" ref="B162:I162" si="27">+B$30</f>
        <v>45747</v>
      </c>
      <c r="C162" s="80">
        <f t="shared" si="27"/>
        <v>45838</v>
      </c>
      <c r="D162" s="80">
        <f t="shared" si="27"/>
        <v>45930</v>
      </c>
      <c r="E162" s="92">
        <f t="shared" si="27"/>
        <v>46022</v>
      </c>
      <c r="F162" s="80">
        <f t="shared" si="27"/>
        <v>46112</v>
      </c>
      <c r="G162" s="80">
        <f t="shared" si="27"/>
        <v>46203</v>
      </c>
      <c r="H162" s="80">
        <f t="shared" si="27"/>
        <v>46295</v>
      </c>
      <c r="I162" s="80">
        <f t="shared" si="27"/>
        <v>46387</v>
      </c>
    </row>
    <row r="163" spans="1:9" ht="15.75" customHeight="1">
      <c r="A163" s="7" t="str">
        <f>HLOOKUP(INDICE!$F$2,Nombres!$C$3:$D$636,66,FALSE)</f>
        <v>Loans and advances to customers (gross) (*)</v>
      </c>
      <c r="B163" s="70">
        <v>2039174.1762608506</v>
      </c>
      <c r="C163" s="70">
        <v>2320998.8572408124</v>
      </c>
      <c r="D163" s="70">
        <v>2561691.5748759704</v>
      </c>
      <c r="E163" s="71">
        <v>2814774.5508480072</v>
      </c>
      <c r="F163" s="70">
        <v>3024577.8365341495</v>
      </c>
      <c r="G163" s="70">
        <v>3284044.4485538485</v>
      </c>
      <c r="H163" s="70">
        <v>0</v>
      </c>
      <c r="I163" s="70">
        <v>0</v>
      </c>
    </row>
    <row r="164" spans="1:9" ht="15.75" customHeight="1">
      <c r="A164" s="7" t="str">
        <f>HLOOKUP(INDICE!$F$2,Nombres!$C$3:$D$636,67,FALSE)</f>
        <v>Customer deposits under management (*)</v>
      </c>
      <c r="B164" s="70">
        <v>2556651.528437587</v>
      </c>
      <c r="C164" s="70">
        <v>2660039.8947032713</v>
      </c>
      <c r="D164" s="70">
        <v>2912732.6465860694</v>
      </c>
      <c r="E164" s="71">
        <v>3156999.8894334785</v>
      </c>
      <c r="F164" s="70">
        <v>3342529.3908420019</v>
      </c>
      <c r="G164" s="70">
        <v>3625183.8086622064</v>
      </c>
      <c r="H164" s="70">
        <v>0</v>
      </c>
      <c r="I164" s="70">
        <v>0</v>
      </c>
    </row>
    <row r="165" spans="1:9" ht="15.75" customHeight="1">
      <c r="A165" s="7" t="str">
        <f>HLOOKUP(INDICE!$F$2,Nombres!$C$3:$D$636,68,FALSE)</f>
        <v>Investment funds and managed portfolios</v>
      </c>
      <c r="B165" s="70">
        <v>547940.36708887457</v>
      </c>
      <c r="C165" s="70">
        <v>700884.00774498493</v>
      </c>
      <c r="D165" s="70">
        <v>865558.60743665649</v>
      </c>
      <c r="E165" s="71">
        <v>981182.38795063598</v>
      </c>
      <c r="F165" s="70">
        <v>982361.22239857446</v>
      </c>
      <c r="G165" s="70">
        <v>1057662.9491277533</v>
      </c>
      <c r="H165" s="70">
        <v>0</v>
      </c>
      <c r="I165" s="70">
        <v>0</v>
      </c>
    </row>
    <row r="166" spans="1:9" ht="15.75" customHeight="1">
      <c r="A166" s="7" t="str">
        <f>HLOOKUP(INDICE!$F$2,Nombres!$C$3:$D$636,69,FALSE)</f>
        <v>Pension funds</v>
      </c>
      <c r="B166" s="70">
        <v>214256.88280618429</v>
      </c>
      <c r="C166" s="70">
        <v>245524.59436294629</v>
      </c>
      <c r="D166" s="70">
        <v>291102.27291642135</v>
      </c>
      <c r="E166" s="71">
        <v>346059.78513573215</v>
      </c>
      <c r="F166" s="70">
        <v>389441.34679667698</v>
      </c>
      <c r="G166" s="70">
        <v>413316.08814775886</v>
      </c>
      <c r="H166" s="70">
        <v>0</v>
      </c>
      <c r="I166" s="70">
        <v>0</v>
      </c>
    </row>
    <row r="167" spans="1:9">
      <c r="A167" s="7" t="str">
        <f>HLOOKUP(INDICE!$F$2,Nombres!$C$3:$D$636,70,FALSE)</f>
        <v>Other off balance-sheet funds</v>
      </c>
      <c r="B167" s="70">
        <v>0</v>
      </c>
      <c r="C167" s="70">
        <v>0</v>
      </c>
      <c r="D167" s="70">
        <v>0</v>
      </c>
      <c r="E167" s="71">
        <v>0</v>
      </c>
      <c r="F167" s="70">
        <v>0</v>
      </c>
      <c r="G167" s="70">
        <v>0</v>
      </c>
      <c r="H167" s="70">
        <v>0</v>
      </c>
      <c r="I167" s="70">
        <v>0</v>
      </c>
    </row>
    <row r="168" spans="1:9">
      <c r="A168" s="8" t="str">
        <f>HLOOKUP(INDICE!$F$2,Nombres!$C$3:$D$636,71,FALSE)</f>
        <v xml:space="preserve">(*) Excluding repos. </v>
      </c>
      <c r="B168" s="79"/>
      <c r="C168" s="79"/>
      <c r="D168" s="79"/>
      <c r="E168" s="79"/>
      <c r="F168" s="70"/>
      <c r="G168" s="70"/>
      <c r="H168" s="70"/>
      <c r="I168" s="70"/>
    </row>
    <row r="169" spans="1:9">
      <c r="A169" s="8">
        <f>HLOOKUP(INDICE!$F$2,Nombres!$C$3:$D$636,72,FALSE)</f>
        <v>0</v>
      </c>
      <c r="B169" s="57"/>
      <c r="C169" s="57"/>
      <c r="D169" s="57"/>
      <c r="E169" s="57"/>
      <c r="F169" s="57"/>
      <c r="G169" s="57"/>
      <c r="H169" s="57"/>
      <c r="I169" s="57"/>
    </row>
    <row r="170" spans="1:9">
      <c r="A170" s="57"/>
      <c r="B170" s="57"/>
      <c r="C170" s="57"/>
      <c r="D170" s="57"/>
      <c r="E170" s="57"/>
      <c r="F170" s="57"/>
      <c r="G170" s="57"/>
      <c r="H170" s="57"/>
      <c r="I170" s="57"/>
    </row>
    <row r="171" spans="1:9">
      <c r="A171" s="57"/>
      <c r="B171" s="57"/>
      <c r="C171" s="57"/>
      <c r="D171" s="57"/>
      <c r="E171" s="57"/>
      <c r="F171" s="57"/>
      <c r="G171" s="57"/>
      <c r="H171" s="57"/>
      <c r="I171" s="57"/>
    </row>
    <row r="172" spans="1:9">
      <c r="A172" s="98"/>
      <c r="C172" s="99"/>
      <c r="D172" s="99"/>
      <c r="E172" s="99"/>
    </row>
    <row r="173" spans="1:9">
      <c r="A173" s="98"/>
      <c r="C173" s="99"/>
      <c r="D173" s="99"/>
      <c r="E173" s="99"/>
    </row>
    <row r="1006" spans="1:1">
      <c r="A1006" t="s">
        <v>557</v>
      </c>
    </row>
  </sheetData>
  <mergeCells count="6">
    <mergeCell ref="B6:E6"/>
    <mergeCell ref="F6:I6"/>
    <mergeCell ref="B62:E62"/>
    <mergeCell ref="F62:I62"/>
    <mergeCell ref="B118:E118"/>
    <mergeCell ref="F118:I118"/>
  </mergeCells>
  <conditionalFormatting sqref="B138:E138">
    <cfRule type="cellIs" dxfId="38" priority="1" operator="notBetween">
      <formula>0.5</formula>
      <formula>-0.5</formula>
    </cfRule>
  </conditionalFormatting>
  <conditionalFormatting sqref="B26:I26">
    <cfRule type="cellIs" dxfId="37" priority="3" operator="notBetween">
      <formula>0.5</formula>
      <formula>-0.5</formula>
    </cfRule>
  </conditionalFormatting>
  <conditionalFormatting sqref="B82:I82">
    <cfRule type="cellIs" dxfId="36" priority="2" operator="notBetween">
      <formula>0.5</formula>
      <formula>-0.5</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B5319-8489-4C0E-9C3D-A2866C684786}">
  <sheetPr>
    <tabColor theme="8"/>
  </sheetPr>
  <dimension ref="A1:L998"/>
  <sheetViews>
    <sheetView showGridLines="0" zoomScale="90" zoomScaleNormal="90" workbookViewId="0">
      <selection activeCell="I1" sqref="H1:I1048576"/>
    </sheetView>
  </sheetViews>
  <sheetFormatPr baseColWidth="10" defaultColWidth="11.453125" defaultRowHeight="14.5"/>
  <cols>
    <col min="1" max="1" width="66.54296875" customWidth="1"/>
    <col min="8" max="9" width="0" hidden="1" customWidth="1"/>
  </cols>
  <sheetData>
    <row r="1" spans="1:9" ht="17">
      <c r="A1" s="56" t="str">
        <f>HLOOKUP(INDICE!$F$2,Nombres!$C$3:$D$636,283,FALSE)</f>
        <v xml:space="preserve">South America </v>
      </c>
      <c r="B1" s="57"/>
      <c r="C1" s="57"/>
      <c r="D1" s="57"/>
      <c r="E1" s="57"/>
      <c r="F1" s="57"/>
      <c r="G1" s="57"/>
      <c r="H1" s="57"/>
      <c r="I1" s="57"/>
    </row>
    <row r="2" spans="1:9" ht="19.5">
      <c r="A2" s="58"/>
      <c r="B2" s="57"/>
      <c r="C2" s="57"/>
      <c r="D2" s="57"/>
      <c r="E2" s="57"/>
      <c r="F2" s="57"/>
      <c r="G2" s="57"/>
      <c r="H2" s="57"/>
      <c r="I2" s="57"/>
    </row>
    <row r="3" spans="1:9" ht="17">
      <c r="A3" s="59" t="str">
        <f>HLOOKUP(INDICE!$F$2,Nombres!$C$3:$D$636,31,FALSE)</f>
        <v xml:space="preserve">Income statement  </v>
      </c>
      <c r="B3" s="60"/>
      <c r="C3" s="60"/>
      <c r="D3" s="60"/>
      <c r="E3" s="60"/>
      <c r="F3" s="60"/>
      <c r="G3" s="60"/>
      <c r="H3" s="60"/>
      <c r="I3" s="60"/>
    </row>
    <row r="4" spans="1:9">
      <c r="A4" s="9" t="str">
        <f>HLOOKUP(INDICE!$F$2,Nombres!$C$3:$D$636,32,FALSE)</f>
        <v>(Million euros)</v>
      </c>
      <c r="B4" s="57"/>
      <c r="C4" s="61"/>
      <c r="D4" s="61"/>
      <c r="E4" s="61"/>
      <c r="F4" s="57"/>
      <c r="G4" s="57"/>
      <c r="H4" s="57"/>
      <c r="I4" s="57"/>
    </row>
    <row r="5" spans="1:9">
      <c r="A5" s="62"/>
      <c r="B5" s="57"/>
      <c r="C5" s="61"/>
      <c r="D5" s="61"/>
      <c r="E5" s="61"/>
      <c r="F5" s="57"/>
      <c r="G5" s="57"/>
      <c r="H5" s="57"/>
      <c r="I5" s="57"/>
    </row>
    <row r="6" spans="1:9">
      <c r="A6" s="63"/>
      <c r="B6" s="257">
        <f>+España!B6</f>
        <v>2025</v>
      </c>
      <c r="C6" s="257"/>
      <c r="D6" s="257"/>
      <c r="E6" s="258"/>
      <c r="F6" s="257">
        <f>+España!F6</f>
        <v>2026</v>
      </c>
      <c r="G6" s="257"/>
      <c r="H6" s="257"/>
      <c r="I6" s="257"/>
    </row>
    <row r="7" spans="1:9">
      <c r="A7" s="63"/>
      <c r="B7" s="64" t="str">
        <f>+España!B7</f>
        <v>1Q</v>
      </c>
      <c r="C7" s="64" t="str">
        <f>+España!C7</f>
        <v>2Q</v>
      </c>
      <c r="D7" s="64" t="str">
        <f>+España!D7</f>
        <v>3Q</v>
      </c>
      <c r="E7" s="65" t="str">
        <f>+España!E7</f>
        <v>4Q</v>
      </c>
      <c r="F7" s="64" t="str">
        <f>+España!F7</f>
        <v>1Q</v>
      </c>
      <c r="G7" s="64" t="str">
        <f>+España!G7</f>
        <v>2Q</v>
      </c>
      <c r="H7" s="64" t="str">
        <f>+España!H7</f>
        <v>3Q</v>
      </c>
      <c r="I7" s="64" t="str">
        <f>+España!I7</f>
        <v>4Q</v>
      </c>
    </row>
    <row r="8" spans="1:9">
      <c r="A8" s="17" t="str">
        <f>HLOOKUP(INDICE!$F$2,Nombres!$C$3:$D$636,33,FALSE)</f>
        <v>Net interest income</v>
      </c>
      <c r="B8" s="17">
        <v>1232.0496445305805</v>
      </c>
      <c r="C8" s="17">
        <v>1154.8940084299563</v>
      </c>
      <c r="D8" s="17">
        <v>1160.2169739332094</v>
      </c>
      <c r="E8" s="66">
        <v>1297.8342456179805</v>
      </c>
      <c r="F8" s="67">
        <v>1474.2731999589992</v>
      </c>
      <c r="G8" s="67">
        <v>1477.81085437961</v>
      </c>
      <c r="H8" s="67">
        <v>0</v>
      </c>
      <c r="I8" s="67">
        <v>0</v>
      </c>
    </row>
    <row r="9" spans="1:9">
      <c r="A9" s="7" t="str">
        <f>HLOOKUP(INDICE!$F$2,Nombres!$C$3:$D$636,34,FALSE)</f>
        <v>Net fees and commissions</v>
      </c>
      <c r="B9" s="70">
        <v>227.4904170401104</v>
      </c>
      <c r="C9" s="70">
        <v>189.90548416997129</v>
      </c>
      <c r="D9" s="70">
        <v>238.06605447863478</v>
      </c>
      <c r="E9" s="71">
        <v>241.68085791762005</v>
      </c>
      <c r="F9" s="70">
        <v>263.26058944432208</v>
      </c>
      <c r="G9" s="70">
        <v>280.73303024492031</v>
      </c>
      <c r="H9" s="70">
        <v>0</v>
      </c>
      <c r="I9" s="70">
        <v>0</v>
      </c>
    </row>
    <row r="10" spans="1:9">
      <c r="A10" s="7" t="str">
        <f>HLOOKUP(INDICE!$F$2,Nombres!$C$3:$D$636,35,FALSE)</f>
        <v>Net trading income</v>
      </c>
      <c r="B10" s="70">
        <v>188.01173739495007</v>
      </c>
      <c r="C10" s="70">
        <v>130.77986746905592</v>
      </c>
      <c r="D10" s="70">
        <v>114.61170459459304</v>
      </c>
      <c r="E10" s="71">
        <v>135.17051986367363</v>
      </c>
      <c r="F10" s="70">
        <v>144.83168048496515</v>
      </c>
      <c r="G10" s="70">
        <v>164.79428798255898</v>
      </c>
      <c r="H10" s="70">
        <v>0</v>
      </c>
      <c r="I10" s="70">
        <v>0</v>
      </c>
    </row>
    <row r="11" spans="1:9">
      <c r="A11" s="7" t="str">
        <f>HLOOKUP(INDICE!$F$2,Nombres!$C$3:$D$636,36,FALSE)</f>
        <v>Other operating income and expenses</v>
      </c>
      <c r="B11" s="70">
        <v>-208.15400000802487</v>
      </c>
      <c r="C11" s="70">
        <v>-195.57300000607162</v>
      </c>
      <c r="D11" s="70">
        <v>-221.21599998824874</v>
      </c>
      <c r="E11" s="71">
        <v>-307.11200000918666</v>
      </c>
      <c r="F11" s="70">
        <v>-256.13707673707006</v>
      </c>
      <c r="G11" s="70">
        <v>-241.71956102780979</v>
      </c>
      <c r="H11" s="70">
        <v>0</v>
      </c>
      <c r="I11" s="70">
        <v>0</v>
      </c>
    </row>
    <row r="12" spans="1:9">
      <c r="A12" s="17" t="str">
        <f>HLOOKUP(INDICE!$F$2,Nombres!$C$3:$D$636,37,FALSE)</f>
        <v>Gross income</v>
      </c>
      <c r="B12" s="17">
        <f>+SUM(B8:B11)</f>
        <v>1439.397798957616</v>
      </c>
      <c r="C12" s="17">
        <f t="shared" ref="C12:I12" si="0">+SUM(C8:C11)</f>
        <v>1280.0063600629119</v>
      </c>
      <c r="D12" s="17">
        <f t="shared" si="0"/>
        <v>1291.6787330181883</v>
      </c>
      <c r="E12" s="66">
        <f t="shared" si="0"/>
        <v>1367.5736233900875</v>
      </c>
      <c r="F12" s="67">
        <f t="shared" si="0"/>
        <v>1626.2283931512161</v>
      </c>
      <c r="G12" s="67">
        <f t="shared" si="0"/>
        <v>1681.6186115792793</v>
      </c>
      <c r="H12" s="67">
        <f t="shared" si="0"/>
        <v>0</v>
      </c>
      <c r="I12" s="67">
        <f t="shared" si="0"/>
        <v>0</v>
      </c>
    </row>
    <row r="13" spans="1:9">
      <c r="A13" s="7" t="str">
        <f>HLOOKUP(INDICE!$F$2,Nombres!$C$3:$D$636,38,FALSE)</f>
        <v>Operating expenses</v>
      </c>
      <c r="B13" s="70">
        <v>-641.91503519859452</v>
      </c>
      <c r="C13" s="70">
        <v>-562.92420565127998</v>
      </c>
      <c r="D13" s="70">
        <v>-569.11298555572193</v>
      </c>
      <c r="E13" s="71">
        <v>-612.07434473972887</v>
      </c>
      <c r="F13" s="70">
        <v>-676.63186762346675</v>
      </c>
      <c r="G13" s="70">
        <v>-694.83063294482645</v>
      </c>
      <c r="H13" s="70">
        <v>0</v>
      </c>
      <c r="I13" s="70">
        <v>0</v>
      </c>
    </row>
    <row r="14" spans="1:9">
      <c r="A14" s="7" t="str">
        <f>HLOOKUP(INDICE!$F$2,Nombres!$C$3:$D$636,39,FALSE)</f>
        <v xml:space="preserve">  Administration expenses</v>
      </c>
      <c r="B14" s="70">
        <v>-586.41803519927453</v>
      </c>
      <c r="C14" s="70">
        <v>-511.96320565105987</v>
      </c>
      <c r="D14" s="70">
        <v>-520.97598555431171</v>
      </c>
      <c r="E14" s="71">
        <v>-555.55534473882881</v>
      </c>
      <c r="F14" s="70">
        <v>-616.65886762382684</v>
      </c>
      <c r="G14" s="70">
        <v>-638.20963294291641</v>
      </c>
      <c r="H14" s="70">
        <v>0</v>
      </c>
      <c r="I14" s="70">
        <v>0</v>
      </c>
    </row>
    <row r="15" spans="1:9">
      <c r="A15" s="72" t="str">
        <f>HLOOKUP(INDICE!$F$2,Nombres!$C$3:$D$636,40,FALSE)</f>
        <v xml:space="preserve">  Personnel expenses</v>
      </c>
      <c r="B15" s="70">
        <v>-278.41502189660014</v>
      </c>
      <c r="C15" s="70">
        <v>-255.41970165550572</v>
      </c>
      <c r="D15" s="70">
        <v>-263.1286254325102</v>
      </c>
      <c r="E15" s="71">
        <v>-285.59221379225005</v>
      </c>
      <c r="F15" s="70">
        <v>-306.85804525961998</v>
      </c>
      <c r="G15" s="70">
        <v>-334.43638638411016</v>
      </c>
      <c r="H15" s="70">
        <v>0</v>
      </c>
      <c r="I15" s="70">
        <v>0</v>
      </c>
    </row>
    <row r="16" spans="1:9">
      <c r="A16" s="72" t="str">
        <f>HLOOKUP(INDICE!$F$2,Nombres!$C$3:$D$636,41,FALSE)</f>
        <v xml:space="preserve">  General and administrative expenses</v>
      </c>
      <c r="B16" s="70">
        <v>-308.00301330267462</v>
      </c>
      <c r="C16" s="70">
        <v>-256.5435039955542</v>
      </c>
      <c r="D16" s="70">
        <v>-257.84736012180156</v>
      </c>
      <c r="E16" s="71">
        <v>-269.96313094657887</v>
      </c>
      <c r="F16" s="70">
        <v>-309.80082236420685</v>
      </c>
      <c r="G16" s="70">
        <v>-303.77324655880597</v>
      </c>
      <c r="H16" s="70">
        <v>0</v>
      </c>
      <c r="I16" s="70">
        <v>0</v>
      </c>
    </row>
    <row r="17" spans="1:10">
      <c r="A17" s="7" t="str">
        <f>HLOOKUP(INDICE!$F$2,Nombres!$C$3:$D$636,42,FALSE)</f>
        <v xml:space="preserve">  Depreciation</v>
      </c>
      <c r="B17" s="70">
        <v>-55.496999999319996</v>
      </c>
      <c r="C17" s="70">
        <v>-50.961000000220011</v>
      </c>
      <c r="D17" s="70">
        <v>-48.137000001410023</v>
      </c>
      <c r="E17" s="71">
        <v>-56.5190000009</v>
      </c>
      <c r="F17" s="70">
        <v>-59.97299999964001</v>
      </c>
      <c r="G17" s="70">
        <v>-56.621000001909991</v>
      </c>
      <c r="H17" s="70">
        <v>0</v>
      </c>
      <c r="I17" s="70">
        <v>0</v>
      </c>
    </row>
    <row r="18" spans="1:10">
      <c r="A18" s="17" t="str">
        <f>HLOOKUP(INDICE!$F$2,Nombres!$C$3:$D$636,43,FALSE)</f>
        <v>Operating income</v>
      </c>
      <c r="B18" s="17">
        <f>+B12+B13</f>
        <v>797.48276375902151</v>
      </c>
      <c r="C18" s="17">
        <f t="shared" ref="C18:I18" si="1">+C12+C13</f>
        <v>717.0821544116319</v>
      </c>
      <c r="D18" s="17">
        <f t="shared" si="1"/>
        <v>722.56574746246633</v>
      </c>
      <c r="E18" s="66">
        <f t="shared" si="1"/>
        <v>755.49927865035863</v>
      </c>
      <c r="F18" s="67">
        <f t="shared" si="1"/>
        <v>949.59652552774935</v>
      </c>
      <c r="G18" s="67">
        <f t="shared" si="1"/>
        <v>986.78797863445288</v>
      </c>
      <c r="H18" s="67">
        <f t="shared" si="1"/>
        <v>0</v>
      </c>
      <c r="I18" s="67">
        <f t="shared" si="1"/>
        <v>0</v>
      </c>
    </row>
    <row r="19" spans="1:10">
      <c r="A19" s="7" t="str">
        <f>HLOOKUP(INDICE!$F$2,Nombres!$C$3:$D$636,44,FALSE)</f>
        <v>Impaiment on financial assets not measured at fair value through profit or loss</v>
      </c>
      <c r="B19" s="70">
        <v>-296.58800009629982</v>
      </c>
      <c r="C19" s="70">
        <v>-231.79400000313223</v>
      </c>
      <c r="D19" s="70">
        <v>-329.89800009910175</v>
      </c>
      <c r="E19" s="71">
        <v>-351.11699979890017</v>
      </c>
      <c r="F19" s="70">
        <v>-371.24700000289982</v>
      </c>
      <c r="G19" s="70">
        <v>-373.90299999916743</v>
      </c>
      <c r="H19" s="70">
        <v>0</v>
      </c>
      <c r="I19" s="70">
        <v>0</v>
      </c>
    </row>
    <row r="20" spans="1:10">
      <c r="A20" s="7" t="str">
        <f>HLOOKUP(INDICE!$F$2,Nombres!$C$3:$D$636,45,FALSE)</f>
        <v>Provisions or reversal of provisions and other results</v>
      </c>
      <c r="B20" s="70">
        <v>6.293952062560999</v>
      </c>
      <c r="C20" s="70">
        <v>-22.088200199707455</v>
      </c>
      <c r="D20" s="70">
        <v>-17.865360001194624</v>
      </c>
      <c r="E20" s="71">
        <v>-8.0978939994835475</v>
      </c>
      <c r="F20" s="70">
        <v>-17.562895878899987</v>
      </c>
      <c r="G20" s="70">
        <v>15.258779701899986</v>
      </c>
      <c r="H20" s="70">
        <v>0</v>
      </c>
      <c r="I20" s="70">
        <v>0</v>
      </c>
    </row>
    <row r="21" spans="1:10">
      <c r="A21" s="17" t="str">
        <f>HLOOKUP(INDICE!$F$2,Nombres!$C$3:$D$636,46,FALSE)</f>
        <v>Profit/(loss) before tax</v>
      </c>
      <c r="B21" s="17">
        <f>+B18+B19+B20</f>
        <v>507.18871572528269</v>
      </c>
      <c r="C21" s="17">
        <f t="shared" ref="C21:I21" si="2">+C18+C19+C20</f>
        <v>463.19995420879224</v>
      </c>
      <c r="D21" s="17">
        <f t="shared" si="2"/>
        <v>374.80238736216995</v>
      </c>
      <c r="E21" s="66">
        <f t="shared" si="2"/>
        <v>396.28438485197489</v>
      </c>
      <c r="F21" s="67">
        <f t="shared" si="2"/>
        <v>560.78662964594946</v>
      </c>
      <c r="G21" s="67">
        <f t="shared" si="2"/>
        <v>628.14375833718555</v>
      </c>
      <c r="H21" s="67">
        <f t="shared" si="2"/>
        <v>0</v>
      </c>
      <c r="I21" s="67">
        <f t="shared" si="2"/>
        <v>0</v>
      </c>
    </row>
    <row r="22" spans="1:10">
      <c r="A22" s="7" t="str">
        <f>HLOOKUP(INDICE!$F$2,Nombres!$C$3:$D$636,47,FALSE)</f>
        <v>Income tax</v>
      </c>
      <c r="B22" s="70">
        <v>-147.05142098988313</v>
      </c>
      <c r="C22" s="70">
        <v>-144.088211053077</v>
      </c>
      <c r="D22" s="70">
        <v>-123.22864427066249</v>
      </c>
      <c r="E22" s="71">
        <v>-159.04221617065667</v>
      </c>
      <c r="F22" s="70">
        <v>-169.68019679754147</v>
      </c>
      <c r="G22" s="70">
        <v>-159.94783192817312</v>
      </c>
      <c r="H22" s="70">
        <v>0</v>
      </c>
      <c r="I22" s="70">
        <v>0</v>
      </c>
    </row>
    <row r="23" spans="1:10">
      <c r="A23" s="17" t="str">
        <f>HLOOKUP(INDICE!$F$2,Nombres!$C$3:$D$636,48,FALSE)</f>
        <v>Profit/(loss) for the year</v>
      </c>
      <c r="B23" s="17">
        <f>+B21+B22</f>
        <v>360.13729473539956</v>
      </c>
      <c r="C23" s="17">
        <f t="shared" ref="C23:I23" si="3">+C21+C22</f>
        <v>319.1117431557152</v>
      </c>
      <c r="D23" s="17">
        <f t="shared" si="3"/>
        <v>251.57374309150748</v>
      </c>
      <c r="E23" s="66">
        <f t="shared" si="3"/>
        <v>237.24216868131822</v>
      </c>
      <c r="F23" s="67">
        <f t="shared" si="3"/>
        <v>391.10643284840796</v>
      </c>
      <c r="G23" s="67">
        <f t="shared" si="3"/>
        <v>468.19592640901243</v>
      </c>
      <c r="H23" s="67">
        <f t="shared" si="3"/>
        <v>0</v>
      </c>
      <c r="I23" s="67">
        <f t="shared" si="3"/>
        <v>0</v>
      </c>
    </row>
    <row r="24" spans="1:10">
      <c r="A24" s="7" t="str">
        <f>HLOOKUP(INDICE!$F$2,Nombres!$C$3:$D$636,49,FALSE)</f>
        <v>Non-controlling interests</v>
      </c>
      <c r="B24" s="70">
        <v>-146.31385803090001</v>
      </c>
      <c r="C24" s="70">
        <v>-116.36793908549998</v>
      </c>
      <c r="D24" s="70">
        <v>-89.966665005600092</v>
      </c>
      <c r="E24" s="71">
        <v>-97.490914965299993</v>
      </c>
      <c r="F24" s="70">
        <v>-142.32785675390016</v>
      </c>
      <c r="G24" s="70">
        <v>-160.59726050689954</v>
      </c>
      <c r="H24" s="70">
        <v>0</v>
      </c>
      <c r="I24" s="70">
        <v>0</v>
      </c>
    </row>
    <row r="25" spans="1:10" ht="15.75" customHeight="1">
      <c r="A25" s="18" t="str">
        <f>HLOOKUP(INDICE!$F$2,Nombres!$C$3:$D$636,50,FALSE)</f>
        <v>Net attributable profit</v>
      </c>
      <c r="B25" s="18">
        <f>+B23+B24</f>
        <v>213.82343670449956</v>
      </c>
      <c r="C25" s="18">
        <f t="shared" ref="C25:I25" si="4">+C23+C24</f>
        <v>202.74380407021522</v>
      </c>
      <c r="D25" s="18">
        <f t="shared" si="4"/>
        <v>161.6070780859074</v>
      </c>
      <c r="E25" s="18">
        <f t="shared" si="4"/>
        <v>139.75125371601823</v>
      </c>
      <c r="F25" s="88">
        <f t="shared" si="4"/>
        <v>248.7785760945078</v>
      </c>
      <c r="G25" s="88">
        <f t="shared" si="4"/>
        <v>307.59866590211288</v>
      </c>
      <c r="H25" s="88">
        <f t="shared" si="4"/>
        <v>0</v>
      </c>
      <c r="I25" s="88">
        <f t="shared" si="4"/>
        <v>0</v>
      </c>
    </row>
    <row r="26" spans="1:10" ht="20.25" customHeight="1">
      <c r="A26" s="8"/>
      <c r="B26" s="93">
        <v>4.2632564145606011E-13</v>
      </c>
      <c r="C26" s="93">
        <v>0</v>
      </c>
      <c r="D26" s="93">
        <v>-4.2632564145606011E-13</v>
      </c>
      <c r="E26" s="93">
        <v>0</v>
      </c>
      <c r="F26" s="93">
        <v>3.4106051316484809E-13</v>
      </c>
      <c r="G26" s="93">
        <v>0</v>
      </c>
      <c r="H26" s="93">
        <v>0</v>
      </c>
      <c r="I26" s="93">
        <v>0</v>
      </c>
    </row>
    <row r="27" spans="1:10" ht="21" customHeight="1">
      <c r="A27" s="17"/>
      <c r="B27" s="17"/>
      <c r="C27" s="17"/>
      <c r="D27" s="17"/>
      <c r="E27" s="17"/>
      <c r="F27" s="17"/>
      <c r="G27" s="17"/>
      <c r="H27" s="17"/>
      <c r="I27" s="17"/>
    </row>
    <row r="28" spans="1:10" ht="17">
      <c r="A28" s="59" t="str">
        <f>HLOOKUP(INDICE!$F$2,Nombres!$C$3:$D$636,51,FALSE)</f>
        <v>Balance sheets</v>
      </c>
      <c r="B28" s="60"/>
      <c r="C28" s="60"/>
      <c r="D28" s="60"/>
      <c r="E28" s="60"/>
      <c r="F28" s="60"/>
      <c r="G28" s="60"/>
      <c r="H28" s="60"/>
      <c r="I28" s="60"/>
    </row>
    <row r="29" spans="1:10">
      <c r="A29" s="9" t="str">
        <f>HLOOKUP(INDICE!$F$2,Nombres!$C$3:$D$636,32,FALSE)</f>
        <v>(Million euros)</v>
      </c>
      <c r="B29" s="57"/>
      <c r="C29" s="78"/>
      <c r="D29" s="78"/>
      <c r="E29" s="78"/>
      <c r="F29" s="57"/>
      <c r="G29" s="79"/>
      <c r="H29" s="79"/>
      <c r="I29" s="79"/>
    </row>
    <row r="30" spans="1:10">
      <c r="A30" s="57"/>
      <c r="B30" s="80">
        <f>+España!B32</f>
        <v>45747</v>
      </c>
      <c r="C30" s="80">
        <f>+España!C32</f>
        <v>45838</v>
      </c>
      <c r="D30" s="80">
        <f>+España!D32</f>
        <v>45930</v>
      </c>
      <c r="E30" s="92">
        <f>+España!E32</f>
        <v>46022</v>
      </c>
      <c r="F30" s="94">
        <f>+España!F32</f>
        <v>46112</v>
      </c>
      <c r="G30" s="94">
        <f>+España!G32</f>
        <v>46203</v>
      </c>
      <c r="H30" s="94">
        <f>+España!H32</f>
        <v>46295</v>
      </c>
      <c r="I30" s="94">
        <f>+España!I32</f>
        <v>46387</v>
      </c>
    </row>
    <row r="31" spans="1:10">
      <c r="A31" s="7" t="str">
        <f>HLOOKUP(INDICE!$F$2,Nombres!$C$3:$D$636,52,FALSE)</f>
        <v>Cash, cash balances at central banks and other demand deposits</v>
      </c>
      <c r="B31" s="70">
        <v>7237.2520000000004</v>
      </c>
      <c r="C31" s="70">
        <v>6574.6319999999996</v>
      </c>
      <c r="D31" s="70">
        <v>7391.1549999999997</v>
      </c>
      <c r="E31" s="71">
        <v>8072.8909999999987</v>
      </c>
      <c r="F31" s="70">
        <v>8279.1380000000008</v>
      </c>
      <c r="G31" s="70">
        <v>8666.1369999999988</v>
      </c>
      <c r="H31" s="70">
        <v>0</v>
      </c>
      <c r="I31" s="70">
        <v>0</v>
      </c>
      <c r="J31" s="102"/>
    </row>
    <row r="32" spans="1:10">
      <c r="A32" s="7" t="str">
        <f>HLOOKUP(INDICE!$F$2,Nombres!$C$3:$D$636,53,FALSE)</f>
        <v xml:space="preserve">Financial assets designated at fair value </v>
      </c>
      <c r="B32" s="79">
        <v>11308.691000000003</v>
      </c>
      <c r="C32" s="79">
        <v>10847.440999999999</v>
      </c>
      <c r="D32" s="79">
        <v>10624.989000000001</v>
      </c>
      <c r="E32" s="89">
        <v>10602.367</v>
      </c>
      <c r="F32" s="70">
        <v>11665.453000000001</v>
      </c>
      <c r="G32" s="70">
        <v>13608.630000000001</v>
      </c>
      <c r="H32" s="70">
        <v>0</v>
      </c>
      <c r="I32" s="70">
        <v>0</v>
      </c>
      <c r="J32" s="102"/>
    </row>
    <row r="33" spans="1:10">
      <c r="A33" s="7" t="str">
        <f>HLOOKUP(INDICE!$F$2,Nombres!$C$3:$D$636,54,FALSE)</f>
        <v>Financial assets at amortized cost</v>
      </c>
      <c r="B33" s="70">
        <v>50168.161000016837</v>
      </c>
      <c r="C33" s="70">
        <v>49553.968000055131</v>
      </c>
      <c r="D33" s="70">
        <v>51532.163000085617</v>
      </c>
      <c r="E33" s="71">
        <v>54282.614000020752</v>
      </c>
      <c r="F33" s="70">
        <v>57431.07</v>
      </c>
      <c r="G33" s="70">
        <v>60510.379000000001</v>
      </c>
      <c r="H33" s="70">
        <v>0</v>
      </c>
      <c r="I33" s="70">
        <v>0</v>
      </c>
      <c r="J33" s="102"/>
    </row>
    <row r="34" spans="1:10">
      <c r="A34" s="7" t="str">
        <f>HLOOKUP(INDICE!$F$2,Nombres!$C$3:$D$636,55,FALSE)</f>
        <v xml:space="preserve">    of which loans and advances to customers</v>
      </c>
      <c r="B34" s="70">
        <v>47515.192000016847</v>
      </c>
      <c r="C34" s="70">
        <v>46517.488000055127</v>
      </c>
      <c r="D34" s="70">
        <v>47871.045000085614</v>
      </c>
      <c r="E34" s="71">
        <v>51235.351000020753</v>
      </c>
      <c r="F34" s="70">
        <v>53644.00499999999</v>
      </c>
      <c r="G34" s="70">
        <v>57662.812999999995</v>
      </c>
      <c r="H34" s="70">
        <v>0</v>
      </c>
      <c r="I34" s="70">
        <v>0</v>
      </c>
      <c r="J34" s="102"/>
    </row>
    <row r="35" spans="1:10" hidden="1">
      <c r="A35" s="7"/>
      <c r="B35" s="70"/>
      <c r="C35" s="70"/>
      <c r="D35" s="70"/>
      <c r="E35" s="71"/>
      <c r="F35" s="70"/>
      <c r="G35" s="70"/>
      <c r="H35" s="70"/>
      <c r="I35" s="70"/>
      <c r="J35" s="102"/>
    </row>
    <row r="36" spans="1:10">
      <c r="A36" s="7" t="str">
        <f>HLOOKUP(INDICE!$F$2,Nombres!$C$3:$D$636,56,FALSE)</f>
        <v>Tangible assets</v>
      </c>
      <c r="B36" s="70">
        <v>1239.7529999999999</v>
      </c>
      <c r="C36" s="70">
        <v>1137.6419999999998</v>
      </c>
      <c r="D36" s="70">
        <v>1110.6160000000002</v>
      </c>
      <c r="E36" s="71">
        <v>1149.0260000000001</v>
      </c>
      <c r="F36" s="70">
        <v>1241.2110000000002</v>
      </c>
      <c r="G36" s="70">
        <v>1270.4420000000002</v>
      </c>
      <c r="H36" s="70">
        <v>0</v>
      </c>
      <c r="I36" s="70">
        <v>0</v>
      </c>
      <c r="J36" s="102"/>
    </row>
    <row r="37" spans="1:10">
      <c r="A37" s="7" t="str">
        <f>HLOOKUP(INDICE!$F$2,Nombres!$C$3:$D$636,57,FALSE)</f>
        <v>Other assets</v>
      </c>
      <c r="B37" s="79">
        <f t="shared" ref="B37:I37" si="5">+B38-B36-B33-B32-B31</f>
        <v>2675.2344617497038</v>
      </c>
      <c r="C37" s="79">
        <f t="shared" si="5"/>
        <v>2314.7334151643645</v>
      </c>
      <c r="D37" s="79">
        <f t="shared" si="5"/>
        <v>2431.6409977440844</v>
      </c>
      <c r="E37" s="89">
        <f t="shared" si="5"/>
        <v>2516.8479969920036</v>
      </c>
      <c r="F37" s="70">
        <f t="shared" si="5"/>
        <v>2485.8719999999503</v>
      </c>
      <c r="G37" s="70">
        <f t="shared" si="5"/>
        <v>2415.5730000073163</v>
      </c>
      <c r="H37" s="70">
        <f t="shared" si="5"/>
        <v>0</v>
      </c>
      <c r="I37" s="70">
        <f t="shared" si="5"/>
        <v>0</v>
      </c>
      <c r="J37" s="102"/>
    </row>
    <row r="38" spans="1:10">
      <c r="A38" s="18" t="str">
        <f>HLOOKUP(INDICE!$F$2,Nombres!$C$3:$D$636,58,FALSE)</f>
        <v>Total assets / Liabilities and equity</v>
      </c>
      <c r="B38" s="18">
        <v>72629.09146176654</v>
      </c>
      <c r="C38" s="18">
        <v>70428.416415219486</v>
      </c>
      <c r="D38" s="18">
        <v>73090.563997829697</v>
      </c>
      <c r="E38" s="18">
        <v>76623.745997012753</v>
      </c>
      <c r="F38" s="88">
        <v>81102.743999999948</v>
      </c>
      <c r="G38" s="88">
        <v>86471.161000007312</v>
      </c>
      <c r="H38" s="88">
        <v>0</v>
      </c>
      <c r="I38" s="88">
        <v>0</v>
      </c>
      <c r="J38" s="102"/>
    </row>
    <row r="39" spans="1:10">
      <c r="A39" s="7" t="str">
        <f>HLOOKUP(INDICE!$F$2,Nombres!$C$3:$D$636,59,FALSE)</f>
        <v>Financial liabilities held for trading and designated at fair value through profit or loss</v>
      </c>
      <c r="B39" s="79">
        <v>1550.6949999999999</v>
      </c>
      <c r="C39" s="79">
        <v>1821.9770000000001</v>
      </c>
      <c r="D39" s="79">
        <v>2649.1909999999998</v>
      </c>
      <c r="E39" s="89">
        <v>2429.739</v>
      </c>
      <c r="F39" s="70">
        <v>2531.2019999999993</v>
      </c>
      <c r="G39" s="70">
        <v>3025.4079999999994</v>
      </c>
      <c r="H39" s="70">
        <v>0</v>
      </c>
      <c r="I39" s="70">
        <v>0</v>
      </c>
      <c r="J39" s="102"/>
    </row>
    <row r="40" spans="1:10">
      <c r="A40" s="7" t="str">
        <f>HLOOKUP(INDICE!$F$2,Nombres!$C$3:$D$636,60,FALSE)</f>
        <v>Deposits from central banks and credit institutions</v>
      </c>
      <c r="B40" s="79">
        <v>3836.5990000280003</v>
      </c>
      <c r="C40" s="79">
        <v>4131.6279999990002</v>
      </c>
      <c r="D40" s="79">
        <v>3655.2460000259998</v>
      </c>
      <c r="E40" s="89">
        <v>3825.5120000190009</v>
      </c>
      <c r="F40" s="70">
        <v>3382.5760001269996</v>
      </c>
      <c r="G40" s="70">
        <v>3672.8249999169998</v>
      </c>
      <c r="H40" s="70">
        <v>0</v>
      </c>
      <c r="I40" s="70">
        <v>0</v>
      </c>
      <c r="J40" s="102"/>
    </row>
    <row r="41" spans="1:10" ht="15.75" customHeight="1">
      <c r="A41" s="7" t="str">
        <f>HLOOKUP(INDICE!$F$2,Nombres!$C$3:$D$636,61,FALSE)</f>
        <v>Deposits from customers</v>
      </c>
      <c r="B41" s="79">
        <v>50317.081999974005</v>
      </c>
      <c r="C41" s="79">
        <v>48463.737999869991</v>
      </c>
      <c r="D41" s="79">
        <v>50438.458999844006</v>
      </c>
      <c r="E41" s="89">
        <v>53374.873999960997</v>
      </c>
      <c r="F41" s="70">
        <v>56995.564999873008</v>
      </c>
      <c r="G41" s="70">
        <v>60779.928000082997</v>
      </c>
      <c r="H41" s="70">
        <v>0</v>
      </c>
      <c r="I41" s="70">
        <v>0</v>
      </c>
      <c r="J41" s="102"/>
    </row>
    <row r="42" spans="1:10">
      <c r="A42" s="7" t="str">
        <f>HLOOKUP(INDICE!$F$2,Nombres!$C$3:$D$636,62,FALSE)</f>
        <v>Debt certificates</v>
      </c>
      <c r="B42" s="70">
        <v>4105.2989392640266</v>
      </c>
      <c r="C42" s="70">
        <v>3657.3160795135564</v>
      </c>
      <c r="D42" s="70">
        <v>3694.556238222925</v>
      </c>
      <c r="E42" s="71">
        <v>4015.4588955416202</v>
      </c>
      <c r="F42" s="70">
        <v>4112.0008693681511</v>
      </c>
      <c r="G42" s="70">
        <v>4210.3115542018759</v>
      </c>
      <c r="H42" s="70">
        <v>0</v>
      </c>
      <c r="I42" s="70">
        <v>0</v>
      </c>
      <c r="J42" s="102"/>
    </row>
    <row r="43" spans="1:10" hidden="1">
      <c r="A43" s="7"/>
      <c r="B43" s="70"/>
      <c r="C43" s="70"/>
      <c r="D43" s="70"/>
      <c r="E43" s="71"/>
      <c r="F43" s="70"/>
      <c r="G43" s="70"/>
      <c r="H43" s="70"/>
      <c r="I43" s="70"/>
      <c r="J43" s="102"/>
    </row>
    <row r="44" spans="1:10">
      <c r="A44" s="7" t="str">
        <f>HLOOKUP(INDICE!$F$2,Nombres!$C$3:$D$636,63,FALSE)</f>
        <v>Other liabilities</v>
      </c>
      <c r="B44" s="79">
        <f t="shared" ref="B44:I44" si="6">+B38-B39-B40-B41-B42-B45</f>
        <v>5528.4383435005839</v>
      </c>
      <c r="C44" s="79">
        <f t="shared" si="6"/>
        <v>5408.1045773674105</v>
      </c>
      <c r="D44" s="79">
        <f>+D38-D39-D40-D41-D42-D45</f>
        <v>5826.1661701406993</v>
      </c>
      <c r="E44" s="89">
        <f t="shared" si="6"/>
        <v>5706.8190133359913</v>
      </c>
      <c r="F44" s="70">
        <f t="shared" si="6"/>
        <v>6692.3232857245875</v>
      </c>
      <c r="G44" s="70">
        <f t="shared" si="6"/>
        <v>7088.1973354818901</v>
      </c>
      <c r="H44" s="70">
        <f t="shared" si="6"/>
        <v>0</v>
      </c>
      <c r="I44" s="70">
        <f t="shared" si="6"/>
        <v>0</v>
      </c>
      <c r="J44" s="102"/>
    </row>
    <row r="45" spans="1:10">
      <c r="A45" s="7" t="str">
        <f>HLOOKUP(INDICE!$F$2,Nombres!$C$3:$D$636,282,FALSE)</f>
        <v>Allocated regulatory capital</v>
      </c>
      <c r="B45" s="70">
        <v>7290.9781789999179</v>
      </c>
      <c r="C45" s="70">
        <v>6945.6527584695305</v>
      </c>
      <c r="D45" s="70">
        <v>6826.9455895960564</v>
      </c>
      <c r="E45" s="70">
        <v>7271.3430881551358</v>
      </c>
      <c r="F45" s="70">
        <v>7389.0768449072002</v>
      </c>
      <c r="G45" s="70">
        <v>7694.4911103235618</v>
      </c>
      <c r="H45" s="70">
        <v>0</v>
      </c>
      <c r="I45" s="70">
        <v>0</v>
      </c>
      <c r="J45" s="102"/>
    </row>
    <row r="46" spans="1:10">
      <c r="A46" s="8"/>
      <c r="B46" s="79"/>
      <c r="C46" s="79"/>
      <c r="D46" s="79"/>
      <c r="E46" s="79"/>
      <c r="F46" s="70"/>
      <c r="G46" s="70"/>
      <c r="H46" s="70"/>
      <c r="I46" s="70"/>
      <c r="J46" s="102"/>
    </row>
    <row r="47" spans="1:10">
      <c r="A47" s="7"/>
      <c r="B47" s="79"/>
      <c r="C47" s="79"/>
      <c r="D47" s="79"/>
      <c r="E47" s="79"/>
      <c r="F47" s="70"/>
      <c r="G47" s="70"/>
      <c r="H47" s="70"/>
      <c r="I47" s="70"/>
      <c r="J47" s="102"/>
    </row>
    <row r="48" spans="1:10" ht="17">
      <c r="A48" s="59" t="str">
        <f>HLOOKUP(INDICE!$F$2,Nombres!$C$3:$D$636,65,FALSE)</f>
        <v>Relevant business indicators</v>
      </c>
      <c r="B48" s="60"/>
      <c r="C48" s="60"/>
      <c r="D48" s="60"/>
      <c r="E48" s="60"/>
      <c r="F48" s="95"/>
      <c r="G48" s="95"/>
      <c r="H48" s="95"/>
      <c r="I48" s="95"/>
      <c r="J48" s="102"/>
    </row>
    <row r="49" spans="1:12">
      <c r="A49" s="9" t="str">
        <f>HLOOKUP(INDICE!$F$2,Nombres!$C$3:$D$636,32,FALSE)</f>
        <v>(Million euros)</v>
      </c>
      <c r="B49" s="57"/>
      <c r="C49" s="57"/>
      <c r="D49" s="57"/>
      <c r="E49" s="57"/>
      <c r="F49" s="96"/>
      <c r="G49" s="70"/>
      <c r="H49" s="70"/>
      <c r="I49" s="70"/>
      <c r="J49" s="102"/>
    </row>
    <row r="50" spans="1:12">
      <c r="A50" s="57"/>
      <c r="B50" s="80">
        <f t="shared" ref="B50:I50" si="7">+B$30</f>
        <v>45747</v>
      </c>
      <c r="C50" s="80">
        <f t="shared" si="7"/>
        <v>45838</v>
      </c>
      <c r="D50" s="80">
        <f t="shared" si="7"/>
        <v>45930</v>
      </c>
      <c r="E50" s="92">
        <f t="shared" si="7"/>
        <v>46022</v>
      </c>
      <c r="F50" s="80">
        <f t="shared" si="7"/>
        <v>46112</v>
      </c>
      <c r="G50" s="80">
        <f t="shared" si="7"/>
        <v>46203</v>
      </c>
      <c r="H50" s="80">
        <f t="shared" si="7"/>
        <v>46295</v>
      </c>
      <c r="I50" s="80">
        <f t="shared" si="7"/>
        <v>46387</v>
      </c>
      <c r="J50" s="102"/>
    </row>
    <row r="51" spans="1:12">
      <c r="A51" s="7" t="str">
        <f>HLOOKUP(INDICE!$F$2,Nombres!$C$3:$D$636,66,FALSE)</f>
        <v>Loans and advances to customers (gross) (*)</v>
      </c>
      <c r="B51" s="70">
        <v>49557.101000016846</v>
      </c>
      <c r="C51" s="70">
        <v>48438.481000055144</v>
      </c>
      <c r="D51" s="70">
        <v>49872.232000085634</v>
      </c>
      <c r="E51" s="71">
        <v>52768.76500002075</v>
      </c>
      <c r="F51" s="70">
        <v>55247.226999999984</v>
      </c>
      <c r="G51" s="70">
        <v>59333.436999999984</v>
      </c>
      <c r="H51" s="70">
        <v>0</v>
      </c>
      <c r="I51" s="70">
        <v>0</v>
      </c>
      <c r="J51" s="102"/>
      <c r="L51" s="68"/>
    </row>
    <row r="52" spans="1:12">
      <c r="A52" s="7" t="str">
        <f>HLOOKUP(INDICE!$F$2,Nombres!$C$3:$D$636,67,FALSE)</f>
        <v>Customer deposits under management (*)</v>
      </c>
      <c r="B52" s="70">
        <v>50317.08199997402</v>
      </c>
      <c r="C52" s="70">
        <v>48463.737999869998</v>
      </c>
      <c r="D52" s="70">
        <v>50438.458999843999</v>
      </c>
      <c r="E52" s="71">
        <v>53374.873999961004</v>
      </c>
      <c r="F52" s="70">
        <v>56995.564999873008</v>
      </c>
      <c r="G52" s="70">
        <v>60779.928000083011</v>
      </c>
      <c r="H52" s="70">
        <v>0</v>
      </c>
      <c r="I52" s="70">
        <v>0</v>
      </c>
      <c r="J52" s="102"/>
    </row>
    <row r="53" spans="1:12">
      <c r="A53" s="7" t="str">
        <f>HLOOKUP(INDICE!$F$2,Nombres!$C$3:$D$636,68,FALSE)</f>
        <v>Investment funds and managed portfolios</v>
      </c>
      <c r="B53" s="70">
        <v>8558.6246894121068</v>
      </c>
      <c r="C53" s="70">
        <v>7829.5257925732212</v>
      </c>
      <c r="D53" s="70">
        <v>8392.1361714231134</v>
      </c>
      <c r="E53" s="71">
        <v>8271.1226575542714</v>
      </c>
      <c r="F53" s="70">
        <v>9453.9824329200346</v>
      </c>
      <c r="G53" s="70">
        <v>9863.9180512391267</v>
      </c>
      <c r="H53" s="70">
        <v>0</v>
      </c>
      <c r="I53" s="70">
        <v>0</v>
      </c>
      <c r="J53" s="102"/>
    </row>
    <row r="54" spans="1:12">
      <c r="A54" s="7" t="str">
        <f>HLOOKUP(INDICE!$F$2,Nombres!$C$3:$D$636,69,FALSE)</f>
        <v>Pension funds</v>
      </c>
      <c r="B54" s="70">
        <v>0</v>
      </c>
      <c r="C54" s="70">
        <v>0</v>
      </c>
      <c r="D54" s="70">
        <v>0</v>
      </c>
      <c r="E54" s="71">
        <v>0</v>
      </c>
      <c r="F54" s="70">
        <v>0</v>
      </c>
      <c r="G54" s="70">
        <v>0</v>
      </c>
      <c r="H54" s="70">
        <v>0</v>
      </c>
      <c r="I54" s="70">
        <v>0</v>
      </c>
      <c r="J54" s="102"/>
    </row>
    <row r="55" spans="1:12">
      <c r="A55" s="7" t="str">
        <f>HLOOKUP(INDICE!$F$2,Nombres!$C$3:$D$636,70,FALSE)</f>
        <v>Other off balance-sheet funds</v>
      </c>
      <c r="B55" s="70">
        <v>0</v>
      </c>
      <c r="C55" s="70">
        <v>0</v>
      </c>
      <c r="D55" s="70">
        <v>0</v>
      </c>
      <c r="E55" s="71">
        <v>0</v>
      </c>
      <c r="F55" s="70">
        <v>0</v>
      </c>
      <c r="G55" s="70">
        <v>0</v>
      </c>
      <c r="H55" s="70">
        <v>0</v>
      </c>
      <c r="I55" s="70">
        <v>0</v>
      </c>
      <c r="J55" s="102"/>
    </row>
    <row r="56" spans="1:12">
      <c r="A56" s="8" t="str">
        <f>HLOOKUP(INDICE!$F$2,Nombres!$C$3:$D$636,71,FALSE)</f>
        <v xml:space="preserve">(*) Excluding repos. </v>
      </c>
      <c r="B56" s="79"/>
      <c r="C56" s="79"/>
      <c r="D56" s="79"/>
      <c r="E56" s="79"/>
      <c r="F56" s="79"/>
      <c r="G56" s="79"/>
      <c r="H56" s="79"/>
      <c r="I56" s="79"/>
    </row>
    <row r="57" spans="1:12">
      <c r="A57" s="8">
        <f>HLOOKUP(INDICE!$F$2,Nombres!$C$3:$D$636,72,FALSE)</f>
        <v>0</v>
      </c>
      <c r="B57" s="57"/>
      <c r="C57" s="57"/>
      <c r="D57" s="57"/>
      <c r="E57" s="57"/>
      <c r="F57" s="57"/>
      <c r="G57" s="57"/>
      <c r="H57" s="57"/>
      <c r="I57" s="57"/>
    </row>
    <row r="58" spans="1:12">
      <c r="A58" s="8"/>
      <c r="B58" s="57"/>
      <c r="C58" s="57"/>
      <c r="D58" s="57"/>
      <c r="E58" s="57"/>
      <c r="F58" s="57"/>
      <c r="G58" s="57"/>
      <c r="H58" s="57"/>
      <c r="I58" s="57"/>
    </row>
    <row r="59" spans="1:12" ht="17">
      <c r="A59" s="59" t="str">
        <f>HLOOKUP(INDICE!$F$2,Nombres!$C$3:$D$636,31,FALSE)</f>
        <v xml:space="preserve">Income statement  </v>
      </c>
      <c r="B59" s="60"/>
      <c r="C59" s="60"/>
      <c r="D59" s="60"/>
      <c r="E59" s="60"/>
      <c r="F59" s="60"/>
      <c r="G59" s="60"/>
      <c r="H59" s="60"/>
      <c r="I59" s="60"/>
    </row>
    <row r="60" spans="1:12">
      <c r="A60" s="9" t="str">
        <f>HLOOKUP(INDICE!$F$2,Nombres!$C$3:$D$636,73,FALSE)</f>
        <v xml:space="preserve">(Constant million euros)    </v>
      </c>
      <c r="B60" s="57"/>
      <c r="C60" s="61"/>
      <c r="D60" s="61"/>
      <c r="E60" s="61"/>
      <c r="F60" s="57"/>
      <c r="G60" s="57"/>
      <c r="H60" s="57"/>
      <c r="I60" s="57"/>
    </row>
    <row r="61" spans="1:12">
      <c r="A61" s="62"/>
      <c r="B61" s="57"/>
      <c r="C61" s="61"/>
      <c r="D61" s="61"/>
      <c r="E61" s="61"/>
      <c r="F61" s="57"/>
      <c r="G61" s="57"/>
      <c r="H61" s="57"/>
      <c r="I61" s="57"/>
    </row>
    <row r="62" spans="1:12">
      <c r="A62" s="63"/>
      <c r="B62" s="257">
        <f>+B$6</f>
        <v>2025</v>
      </c>
      <c r="C62" s="257"/>
      <c r="D62" s="257"/>
      <c r="E62" s="258"/>
      <c r="F62" s="257">
        <f>+F$6</f>
        <v>2026</v>
      </c>
      <c r="G62" s="257"/>
      <c r="H62" s="257"/>
      <c r="I62" s="257"/>
    </row>
    <row r="63" spans="1:12">
      <c r="A63" s="63"/>
      <c r="B63" s="64" t="str">
        <f>+B$7</f>
        <v>1Q</v>
      </c>
      <c r="C63" s="64" t="str">
        <f t="shared" ref="C63:I63" si="8">+C$7</f>
        <v>2Q</v>
      </c>
      <c r="D63" s="64" t="str">
        <f t="shared" si="8"/>
        <v>3Q</v>
      </c>
      <c r="E63" s="65" t="str">
        <f t="shared" si="8"/>
        <v>4Q</v>
      </c>
      <c r="F63" s="64" t="str">
        <f t="shared" si="8"/>
        <v>1Q</v>
      </c>
      <c r="G63" s="64" t="str">
        <f t="shared" si="8"/>
        <v>2Q</v>
      </c>
      <c r="H63" s="64" t="str">
        <f t="shared" si="8"/>
        <v>3Q</v>
      </c>
      <c r="I63" s="64" t="str">
        <f t="shared" si="8"/>
        <v>4Q</v>
      </c>
    </row>
    <row r="64" spans="1:12">
      <c r="A64" s="17" t="str">
        <f>HLOOKUP(INDICE!$F$2,Nombres!$C$3:$D$636,33,FALSE)</f>
        <v>Net interest income</v>
      </c>
      <c r="B64" s="17">
        <v>1091.7200595556169</v>
      </c>
      <c r="C64" s="17">
        <v>1203.3471717759624</v>
      </c>
      <c r="D64" s="17">
        <v>1267.6207399904511</v>
      </c>
      <c r="E64" s="66">
        <v>1404.5475039685693</v>
      </c>
      <c r="F64" s="67">
        <v>1451.2844751038626</v>
      </c>
      <c r="G64" s="67">
        <v>1500.7995792353267</v>
      </c>
      <c r="H64" s="67">
        <v>0</v>
      </c>
      <c r="I64" s="67">
        <v>0</v>
      </c>
    </row>
    <row r="65" spans="1:9">
      <c r="A65" s="7" t="str">
        <f>HLOOKUP(INDICE!$F$2,Nombres!$C$3:$D$636,34,FALSE)</f>
        <v>Net fees and commissions</v>
      </c>
      <c r="B65" s="70">
        <v>199.24973723671772</v>
      </c>
      <c r="C65" s="70">
        <v>198.82119736296346</v>
      </c>
      <c r="D65" s="70">
        <v>255.351359351139</v>
      </c>
      <c r="E65" s="71">
        <v>263.18136072809529</v>
      </c>
      <c r="F65" s="70">
        <v>258.19706766076661</v>
      </c>
      <c r="G65" s="70">
        <v>285.79655202843691</v>
      </c>
      <c r="H65" s="70">
        <v>0</v>
      </c>
      <c r="I65" s="70">
        <v>0</v>
      </c>
    </row>
    <row r="66" spans="1:9">
      <c r="A66" s="7" t="str">
        <f>HLOOKUP(INDICE!$F$2,Nombres!$C$3:$D$636,35,FALSE)</f>
        <v>Net trading income</v>
      </c>
      <c r="B66" s="70">
        <v>163.08468427888124</v>
      </c>
      <c r="C66" s="70">
        <v>138.11852021162878</v>
      </c>
      <c r="D66" s="70">
        <v>131.46370745669702</v>
      </c>
      <c r="E66" s="71">
        <v>147.90279578131847</v>
      </c>
      <c r="F66" s="70">
        <v>142.14286487914876</v>
      </c>
      <c r="G66" s="70">
        <v>167.48310358836935</v>
      </c>
      <c r="H66" s="70">
        <v>0</v>
      </c>
      <c r="I66" s="70">
        <v>0</v>
      </c>
    </row>
    <row r="67" spans="1:9">
      <c r="A67" s="7" t="str">
        <f>HLOOKUP(INDICE!$F$2,Nombres!$C$3:$D$636,36,FALSE)</f>
        <v>Other operating income and expenses</v>
      </c>
      <c r="B67" s="70">
        <v>-187.08866622015205</v>
      </c>
      <c r="C67" s="70">
        <v>-195.65428004175283</v>
      </c>
      <c r="D67" s="70">
        <v>-233.22472648834196</v>
      </c>
      <c r="E67" s="71">
        <v>-326.19642063699882</v>
      </c>
      <c r="F67" s="70">
        <v>-252.47277979205182</v>
      </c>
      <c r="G67" s="70">
        <v>-245.38385797364941</v>
      </c>
      <c r="H67" s="70">
        <v>0</v>
      </c>
      <c r="I67" s="70">
        <v>0</v>
      </c>
    </row>
    <row r="68" spans="1:9">
      <c r="A68" s="17" t="str">
        <f>HLOOKUP(INDICE!$F$2,Nombres!$C$3:$D$636,37,FALSE)</f>
        <v>Gross income</v>
      </c>
      <c r="B68" s="17">
        <f>+SUM(B64:B67)</f>
        <v>1266.9658148510639</v>
      </c>
      <c r="C68" s="17">
        <f t="shared" ref="C68:I68" si="9">+SUM(C64:C67)</f>
        <v>1344.6326093088016</v>
      </c>
      <c r="D68" s="17">
        <f t="shared" si="9"/>
        <v>1421.2110803099451</v>
      </c>
      <c r="E68" s="66">
        <f t="shared" si="9"/>
        <v>1489.4352398409842</v>
      </c>
      <c r="F68" s="67">
        <f t="shared" si="9"/>
        <v>1599.1516278517261</v>
      </c>
      <c r="G68" s="67">
        <f t="shared" si="9"/>
        <v>1708.6953768784838</v>
      </c>
      <c r="H68" s="67">
        <f t="shared" si="9"/>
        <v>0</v>
      </c>
      <c r="I68" s="67">
        <f t="shared" si="9"/>
        <v>0</v>
      </c>
    </row>
    <row r="69" spans="1:9">
      <c r="A69" s="7" t="str">
        <f>HLOOKUP(INDICE!$F$2,Nombres!$C$3:$D$636,38,FALSE)</f>
        <v>Operating expenses</v>
      </c>
      <c r="B69" s="70">
        <v>-571.29308943538956</v>
      </c>
      <c r="C69" s="70">
        <v>-589.39095222195704</v>
      </c>
      <c r="D69" s="70">
        <v>-623.64572156913493</v>
      </c>
      <c r="E69" s="71">
        <v>-664.71033995284256</v>
      </c>
      <c r="F69" s="70">
        <v>-667.26812335495663</v>
      </c>
      <c r="G69" s="70">
        <v>-704.19437721308043</v>
      </c>
      <c r="H69" s="70">
        <v>0</v>
      </c>
      <c r="I69" s="70">
        <v>0</v>
      </c>
    </row>
    <row r="70" spans="1:9">
      <c r="A70" s="7" t="str">
        <f>HLOOKUP(INDICE!$F$2,Nombres!$C$3:$D$636,39,FALSE)</f>
        <v xml:space="preserve">  Administration expenses</v>
      </c>
      <c r="B70" s="70">
        <v>-517.96454434678822</v>
      </c>
      <c r="C70" s="70">
        <v>-536.17104928061917</v>
      </c>
      <c r="D70" s="70">
        <v>-572.75448125826563</v>
      </c>
      <c r="E70" s="71">
        <v>-606.42497788275227</v>
      </c>
      <c r="F70" s="70">
        <v>-607.65937150247919</v>
      </c>
      <c r="G70" s="70">
        <v>-647.20912906400963</v>
      </c>
      <c r="H70" s="70">
        <v>0</v>
      </c>
      <c r="I70" s="70">
        <v>0</v>
      </c>
    </row>
    <row r="71" spans="1:9">
      <c r="A71" s="72" t="str">
        <f>HLOOKUP(INDICE!$F$2,Nombres!$C$3:$D$636,40,FALSE)</f>
        <v xml:space="preserve">  Personnel expenses</v>
      </c>
      <c r="B71" s="70">
        <v>-245.30863651877237</v>
      </c>
      <c r="C71" s="70">
        <v>-265.66844792760583</v>
      </c>
      <c r="D71" s="70">
        <v>-288.10227055418937</v>
      </c>
      <c r="E71" s="71">
        <v>-311.65984968066709</v>
      </c>
      <c r="F71" s="70">
        <v>-301.67411954290799</v>
      </c>
      <c r="G71" s="70">
        <v>-339.62031210081352</v>
      </c>
      <c r="H71" s="70">
        <v>0</v>
      </c>
      <c r="I71" s="70">
        <v>0</v>
      </c>
    </row>
    <row r="72" spans="1:9">
      <c r="A72" s="72" t="str">
        <f>HLOOKUP(INDICE!$F$2,Nombres!$C$3:$D$636,41,FALSE)</f>
        <v xml:space="preserve">  General and administrative expenses</v>
      </c>
      <c r="B72" s="70">
        <v>-272.65590782801581</v>
      </c>
      <c r="C72" s="70">
        <v>-270.50260135301335</v>
      </c>
      <c r="D72" s="70">
        <v>-284.6522107040762</v>
      </c>
      <c r="E72" s="71">
        <v>-294.76512820208535</v>
      </c>
      <c r="F72" s="70">
        <v>-305.98525195957109</v>
      </c>
      <c r="G72" s="70">
        <v>-307.58881696319622</v>
      </c>
      <c r="H72" s="70">
        <v>0</v>
      </c>
      <c r="I72" s="70">
        <v>0</v>
      </c>
    </row>
    <row r="73" spans="1:9">
      <c r="A73" s="7" t="str">
        <f>HLOOKUP(INDICE!$F$2,Nombres!$C$3:$D$636,42,FALSE)</f>
        <v xml:space="preserve">  Depreciation</v>
      </c>
      <c r="B73" s="70">
        <v>-53.328545088601231</v>
      </c>
      <c r="C73" s="70">
        <v>-53.219902941337971</v>
      </c>
      <c r="D73" s="70">
        <v>-50.891240310869314</v>
      </c>
      <c r="E73" s="71">
        <v>-58.285362070090144</v>
      </c>
      <c r="F73" s="70">
        <v>-59.608751852477504</v>
      </c>
      <c r="G73" s="70">
        <v>-56.985248149070628</v>
      </c>
      <c r="H73" s="70">
        <v>0</v>
      </c>
      <c r="I73" s="70">
        <v>0</v>
      </c>
    </row>
    <row r="74" spans="1:9">
      <c r="A74" s="17" t="str">
        <f>HLOOKUP(INDICE!$F$2,Nombres!$C$3:$D$636,43,FALSE)</f>
        <v>Operating income</v>
      </c>
      <c r="B74" s="17">
        <f>+B68+B69</f>
        <v>695.67272541567434</v>
      </c>
      <c r="C74" s="17">
        <f t="shared" ref="C74:I74" si="10">+C68+C69</f>
        <v>755.24165708684461</v>
      </c>
      <c r="D74" s="17">
        <f t="shared" si="10"/>
        <v>797.56535874081021</v>
      </c>
      <c r="E74" s="66">
        <f t="shared" si="10"/>
        <v>824.72489988814164</v>
      </c>
      <c r="F74" s="67">
        <f t="shared" si="10"/>
        <v>931.88350449676943</v>
      </c>
      <c r="G74" s="67">
        <f t="shared" si="10"/>
        <v>1004.5009996654034</v>
      </c>
      <c r="H74" s="67">
        <f t="shared" si="10"/>
        <v>0</v>
      </c>
      <c r="I74" s="67">
        <f t="shared" si="10"/>
        <v>0</v>
      </c>
    </row>
    <row r="75" spans="1:9">
      <c r="A75" s="7" t="str">
        <f>HLOOKUP(INDICE!$F$2,Nombres!$C$3:$D$636,44,FALSE)</f>
        <v>Impaiment on financial assets not measured at fair value through profit or loss</v>
      </c>
      <c r="B75" s="70">
        <v>-270.23778869851895</v>
      </c>
      <c r="C75" s="70">
        <v>-254.66494056675847</v>
      </c>
      <c r="D75" s="70">
        <v>-348.42645906141223</v>
      </c>
      <c r="E75" s="71">
        <v>-376.17122609537705</v>
      </c>
      <c r="F75" s="70">
        <v>-363.83226808765664</v>
      </c>
      <c r="G75" s="70">
        <v>-381.31773191440499</v>
      </c>
      <c r="H75" s="70">
        <v>0</v>
      </c>
      <c r="I75" s="70">
        <v>0</v>
      </c>
    </row>
    <row r="76" spans="1:9">
      <c r="A76" s="7" t="str">
        <f>HLOOKUP(INDICE!$F$2,Nombres!$C$3:$D$636,45,FALSE)</f>
        <v>Provisions or reversal of provisions and other results</v>
      </c>
      <c r="B76" s="70">
        <v>7.690067414947876</v>
      </c>
      <c r="C76" s="70">
        <v>-20.954889579759904</v>
      </c>
      <c r="D76" s="70">
        <v>-20.638332066327806</v>
      </c>
      <c r="E76" s="71">
        <v>-8.3317144658730982</v>
      </c>
      <c r="F76" s="70">
        <v>-17.582464849642527</v>
      </c>
      <c r="G76" s="70">
        <v>15.278348672641595</v>
      </c>
      <c r="H76" s="70">
        <v>0</v>
      </c>
      <c r="I76" s="70">
        <v>0</v>
      </c>
    </row>
    <row r="77" spans="1:9">
      <c r="A77" s="17" t="str">
        <f>HLOOKUP(INDICE!$F$2,Nombres!$C$3:$D$636,46,FALSE)</f>
        <v>Profit/(loss) before tax</v>
      </c>
      <c r="B77" s="17">
        <f>+B74+B75+B76</f>
        <v>433.12500413210324</v>
      </c>
      <c r="C77" s="17">
        <f t="shared" ref="C77:I77" si="11">+C74+C75+C76</f>
        <v>479.62182694032629</v>
      </c>
      <c r="D77" s="17">
        <f t="shared" si="11"/>
        <v>428.50056761307019</v>
      </c>
      <c r="E77" s="66">
        <f t="shared" si="11"/>
        <v>440.22195932689147</v>
      </c>
      <c r="F77" s="67">
        <f t="shared" si="11"/>
        <v>550.46877155947027</v>
      </c>
      <c r="G77" s="67">
        <f t="shared" si="11"/>
        <v>638.46161642363995</v>
      </c>
      <c r="H77" s="67">
        <f t="shared" si="11"/>
        <v>0</v>
      </c>
      <c r="I77" s="67">
        <f t="shared" si="11"/>
        <v>0</v>
      </c>
    </row>
    <row r="78" spans="1:9">
      <c r="A78" s="7" t="str">
        <f>HLOOKUP(INDICE!$F$2,Nombres!$C$3:$D$636,47,FALSE)</f>
        <v>Income tax</v>
      </c>
      <c r="B78" s="70">
        <v>-122.2860032999228</v>
      </c>
      <c r="C78" s="70">
        <v>-148.60336865908315</v>
      </c>
      <c r="D78" s="70">
        <v>-140.58519083715237</v>
      </c>
      <c r="E78" s="71">
        <v>-175.0275270844021</v>
      </c>
      <c r="F78" s="70">
        <v>-166.29635237884438</v>
      </c>
      <c r="G78" s="70">
        <v>-163.33167634686293</v>
      </c>
      <c r="H78" s="70">
        <v>0</v>
      </c>
      <c r="I78" s="70">
        <v>0</v>
      </c>
    </row>
    <row r="79" spans="1:9">
      <c r="A79" s="17" t="str">
        <f>HLOOKUP(INDICE!$F$2,Nombres!$C$3:$D$636,48,FALSE)</f>
        <v>Profit/(loss) for the year</v>
      </c>
      <c r="B79" s="17">
        <f>+B77+B78</f>
        <v>310.83900083218043</v>
      </c>
      <c r="C79" s="17">
        <f t="shared" ref="C79:I79" si="12">+C77+C78</f>
        <v>331.01845828124317</v>
      </c>
      <c r="D79" s="17">
        <f t="shared" si="12"/>
        <v>287.91537677591782</v>
      </c>
      <c r="E79" s="66">
        <f t="shared" si="12"/>
        <v>265.19443224248937</v>
      </c>
      <c r="F79" s="67">
        <f t="shared" si="12"/>
        <v>384.17241918062587</v>
      </c>
      <c r="G79" s="67">
        <f t="shared" si="12"/>
        <v>475.12994007677702</v>
      </c>
      <c r="H79" s="67">
        <f t="shared" si="12"/>
        <v>0</v>
      </c>
      <c r="I79" s="67">
        <f t="shared" si="12"/>
        <v>0</v>
      </c>
    </row>
    <row r="80" spans="1:9">
      <c r="A80" s="7" t="str">
        <f>HLOOKUP(INDICE!$F$2,Nombres!$C$3:$D$636,49,FALSE)</f>
        <v>Non-controlling interests</v>
      </c>
      <c r="B80" s="70">
        <v>-128.36449094969788</v>
      </c>
      <c r="C80" s="70">
        <v>-120.43345909756033</v>
      </c>
      <c r="D80" s="70">
        <v>-101.61234202440431</v>
      </c>
      <c r="E80" s="71">
        <v>-106.58801488286387</v>
      </c>
      <c r="F80" s="70">
        <v>-139.48964888343122</v>
      </c>
      <c r="G80" s="70">
        <v>-163.43546837735951</v>
      </c>
      <c r="H80" s="70">
        <v>0</v>
      </c>
      <c r="I80" s="70">
        <v>0</v>
      </c>
    </row>
    <row r="81" spans="1:9">
      <c r="A81" s="18" t="str">
        <f>HLOOKUP(INDICE!$F$2,Nombres!$C$3:$D$636,50,FALSE)</f>
        <v>Net attributable profit</v>
      </c>
      <c r="B81" s="18">
        <f>+B79+B80</f>
        <v>182.47450988248255</v>
      </c>
      <c r="C81" s="18">
        <f t="shared" ref="C81:I81" si="13">+C79+C80</f>
        <v>210.58499918368284</v>
      </c>
      <c r="D81" s="18">
        <f t="shared" si="13"/>
        <v>186.30303475151351</v>
      </c>
      <c r="E81" s="18">
        <f t="shared" si="13"/>
        <v>158.60641735962548</v>
      </c>
      <c r="F81" s="88">
        <f t="shared" si="13"/>
        <v>244.68277029719465</v>
      </c>
      <c r="G81" s="88">
        <f t="shared" si="13"/>
        <v>311.69447169941748</v>
      </c>
      <c r="H81" s="88">
        <f t="shared" si="13"/>
        <v>0</v>
      </c>
      <c r="I81" s="88">
        <f t="shared" si="13"/>
        <v>0</v>
      </c>
    </row>
    <row r="82" spans="1:9">
      <c r="A82" s="8"/>
      <c r="B82" s="93">
        <v>2.8421709430404007E-13</v>
      </c>
      <c r="C82" s="93">
        <v>4.5474735088646412E-13</v>
      </c>
      <c r="D82" s="93">
        <v>0</v>
      </c>
      <c r="E82" s="93">
        <v>-1.0516032489249483E-12</v>
      </c>
      <c r="F82" s="93">
        <v>-3.979039320256561E-13</v>
      </c>
      <c r="G82" s="93">
        <v>7.3896444519050419E-13</v>
      </c>
      <c r="H82" s="93">
        <v>0</v>
      </c>
      <c r="I82" s="93">
        <v>0</v>
      </c>
    </row>
    <row r="83" spans="1:9">
      <c r="A83" s="17"/>
      <c r="B83" s="17"/>
      <c r="C83" s="17"/>
      <c r="D83" s="17"/>
      <c r="E83" s="17"/>
      <c r="F83" s="67"/>
      <c r="G83" s="67"/>
      <c r="H83" s="67"/>
      <c r="I83" s="67"/>
    </row>
    <row r="84" spans="1:9" ht="17">
      <c r="A84" s="59" t="str">
        <f>HLOOKUP(INDICE!$F$2,Nombres!$C$3:$D$636,51,FALSE)</f>
        <v>Balance sheets</v>
      </c>
      <c r="B84" s="60"/>
      <c r="C84" s="60"/>
      <c r="D84" s="60"/>
      <c r="E84" s="60"/>
      <c r="F84" s="95"/>
      <c r="G84" s="95"/>
      <c r="H84" s="95"/>
      <c r="I84" s="95"/>
    </row>
    <row r="85" spans="1:9">
      <c r="A85" s="9" t="str">
        <f>HLOOKUP(INDICE!$F$2,Nombres!$C$3:$D$636,73,FALSE)</f>
        <v xml:space="preserve">(Constant million euros)    </v>
      </c>
      <c r="B85" s="57"/>
      <c r="C85" s="78"/>
      <c r="D85" s="78"/>
      <c r="E85" s="78"/>
      <c r="F85" s="96"/>
      <c r="G85" s="70"/>
      <c r="H85" s="70"/>
      <c r="I85" s="70"/>
    </row>
    <row r="86" spans="1:9">
      <c r="A86" s="57"/>
      <c r="B86" s="80">
        <f t="shared" ref="B86:I86" si="14">+B$30</f>
        <v>45747</v>
      </c>
      <c r="C86" s="80">
        <f t="shared" si="14"/>
        <v>45838</v>
      </c>
      <c r="D86" s="80">
        <f t="shared" si="14"/>
        <v>45930</v>
      </c>
      <c r="E86" s="92">
        <f t="shared" si="14"/>
        <v>46022</v>
      </c>
      <c r="F86" s="80">
        <f t="shared" si="14"/>
        <v>46112</v>
      </c>
      <c r="G86" s="80">
        <f t="shared" si="14"/>
        <v>46203</v>
      </c>
      <c r="H86" s="80">
        <f t="shared" si="14"/>
        <v>46295</v>
      </c>
      <c r="I86" s="80">
        <f t="shared" si="14"/>
        <v>46387</v>
      </c>
    </row>
    <row r="87" spans="1:9">
      <c r="A87" s="7" t="str">
        <f>HLOOKUP(INDICE!$F$2,Nombres!$C$3:$D$636,52,FALSE)</f>
        <v>Cash, cash balances at central banks and other demand deposits</v>
      </c>
      <c r="B87" s="70">
        <v>6825.8500519956951</v>
      </c>
      <c r="C87" s="70">
        <v>6562.6221081324002</v>
      </c>
      <c r="D87" s="70">
        <v>7621.2971103470209</v>
      </c>
      <c r="E87" s="71">
        <v>8372.3467632849024</v>
      </c>
      <c r="F87" s="70">
        <v>8397.5355991265842</v>
      </c>
      <c r="G87" s="70">
        <v>8666.1369999967192</v>
      </c>
      <c r="H87" s="70">
        <v>0</v>
      </c>
      <c r="I87" s="70">
        <v>0</v>
      </c>
    </row>
    <row r="88" spans="1:9">
      <c r="A88" s="7" t="str">
        <f>HLOOKUP(INDICE!$F$2,Nombres!$C$3:$D$636,53,FALSE)</f>
        <v xml:space="preserve">Financial assets designated at fair value </v>
      </c>
      <c r="B88" s="79">
        <v>11191.056191338488</v>
      </c>
      <c r="C88" s="79">
        <v>11532.111814080825</v>
      </c>
      <c r="D88" s="79">
        <v>11360.686318530503</v>
      </c>
      <c r="E88" s="89">
        <v>11193.749670228935</v>
      </c>
      <c r="F88" s="70">
        <v>12001.780658757963</v>
      </c>
      <c r="G88" s="70">
        <v>13608.629999999759</v>
      </c>
      <c r="H88" s="70">
        <v>0</v>
      </c>
      <c r="I88" s="70">
        <v>0</v>
      </c>
    </row>
    <row r="89" spans="1:9">
      <c r="A89" s="7" t="str">
        <f>HLOOKUP(INDICE!$F$2,Nombres!$C$3:$D$636,54,FALSE)</f>
        <v>Financial assets at amortized cost</v>
      </c>
      <c r="B89" s="70">
        <v>50542.686475879964</v>
      </c>
      <c r="C89" s="70">
        <v>53152.653540948835</v>
      </c>
      <c r="D89" s="70">
        <v>55133.481016852202</v>
      </c>
      <c r="E89" s="71">
        <v>57138.722040119923</v>
      </c>
      <c r="F89" s="70">
        <v>59321.695019835526</v>
      </c>
      <c r="G89" s="70">
        <v>60510.37899994191</v>
      </c>
      <c r="H89" s="70">
        <v>0</v>
      </c>
      <c r="I89" s="70">
        <v>0</v>
      </c>
    </row>
    <row r="90" spans="1:9">
      <c r="A90" s="7" t="str">
        <f>HLOOKUP(INDICE!$F$2,Nombres!$C$3:$D$636,55,FALSE)</f>
        <v xml:space="preserve">    of which loans and advances to customers</v>
      </c>
      <c r="B90" s="70">
        <v>47879.374529703557</v>
      </c>
      <c r="C90" s="70">
        <v>49874.600640592776</v>
      </c>
      <c r="D90" s="70">
        <v>51300.872022081465</v>
      </c>
      <c r="E90" s="71">
        <v>53916.070196579276</v>
      </c>
      <c r="F90" s="70">
        <v>55394.052475674769</v>
      </c>
      <c r="G90" s="70">
        <v>57662.812999982925</v>
      </c>
      <c r="H90" s="70">
        <v>0</v>
      </c>
      <c r="I90" s="70">
        <v>0</v>
      </c>
    </row>
    <row r="91" spans="1:9" hidden="1">
      <c r="A91" s="7"/>
      <c r="B91" s="70"/>
      <c r="C91" s="70"/>
      <c r="D91" s="70"/>
      <c r="E91" s="71"/>
      <c r="F91" s="70"/>
      <c r="G91" s="70"/>
      <c r="H91" s="70"/>
      <c r="I91" s="70"/>
    </row>
    <row r="92" spans="1:9">
      <c r="A92" s="7" t="str">
        <f>HLOOKUP(INDICE!$F$2,Nombres!$C$3:$D$636,56,FALSE)</f>
        <v>Tangible assets</v>
      </c>
      <c r="B92" s="70">
        <v>1228.6308757900645</v>
      </c>
      <c r="C92" s="70">
        <v>1161.2107908599892</v>
      </c>
      <c r="D92" s="70">
        <v>1136.3774169315591</v>
      </c>
      <c r="E92" s="71">
        <v>1168.9533491631323</v>
      </c>
      <c r="F92" s="70">
        <v>1253.556549313452</v>
      </c>
      <c r="G92" s="70">
        <v>1270.4419999999968</v>
      </c>
      <c r="H92" s="70">
        <v>0</v>
      </c>
      <c r="I92" s="70">
        <v>0</v>
      </c>
    </row>
    <row r="93" spans="1:9">
      <c r="A93" s="7" t="str">
        <f>HLOOKUP(INDICE!$F$2,Nombres!$C$3:$D$636,57,FALSE)</f>
        <v>Other assets</v>
      </c>
      <c r="B93" s="79">
        <f>+B94-B92-B89-B88-B87</f>
        <v>2700.1598400729918</v>
      </c>
      <c r="C93" s="79">
        <f t="shared" ref="C93:I93" si="15">+C94-C92-C89-C88-C87</f>
        <v>2520.6530669426684</v>
      </c>
      <c r="D93" s="79">
        <f t="shared" si="15"/>
        <v>2633.0402394581179</v>
      </c>
      <c r="E93" s="89">
        <f t="shared" si="15"/>
        <v>2703.2629433117072</v>
      </c>
      <c r="F93" s="70">
        <f t="shared" si="15"/>
        <v>2564.6968923438799</v>
      </c>
      <c r="G93" s="70">
        <f t="shared" si="15"/>
        <v>2415.5730000029216</v>
      </c>
      <c r="H93" s="70">
        <f t="shared" si="15"/>
        <v>0</v>
      </c>
      <c r="I93" s="70">
        <f t="shared" si="15"/>
        <v>0</v>
      </c>
    </row>
    <row r="94" spans="1:9">
      <c r="A94" s="18" t="str">
        <f>HLOOKUP(INDICE!$F$2,Nombres!$C$3:$D$636,58,FALSE)</f>
        <v>Total assets / Liabilities and equity</v>
      </c>
      <c r="B94" s="18">
        <v>72488.383435077209</v>
      </c>
      <c r="C94" s="18">
        <v>74929.251320964715</v>
      </c>
      <c r="D94" s="18">
        <v>77884.882102119402</v>
      </c>
      <c r="E94" s="18">
        <v>80577.034766108598</v>
      </c>
      <c r="F94" s="88">
        <v>83539.264719377403</v>
      </c>
      <c r="G94" s="88">
        <v>86471.160999941305</v>
      </c>
      <c r="H94" s="88">
        <v>0</v>
      </c>
      <c r="I94" s="88">
        <v>0</v>
      </c>
    </row>
    <row r="95" spans="1:9">
      <c r="A95" s="7" t="str">
        <f>HLOOKUP(INDICE!$F$2,Nombres!$C$3:$D$636,59,FALSE)</f>
        <v>Financial liabilities held for trading and designated at fair value through profit or loss</v>
      </c>
      <c r="B95" s="79">
        <v>1739.5543776558666</v>
      </c>
      <c r="C95" s="79">
        <v>2152.8011506928146</v>
      </c>
      <c r="D95" s="79">
        <v>3038.3480309699394</v>
      </c>
      <c r="E95" s="89">
        <v>2706.9546656952543</v>
      </c>
      <c r="F95" s="70">
        <v>2711.1908296449624</v>
      </c>
      <c r="G95" s="70">
        <v>3025.4080000000013</v>
      </c>
      <c r="H95" s="70">
        <v>0</v>
      </c>
      <c r="I95" s="70">
        <v>0</v>
      </c>
    </row>
    <row r="96" spans="1:9">
      <c r="A96" s="7" t="str">
        <f>HLOOKUP(INDICE!$F$2,Nombres!$C$3:$D$636,60,FALSE)</f>
        <v>Deposits from central banks and credit institutions</v>
      </c>
      <c r="B96" s="79">
        <v>3870.5863634606294</v>
      </c>
      <c r="C96" s="79">
        <v>4416.1143424639504</v>
      </c>
      <c r="D96" s="79">
        <v>3891.1101649092188</v>
      </c>
      <c r="E96" s="89">
        <v>3952.0344462307767</v>
      </c>
      <c r="F96" s="70">
        <v>3485.798617204212</v>
      </c>
      <c r="G96" s="70">
        <v>3672.8249998591764</v>
      </c>
      <c r="H96" s="70">
        <v>0</v>
      </c>
      <c r="I96" s="70">
        <v>0</v>
      </c>
    </row>
    <row r="97" spans="1:9">
      <c r="A97" s="7" t="str">
        <f>HLOOKUP(INDICE!$F$2,Nombres!$C$3:$D$636,61,FALSE)</f>
        <v>Deposits from customers</v>
      </c>
      <c r="B97" s="79">
        <v>50397.365099660063</v>
      </c>
      <c r="C97" s="79">
        <v>51747.362240778653</v>
      </c>
      <c r="D97" s="79">
        <v>53727.951753327608</v>
      </c>
      <c r="E97" s="89">
        <v>56204.507738978675</v>
      </c>
      <c r="F97" s="70">
        <v>58792.969958371716</v>
      </c>
      <c r="G97" s="70">
        <v>60779.928000081025</v>
      </c>
      <c r="H97" s="70">
        <v>0</v>
      </c>
      <c r="I97" s="70">
        <v>0</v>
      </c>
    </row>
    <row r="98" spans="1:9">
      <c r="A98" s="7" t="str">
        <f>HLOOKUP(INDICE!$F$2,Nombres!$C$3:$D$636,62,FALSE)</f>
        <v>Debt certificates</v>
      </c>
      <c r="B98" s="70">
        <v>4117.3343951015131</v>
      </c>
      <c r="C98" s="70">
        <v>3839.3877596792263</v>
      </c>
      <c r="D98" s="70">
        <v>3949.7558662932188</v>
      </c>
      <c r="E98" s="71">
        <v>4196.6561837432719</v>
      </c>
      <c r="F98" s="70">
        <v>4210.2356429082602</v>
      </c>
      <c r="G98" s="70">
        <v>4210.3115542018668</v>
      </c>
      <c r="H98" s="70">
        <v>0</v>
      </c>
      <c r="I98" s="70">
        <v>0</v>
      </c>
    </row>
    <row r="99" spans="1:9" hidden="1">
      <c r="A99" s="7"/>
      <c r="B99" s="70"/>
      <c r="C99" s="70"/>
      <c r="D99" s="70"/>
      <c r="E99" s="71"/>
      <c r="F99" s="70"/>
      <c r="G99" s="70"/>
      <c r="H99" s="70"/>
      <c r="I99" s="70"/>
    </row>
    <row r="100" spans="1:9">
      <c r="A100" s="7" t="str">
        <f>HLOOKUP(INDICE!$F$2,Nombres!$C$3:$D$636,63,FALSE)</f>
        <v>Other liabilities</v>
      </c>
      <c r="B100" s="79">
        <f>+B94-B95-B96-B97-B98-B101</f>
        <v>5140.9505813196738</v>
      </c>
      <c r="C100" s="79">
        <f t="shared" ref="C100:I100" si="16">+C94-C95-C96-C97-C98-C101</f>
        <v>5421.668269162722</v>
      </c>
      <c r="D100" s="79">
        <f t="shared" si="16"/>
        <v>6017.5738587960459</v>
      </c>
      <c r="E100" s="89">
        <f t="shared" si="16"/>
        <v>5866.6929578353538</v>
      </c>
      <c r="F100" s="70">
        <f t="shared" si="16"/>
        <v>6734.8945730486748</v>
      </c>
      <c r="G100" s="70">
        <f t="shared" si="16"/>
        <v>7088.1973354797938</v>
      </c>
      <c r="H100" s="70">
        <f t="shared" si="16"/>
        <v>0</v>
      </c>
      <c r="I100" s="70">
        <f t="shared" si="16"/>
        <v>0</v>
      </c>
    </row>
    <row r="101" spans="1:9">
      <c r="A101" s="7" t="str">
        <f>HLOOKUP(INDICE!$F$2,Nombres!$C$3:$D$636,282,FALSE)</f>
        <v>Allocated regulatory capital</v>
      </c>
      <c r="B101" s="79">
        <v>7222.5926178794616</v>
      </c>
      <c r="C101" s="79">
        <v>7351.9175581873524</v>
      </c>
      <c r="D101" s="79">
        <v>7260.1424278233753</v>
      </c>
      <c r="E101" s="79">
        <v>7650.1887736252556</v>
      </c>
      <c r="F101" s="79">
        <v>7604.1750981995674</v>
      </c>
      <c r="G101" s="79">
        <v>7694.4911103194445</v>
      </c>
      <c r="H101" s="79">
        <v>0</v>
      </c>
      <c r="I101" s="79">
        <v>0</v>
      </c>
    </row>
    <row r="102" spans="1:9">
      <c r="A102" s="8"/>
      <c r="B102" s="79"/>
      <c r="C102" s="79"/>
      <c r="D102" s="79"/>
      <c r="E102" s="79"/>
      <c r="F102" s="70"/>
      <c r="G102" s="70"/>
      <c r="H102" s="70"/>
      <c r="I102" s="70"/>
    </row>
    <row r="103" spans="1:9">
      <c r="A103" s="7"/>
      <c r="B103" s="79"/>
      <c r="C103" s="79"/>
      <c r="D103" s="79"/>
      <c r="E103" s="79"/>
      <c r="F103" s="70"/>
      <c r="G103" s="70"/>
      <c r="H103" s="70"/>
      <c r="I103" s="70"/>
    </row>
    <row r="104" spans="1:9" ht="17">
      <c r="A104" s="59" t="str">
        <f>HLOOKUP(INDICE!$F$2,Nombres!$C$3:$D$636,65,FALSE)</f>
        <v>Relevant business indicators</v>
      </c>
      <c r="B104" s="60"/>
      <c r="C104" s="60"/>
      <c r="D104" s="60"/>
      <c r="E104" s="60"/>
      <c r="F104" s="95"/>
      <c r="G104" s="95"/>
      <c r="H104" s="95"/>
      <c r="I104" s="95"/>
    </row>
    <row r="105" spans="1:9">
      <c r="A105" s="9" t="str">
        <f>HLOOKUP(INDICE!$F$2,Nombres!$C$3:$D$636,73,FALSE)</f>
        <v xml:space="preserve">(Constant million euros)    </v>
      </c>
      <c r="B105" s="57"/>
      <c r="C105" s="57"/>
      <c r="D105" s="57"/>
      <c r="E105" s="57"/>
      <c r="F105" s="96"/>
      <c r="G105" s="70"/>
      <c r="H105" s="70"/>
      <c r="I105" s="70"/>
    </row>
    <row r="106" spans="1:9">
      <c r="A106" s="57"/>
      <c r="B106" s="80">
        <f t="shared" ref="B106:I106" si="17">+B$30</f>
        <v>45747</v>
      </c>
      <c r="C106" s="80">
        <f t="shared" si="17"/>
        <v>45838</v>
      </c>
      <c r="D106" s="80">
        <f t="shared" si="17"/>
        <v>45930</v>
      </c>
      <c r="E106" s="92">
        <f t="shared" si="17"/>
        <v>46022</v>
      </c>
      <c r="F106" s="80">
        <f t="shared" si="17"/>
        <v>46112</v>
      </c>
      <c r="G106" s="80">
        <f t="shared" si="17"/>
        <v>46203</v>
      </c>
      <c r="H106" s="80">
        <f t="shared" si="17"/>
        <v>46295</v>
      </c>
      <c r="I106" s="80">
        <f t="shared" si="17"/>
        <v>46387</v>
      </c>
    </row>
    <row r="107" spans="1:9">
      <c r="A107" s="7" t="str">
        <f>HLOOKUP(INDICE!$F$2,Nombres!$C$3:$D$636,66,FALSE)</f>
        <v>Loans and advances to customers (gross) (*)</v>
      </c>
      <c r="B107" s="70">
        <v>49997.098271718409</v>
      </c>
      <c r="C107" s="70">
        <v>51970.662145103284</v>
      </c>
      <c r="D107" s="70">
        <v>53453.526970208295</v>
      </c>
      <c r="E107" s="71">
        <v>55549.534919438498</v>
      </c>
      <c r="F107" s="70">
        <v>57037.086535608571</v>
      </c>
      <c r="G107" s="70">
        <v>59333.436999982929</v>
      </c>
      <c r="H107" s="70">
        <v>0</v>
      </c>
      <c r="I107" s="70">
        <v>0</v>
      </c>
    </row>
    <row r="108" spans="1:9">
      <c r="A108" s="7" t="str">
        <f>HLOOKUP(INDICE!$F$2,Nombres!$C$3:$D$636,67,FALSE)</f>
        <v>Customer deposits under management (*)</v>
      </c>
      <c r="B108" s="70">
        <v>50397.365099660063</v>
      </c>
      <c r="C108" s="70">
        <v>51747.362240778661</v>
      </c>
      <c r="D108" s="70">
        <v>53727.951753327623</v>
      </c>
      <c r="E108" s="71">
        <v>56204.507738978697</v>
      </c>
      <c r="F108" s="70">
        <v>58792.969958371708</v>
      </c>
      <c r="G108" s="70">
        <v>60779.928000081039</v>
      </c>
      <c r="H108" s="70">
        <v>0</v>
      </c>
      <c r="I108" s="70">
        <v>0</v>
      </c>
    </row>
    <row r="109" spans="1:9">
      <c r="A109" s="7" t="str">
        <f>HLOOKUP(INDICE!$F$2,Nombres!$C$3:$D$636,68,FALSE)</f>
        <v>Investment funds and managed portfolios</v>
      </c>
      <c r="B109" s="70">
        <v>8053.7279927088557</v>
      </c>
      <c r="C109" s="70">
        <v>8124.9055059422171</v>
      </c>
      <c r="D109" s="70">
        <v>8847.9923769690558</v>
      </c>
      <c r="E109" s="71">
        <v>8729.114640653177</v>
      </c>
      <c r="F109" s="70">
        <v>9676.8364348770483</v>
      </c>
      <c r="G109" s="70">
        <v>9863.9180512391267</v>
      </c>
      <c r="H109" s="70">
        <v>0</v>
      </c>
      <c r="I109" s="70">
        <v>0</v>
      </c>
    </row>
    <row r="110" spans="1:9">
      <c r="A110" s="7" t="str">
        <f>HLOOKUP(INDICE!$F$2,Nombres!$C$3:$D$636,69,FALSE)</f>
        <v>Pension funds</v>
      </c>
      <c r="B110" s="70">
        <v>0</v>
      </c>
      <c r="C110" s="70">
        <v>0</v>
      </c>
      <c r="D110" s="70">
        <v>0</v>
      </c>
      <c r="E110" s="71">
        <v>0</v>
      </c>
      <c r="F110" s="70">
        <v>0</v>
      </c>
      <c r="G110" s="70">
        <v>0</v>
      </c>
      <c r="H110" s="70">
        <v>0</v>
      </c>
      <c r="I110" s="70">
        <v>0</v>
      </c>
    </row>
    <row r="111" spans="1:9">
      <c r="A111" s="7" t="str">
        <f>HLOOKUP(INDICE!$F$2,Nombres!$C$3:$D$636,70,FALSE)</f>
        <v>Other off balance-sheet funds</v>
      </c>
      <c r="B111" s="70">
        <v>0</v>
      </c>
      <c r="C111" s="70">
        <v>0</v>
      </c>
      <c r="D111" s="70">
        <v>0</v>
      </c>
      <c r="E111" s="71">
        <v>0</v>
      </c>
      <c r="F111" s="70">
        <v>0</v>
      </c>
      <c r="G111" s="70">
        <v>0</v>
      </c>
      <c r="H111" s="70">
        <v>0</v>
      </c>
      <c r="I111" s="70">
        <v>0</v>
      </c>
    </row>
    <row r="112" spans="1:9">
      <c r="A112" s="8" t="str">
        <f>HLOOKUP(INDICE!$F$2,Nombres!$C$3:$D$636,71,FALSE)</f>
        <v xml:space="preserve">(*) Excluding repos. </v>
      </c>
      <c r="B112" s="79"/>
      <c r="C112" s="79"/>
      <c r="D112" s="79"/>
      <c r="E112" s="79"/>
      <c r="F112" s="79"/>
      <c r="G112" s="79"/>
      <c r="H112" s="79"/>
      <c r="I112" s="79"/>
    </row>
    <row r="113" spans="1:9">
      <c r="A113" s="8">
        <f>HLOOKUP(INDICE!$F$2,Nombres!$C$3:$D$636,72,FALSE)</f>
        <v>0</v>
      </c>
      <c r="B113" s="57"/>
      <c r="C113" s="57"/>
      <c r="D113" s="57"/>
      <c r="E113" s="57"/>
      <c r="F113" s="57"/>
      <c r="G113" s="57"/>
      <c r="H113" s="57"/>
      <c r="I113" s="57"/>
    </row>
    <row r="114" spans="1:9">
      <c r="A114" s="8"/>
      <c r="B114" s="79"/>
      <c r="C114" s="70"/>
      <c r="D114" s="70"/>
      <c r="E114" s="70"/>
      <c r="F114" s="70"/>
      <c r="G114" s="57"/>
      <c r="H114" s="57"/>
      <c r="I114" s="57"/>
    </row>
    <row r="120" spans="1:9">
      <c r="F120" s="102"/>
      <c r="G120" s="102"/>
      <c r="H120" s="102"/>
      <c r="I120" s="102"/>
    </row>
    <row r="121" spans="1:9">
      <c r="F121" s="102"/>
      <c r="G121" s="102"/>
      <c r="H121" s="102"/>
      <c r="I121" s="102"/>
    </row>
    <row r="122" spans="1:9">
      <c r="F122" s="102"/>
      <c r="G122" s="102"/>
      <c r="H122" s="102"/>
      <c r="I122" s="102"/>
    </row>
    <row r="123" spans="1:9">
      <c r="F123" s="102"/>
      <c r="G123" s="102"/>
      <c r="H123" s="102"/>
      <c r="I123" s="102"/>
    </row>
    <row r="124" spans="1:9">
      <c r="F124" s="102"/>
      <c r="G124" s="102"/>
      <c r="H124" s="102"/>
      <c r="I124" s="102"/>
    </row>
    <row r="125" spans="1:9">
      <c r="F125" s="102"/>
      <c r="G125" s="102"/>
      <c r="H125" s="102"/>
      <c r="I125" s="102"/>
    </row>
    <row r="126" spans="1:9">
      <c r="F126" s="102"/>
      <c r="G126" s="102"/>
      <c r="H126" s="102"/>
      <c r="I126" s="102"/>
    </row>
    <row r="127" spans="1:9">
      <c r="F127" s="102"/>
      <c r="G127" s="102"/>
      <c r="H127" s="102"/>
      <c r="I127" s="102"/>
    </row>
    <row r="128" spans="1:9">
      <c r="F128" s="102"/>
      <c r="G128" s="102"/>
      <c r="H128" s="102"/>
      <c r="I128" s="102"/>
    </row>
    <row r="129" spans="6:9">
      <c r="F129" s="102"/>
      <c r="G129" s="102"/>
      <c r="H129" s="102"/>
      <c r="I129" s="102"/>
    </row>
    <row r="130" spans="6:9">
      <c r="F130" s="102"/>
      <c r="G130" s="102"/>
      <c r="H130" s="102"/>
      <c r="I130" s="102"/>
    </row>
    <row r="131" spans="6:9">
      <c r="F131" s="102"/>
      <c r="G131" s="102"/>
      <c r="H131" s="102"/>
      <c r="I131" s="102"/>
    </row>
    <row r="132" spans="6:9">
      <c r="F132" s="102"/>
      <c r="G132" s="102"/>
      <c r="H132" s="102"/>
      <c r="I132" s="102"/>
    </row>
    <row r="133" spans="6:9">
      <c r="F133" s="102"/>
      <c r="G133" s="102"/>
      <c r="H133" s="102"/>
      <c r="I133" s="102"/>
    </row>
    <row r="134" spans="6:9">
      <c r="F134" s="102"/>
      <c r="G134" s="102"/>
      <c r="H134" s="102"/>
      <c r="I134" s="102"/>
    </row>
    <row r="135" spans="6:9">
      <c r="F135" s="102"/>
      <c r="G135" s="102"/>
      <c r="H135" s="102"/>
      <c r="I135" s="102"/>
    </row>
    <row r="136" spans="6:9">
      <c r="F136" s="102"/>
      <c r="G136" s="102"/>
      <c r="H136" s="102"/>
      <c r="I136" s="102"/>
    </row>
    <row r="137" spans="6:9">
      <c r="F137" s="102"/>
      <c r="G137" s="102"/>
      <c r="H137" s="102"/>
      <c r="I137" s="102"/>
    </row>
    <row r="138" spans="6:9">
      <c r="F138" s="102"/>
      <c r="G138" s="102"/>
      <c r="H138" s="102"/>
      <c r="I138" s="102"/>
    </row>
    <row r="139" spans="6:9">
      <c r="F139" s="102"/>
      <c r="G139" s="102"/>
      <c r="H139" s="102"/>
      <c r="I139" s="102"/>
    </row>
    <row r="140" spans="6:9">
      <c r="F140" s="102"/>
      <c r="G140" s="102"/>
      <c r="H140" s="102"/>
      <c r="I140" s="102"/>
    </row>
    <row r="141" spans="6:9">
      <c r="F141" s="102"/>
      <c r="G141" s="102"/>
      <c r="H141" s="102"/>
      <c r="I141" s="102"/>
    </row>
    <row r="142" spans="6:9">
      <c r="F142" s="102"/>
      <c r="G142" s="102"/>
      <c r="H142" s="102"/>
      <c r="I142" s="102"/>
    </row>
    <row r="143" spans="6:9">
      <c r="F143" s="102"/>
      <c r="G143" s="102"/>
      <c r="H143" s="102"/>
      <c r="I143" s="102"/>
    </row>
    <row r="144" spans="6:9">
      <c r="F144" s="102"/>
      <c r="G144" s="102"/>
      <c r="H144" s="102"/>
      <c r="I144" s="102"/>
    </row>
    <row r="145" spans="6:9">
      <c r="F145" s="102"/>
      <c r="G145" s="102"/>
      <c r="H145" s="102"/>
      <c r="I145" s="102"/>
    </row>
    <row r="146" spans="6:9">
      <c r="F146" s="102"/>
      <c r="G146" s="102"/>
      <c r="H146" s="102"/>
      <c r="I146" s="102"/>
    </row>
    <row r="147" spans="6:9">
      <c r="F147" s="102"/>
      <c r="G147" s="102"/>
      <c r="H147" s="102"/>
      <c r="I147" s="102"/>
    </row>
    <row r="148" spans="6:9">
      <c r="F148" s="102"/>
      <c r="G148" s="102"/>
      <c r="H148" s="102"/>
      <c r="I148" s="102"/>
    </row>
    <row r="149" spans="6:9">
      <c r="F149" s="102"/>
      <c r="G149" s="102"/>
      <c r="H149" s="102"/>
      <c r="I149" s="102"/>
    </row>
    <row r="150" spans="6:9">
      <c r="F150" s="102"/>
      <c r="G150" s="102"/>
      <c r="H150" s="102"/>
      <c r="I150" s="102"/>
    </row>
    <row r="151" spans="6:9">
      <c r="F151" s="102"/>
      <c r="G151" s="102"/>
      <c r="H151" s="102"/>
      <c r="I151" s="102"/>
    </row>
    <row r="152" spans="6:9">
      <c r="F152" s="102"/>
      <c r="G152" s="102"/>
      <c r="H152" s="102"/>
      <c r="I152" s="102"/>
    </row>
    <row r="153" spans="6:9">
      <c r="F153" s="102"/>
      <c r="G153" s="102"/>
      <c r="H153" s="102"/>
      <c r="I153" s="102"/>
    </row>
    <row r="154" spans="6:9">
      <c r="F154" s="102"/>
      <c r="G154" s="102"/>
      <c r="H154" s="102"/>
      <c r="I154" s="102"/>
    </row>
    <row r="155" spans="6:9">
      <c r="F155" s="102"/>
      <c r="G155" s="102"/>
      <c r="H155" s="102"/>
      <c r="I155" s="102"/>
    </row>
    <row r="156" spans="6:9">
      <c r="F156" s="102"/>
      <c r="G156" s="102"/>
      <c r="H156" s="102"/>
      <c r="I156" s="102"/>
    </row>
    <row r="157" spans="6:9">
      <c r="F157" s="102"/>
      <c r="G157" s="102"/>
      <c r="H157" s="102"/>
      <c r="I157" s="102"/>
    </row>
    <row r="158" spans="6:9">
      <c r="F158" s="102"/>
      <c r="G158" s="102"/>
      <c r="H158" s="102"/>
      <c r="I158" s="102"/>
    </row>
    <row r="159" spans="6:9">
      <c r="F159" s="102"/>
      <c r="G159" s="102"/>
      <c r="H159" s="102"/>
      <c r="I159" s="102"/>
    </row>
    <row r="160" spans="6:9">
      <c r="F160" s="102"/>
      <c r="G160" s="102"/>
      <c r="H160" s="102"/>
      <c r="I160" s="102"/>
    </row>
    <row r="161" spans="6:9">
      <c r="F161" s="102"/>
      <c r="G161" s="102"/>
      <c r="H161" s="102"/>
      <c r="I161" s="102"/>
    </row>
    <row r="162" spans="6:9">
      <c r="F162" s="102"/>
      <c r="G162" s="102"/>
      <c r="H162" s="102"/>
      <c r="I162" s="102"/>
    </row>
    <row r="163" spans="6:9">
      <c r="F163" s="102"/>
      <c r="G163" s="102"/>
      <c r="H163" s="102"/>
      <c r="I163" s="102"/>
    </row>
    <row r="164" spans="6:9">
      <c r="F164" s="102"/>
      <c r="G164" s="102"/>
      <c r="H164" s="102"/>
      <c r="I164" s="102"/>
    </row>
    <row r="165" spans="6:9">
      <c r="F165" s="102"/>
      <c r="G165" s="102"/>
      <c r="H165" s="102"/>
      <c r="I165" s="102"/>
    </row>
    <row r="166" spans="6:9">
      <c r="F166" s="102"/>
      <c r="G166" s="102"/>
      <c r="H166" s="102"/>
      <c r="I166" s="102"/>
    </row>
    <row r="998" spans="1:1">
      <c r="A998" t="s">
        <v>557</v>
      </c>
    </row>
  </sheetData>
  <mergeCells count="4">
    <mergeCell ref="B6:E6"/>
    <mergeCell ref="F6:I6"/>
    <mergeCell ref="B62:E62"/>
    <mergeCell ref="F62:I62"/>
  </mergeCells>
  <conditionalFormatting sqref="B26:I26">
    <cfRule type="cellIs" dxfId="35" priority="2" operator="notBetween">
      <formula>0.5</formula>
      <formula>-0.5</formula>
    </cfRule>
  </conditionalFormatting>
  <conditionalFormatting sqref="B82:I82">
    <cfRule type="cellIs" dxfId="34" priority="1" operator="notBetween">
      <formula>0.5</formula>
      <formula>-0.5</formula>
    </cfRule>
  </conditionalFormatting>
  <conditionalFormatting sqref="C26:I26">
    <cfRule type="cellIs" dxfId="33" priority="3" operator="notBetween">
      <formula>-0.4</formula>
      <formula>0.4</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37D2D-DCDD-40B1-B59E-1CB387E1200F}">
  <sheetPr>
    <tabColor theme="8"/>
  </sheetPr>
  <dimension ref="A1:I1006"/>
  <sheetViews>
    <sheetView showGridLines="0" workbookViewId="0">
      <selection activeCell="I1" sqref="H1:I1048576"/>
    </sheetView>
  </sheetViews>
  <sheetFormatPr baseColWidth="10" defaultColWidth="11.453125" defaultRowHeight="14.5"/>
  <cols>
    <col min="1" max="1" width="62" customWidth="1"/>
    <col min="8" max="9" width="0" hidden="1" customWidth="1"/>
  </cols>
  <sheetData>
    <row r="1" spans="1:9" ht="17">
      <c r="A1" s="56" t="str">
        <f>HLOOKUP(INDICE!$F$2,Nombres!$C$3:$D$636,14,FALSE)</f>
        <v>Argentina</v>
      </c>
      <c r="B1" s="57"/>
      <c r="C1" s="57"/>
      <c r="D1" s="57"/>
      <c r="E1" s="57"/>
      <c r="F1" s="57"/>
      <c r="G1" s="57"/>
      <c r="H1" s="57"/>
      <c r="I1" s="57"/>
    </row>
    <row r="2" spans="1:9" ht="19.5">
      <c r="A2" s="58"/>
      <c r="B2" s="57"/>
      <c r="C2" s="57"/>
      <c r="D2" s="57"/>
      <c r="E2" s="57"/>
      <c r="F2" s="57"/>
      <c r="G2" s="57"/>
      <c r="H2" s="57"/>
      <c r="I2" s="57"/>
    </row>
    <row r="3" spans="1:9" ht="17">
      <c r="A3" s="59" t="str">
        <f>HLOOKUP(INDICE!$F$2,Nombres!$C$3:$D$636,31,FALSE)</f>
        <v xml:space="preserve">Income statement  </v>
      </c>
      <c r="B3" s="60"/>
      <c r="C3" s="60"/>
      <c r="D3" s="60"/>
      <c r="E3" s="60"/>
      <c r="F3" s="60"/>
      <c r="G3" s="60"/>
      <c r="H3" s="60"/>
      <c r="I3" s="60"/>
    </row>
    <row r="4" spans="1:9">
      <c r="A4" s="9" t="str">
        <f>HLOOKUP(INDICE!$F$2,Nombres!$C$3:$D$636,32,FALSE)</f>
        <v>(Million euros)</v>
      </c>
      <c r="B4" s="57"/>
      <c r="C4" s="61"/>
      <c r="D4" s="61"/>
      <c r="E4" s="61"/>
      <c r="F4" s="57"/>
      <c r="G4" s="57"/>
      <c r="H4" s="57"/>
      <c r="I4" s="57"/>
    </row>
    <row r="5" spans="1:9">
      <c r="A5" s="62"/>
      <c r="B5" s="57"/>
      <c r="C5" s="61"/>
      <c r="D5" s="61"/>
      <c r="E5" s="61"/>
      <c r="F5" s="57"/>
      <c r="G5" s="57"/>
      <c r="H5" s="57"/>
      <c r="I5" s="57"/>
    </row>
    <row r="6" spans="1:9">
      <c r="A6" s="63"/>
      <c r="B6" s="257">
        <f>+España!B6</f>
        <v>2025</v>
      </c>
      <c r="C6" s="257"/>
      <c r="D6" s="257"/>
      <c r="E6" s="258"/>
      <c r="F6" s="257">
        <f>+España!F6</f>
        <v>2026</v>
      </c>
      <c r="G6" s="257"/>
      <c r="H6" s="257"/>
      <c r="I6" s="257"/>
    </row>
    <row r="7" spans="1:9">
      <c r="A7" s="63"/>
      <c r="B7" s="64" t="str">
        <f>+España!B7</f>
        <v>1Q</v>
      </c>
      <c r="C7" s="64" t="str">
        <f>+España!C7</f>
        <v>2Q</v>
      </c>
      <c r="D7" s="64" t="str">
        <f>+España!D7</f>
        <v>3Q</v>
      </c>
      <c r="E7" s="65" t="str">
        <f>+España!E7</f>
        <v>4Q</v>
      </c>
      <c r="F7" s="64" t="str">
        <f>+España!F7</f>
        <v>1Q</v>
      </c>
      <c r="G7" s="64" t="str">
        <f>+España!G7</f>
        <v>2Q</v>
      </c>
      <c r="H7" s="64" t="str">
        <f>+España!H7</f>
        <v>3Q</v>
      </c>
      <c r="I7" s="64" t="str">
        <f>+España!I7</f>
        <v>4Q</v>
      </c>
    </row>
    <row r="8" spans="1:9">
      <c r="A8" s="17" t="str">
        <f>HLOOKUP(INDICE!$F$2,Nombres!$C$3:$D$636,33,FALSE)</f>
        <v>Net interest income</v>
      </c>
      <c r="B8" s="17">
        <v>455.78499999941982</v>
      </c>
      <c r="C8" s="17">
        <v>374.31900000393881</v>
      </c>
      <c r="D8" s="17">
        <v>332.58499999388084</v>
      </c>
      <c r="E8" s="66">
        <v>407.08902182391182</v>
      </c>
      <c r="F8" s="67">
        <v>538.98300000099994</v>
      </c>
      <c r="G8" s="67">
        <v>537.47099999461011</v>
      </c>
      <c r="H8" s="67">
        <v>0</v>
      </c>
      <c r="I8" s="67">
        <v>0</v>
      </c>
    </row>
    <row r="9" spans="1:9">
      <c r="A9" s="7" t="str">
        <f>HLOOKUP(INDICE!$F$2,Nombres!$C$3:$D$636,34,FALSE)</f>
        <v>Net fees and commissions</v>
      </c>
      <c r="B9" s="70">
        <v>89.008999999637965</v>
      </c>
      <c r="C9" s="70">
        <v>63.330033997169956</v>
      </c>
      <c r="D9" s="70">
        <v>83.647319626410066</v>
      </c>
      <c r="E9" s="71">
        <v>77.008999998667036</v>
      </c>
      <c r="F9" s="70">
        <v>110.52415125532195</v>
      </c>
      <c r="G9" s="70">
        <v>113.83674861092079</v>
      </c>
      <c r="H9" s="70">
        <v>0</v>
      </c>
      <c r="I9" s="70">
        <v>0</v>
      </c>
    </row>
    <row r="10" spans="1:9">
      <c r="A10" s="7" t="str">
        <f>HLOOKUP(INDICE!$F$2,Nombres!$C$3:$D$636,35,FALSE)</f>
        <v>Net trading income</v>
      </c>
      <c r="B10" s="70">
        <v>101.36085900478005</v>
      </c>
      <c r="C10" s="70">
        <v>52.884703767230043</v>
      </c>
      <c r="D10" s="70">
        <v>23.60568588648</v>
      </c>
      <c r="E10" s="71">
        <v>64.052337581100005</v>
      </c>
      <c r="F10" s="70">
        <v>49.741839023965014</v>
      </c>
      <c r="G10" s="70">
        <v>61.978995554559042</v>
      </c>
      <c r="H10" s="70">
        <v>0</v>
      </c>
      <c r="I10" s="70">
        <v>0</v>
      </c>
    </row>
    <row r="11" spans="1:9">
      <c r="A11" s="7" t="str">
        <f>HLOOKUP(INDICE!$F$2,Nombres!$C$3:$D$636,36,FALSE)</f>
        <v>Other operating income and expenses</v>
      </c>
      <c r="B11" s="70">
        <v>-186.14200000850008</v>
      </c>
      <c r="C11" s="70">
        <v>-159.22200000612997</v>
      </c>
      <c r="D11" s="70">
        <v>-121.71499998704995</v>
      </c>
      <c r="E11" s="71">
        <v>-158.15300000959323</v>
      </c>
      <c r="F11" s="70">
        <v>-222.65735347206999</v>
      </c>
      <c r="G11" s="70">
        <v>-200.91527692680981</v>
      </c>
      <c r="H11" s="70">
        <v>0</v>
      </c>
      <c r="I11" s="70">
        <v>0</v>
      </c>
    </row>
    <row r="12" spans="1:9">
      <c r="A12" s="17" t="str">
        <f>HLOOKUP(INDICE!$F$2,Nombres!$C$3:$D$636,37,FALSE)</f>
        <v>Gross income</v>
      </c>
      <c r="B12" s="17">
        <f>+SUM(B8:B11)</f>
        <v>460.01285899533775</v>
      </c>
      <c r="C12" s="17">
        <f t="shared" ref="C12:I12" si="0">+SUM(C8:C11)</f>
        <v>331.31173776220885</v>
      </c>
      <c r="D12" s="17">
        <f t="shared" si="0"/>
        <v>318.12300551972095</v>
      </c>
      <c r="E12" s="66">
        <f t="shared" si="0"/>
        <v>389.99735939408561</v>
      </c>
      <c r="F12" s="67">
        <f t="shared" si="0"/>
        <v>476.59163680821689</v>
      </c>
      <c r="G12" s="67">
        <f t="shared" si="0"/>
        <v>512.3714672332801</v>
      </c>
      <c r="H12" s="67">
        <f t="shared" si="0"/>
        <v>0</v>
      </c>
      <c r="I12" s="67">
        <f t="shared" si="0"/>
        <v>0</v>
      </c>
    </row>
    <row r="13" spans="1:9">
      <c r="A13" s="7" t="str">
        <f>HLOOKUP(INDICE!$F$2,Nombres!$C$3:$D$636,38,FALSE)</f>
        <v>Operating expenses</v>
      </c>
      <c r="B13" s="70">
        <v>-240.28996243939591</v>
      </c>
      <c r="C13" s="70">
        <v>-192.49306244358405</v>
      </c>
      <c r="D13" s="70">
        <v>-173.39792118649703</v>
      </c>
      <c r="E13" s="71">
        <v>-165.6947376844459</v>
      </c>
      <c r="F13" s="70">
        <v>-235.10510057930497</v>
      </c>
      <c r="G13" s="70">
        <v>-227.56839184397003</v>
      </c>
      <c r="H13" s="70">
        <v>0</v>
      </c>
      <c r="I13" s="70">
        <v>0</v>
      </c>
    </row>
    <row r="14" spans="1:9">
      <c r="A14" s="7" t="str">
        <f>HLOOKUP(INDICE!$F$2,Nombres!$C$3:$D$636,39,FALSE)</f>
        <v xml:space="preserve">  Administration expenses</v>
      </c>
      <c r="B14" s="70">
        <v>-224.01196244007593</v>
      </c>
      <c r="C14" s="70">
        <v>-177.80106244336409</v>
      </c>
      <c r="D14" s="70">
        <v>-158.02192118508702</v>
      </c>
      <c r="E14" s="71">
        <v>-147.03473768354593</v>
      </c>
      <c r="F14" s="70">
        <v>-214.04710057966497</v>
      </c>
      <c r="G14" s="70">
        <v>-207.19439184205999</v>
      </c>
      <c r="H14" s="70">
        <v>0</v>
      </c>
      <c r="I14" s="70">
        <v>0</v>
      </c>
    </row>
    <row r="15" spans="1:9">
      <c r="A15" s="72" t="str">
        <f>HLOOKUP(INDICE!$F$2,Nombres!$C$3:$D$636,40,FALSE)</f>
        <v xml:space="preserve">  Personnel expenses</v>
      </c>
      <c r="B15" s="70">
        <v>-107.29899999660003</v>
      </c>
      <c r="C15" s="70">
        <v>-91.189999995506057</v>
      </c>
      <c r="D15" s="70">
        <v>-84.623000002510011</v>
      </c>
      <c r="E15" s="71">
        <v>-75.555000002249983</v>
      </c>
      <c r="F15" s="70">
        <v>-119.03099999961998</v>
      </c>
      <c r="G15" s="70">
        <v>-116.60700000411001</v>
      </c>
      <c r="H15" s="70">
        <v>0</v>
      </c>
      <c r="I15" s="70">
        <v>0</v>
      </c>
    </row>
    <row r="16" spans="1:9">
      <c r="A16" s="72" t="str">
        <f>HLOOKUP(INDICE!$F$2,Nombres!$C$3:$D$636,41,FALSE)</f>
        <v xml:space="preserve">  General and administrative expenses</v>
      </c>
      <c r="B16" s="70">
        <v>-116.71296244347592</v>
      </c>
      <c r="C16" s="70">
        <v>-86.611062447858046</v>
      </c>
      <c r="D16" s="70">
        <v>-73.398921182577041</v>
      </c>
      <c r="E16" s="71">
        <v>-71.479737681295944</v>
      </c>
      <c r="F16" s="70">
        <v>-95.016100580044949</v>
      </c>
      <c r="G16" s="70">
        <v>-90.587391837950022</v>
      </c>
      <c r="H16" s="70">
        <v>0</v>
      </c>
      <c r="I16" s="70">
        <v>0</v>
      </c>
    </row>
    <row r="17" spans="1:9">
      <c r="A17" s="7" t="str">
        <f>HLOOKUP(INDICE!$F$2,Nombres!$C$3:$D$636,42,FALSE)</f>
        <v xml:space="preserve">  Depreciation</v>
      </c>
      <c r="B17" s="70">
        <v>-16.277999999320002</v>
      </c>
      <c r="C17" s="70">
        <v>-14.692000000219998</v>
      </c>
      <c r="D17" s="70">
        <v>-15.376000001410011</v>
      </c>
      <c r="E17" s="71">
        <v>-18.660000000899995</v>
      </c>
      <c r="F17" s="70">
        <v>-21.057999999640003</v>
      </c>
      <c r="G17" s="70">
        <v>-20.374000001910002</v>
      </c>
      <c r="H17" s="70">
        <v>0</v>
      </c>
      <c r="I17" s="70">
        <v>0</v>
      </c>
    </row>
    <row r="18" spans="1:9">
      <c r="A18" s="17" t="str">
        <f>HLOOKUP(INDICE!$F$2,Nombres!$C$3:$D$636,43,FALSE)</f>
        <v>Operating income</v>
      </c>
      <c r="B18" s="17">
        <f>+B12+B13</f>
        <v>219.72289655594184</v>
      </c>
      <c r="C18" s="17">
        <f t="shared" ref="C18:I18" si="1">+C12+C13</f>
        <v>138.8186753186248</v>
      </c>
      <c r="D18" s="17">
        <f t="shared" si="1"/>
        <v>144.72508433322392</v>
      </c>
      <c r="E18" s="66">
        <f t="shared" si="1"/>
        <v>224.30262170963971</v>
      </c>
      <c r="F18" s="67">
        <f t="shared" si="1"/>
        <v>241.48653622891192</v>
      </c>
      <c r="G18" s="67">
        <f t="shared" si="1"/>
        <v>284.80307538931004</v>
      </c>
      <c r="H18" s="67">
        <f t="shared" si="1"/>
        <v>0</v>
      </c>
      <c r="I18" s="67">
        <f t="shared" si="1"/>
        <v>0</v>
      </c>
    </row>
    <row r="19" spans="1:9">
      <c r="A19" s="7" t="str">
        <f>HLOOKUP(INDICE!$F$2,Nombres!$C$3:$D$636,44,FALSE)</f>
        <v>Impaiment on financial assets not measured at fair value through profit or loss</v>
      </c>
      <c r="B19" s="70">
        <v>-93.501999999299883</v>
      </c>
      <c r="C19" s="70">
        <v>-35.437000001700255</v>
      </c>
      <c r="D19" s="70">
        <v>-116.60700000029971</v>
      </c>
      <c r="E19" s="71">
        <v>-155.36999999890028</v>
      </c>
      <c r="F19" s="70">
        <v>-176.97300000289999</v>
      </c>
      <c r="G19" s="70">
        <v>-184.27699999916803</v>
      </c>
      <c r="H19" s="70">
        <v>0</v>
      </c>
      <c r="I19" s="70">
        <v>0</v>
      </c>
    </row>
    <row r="20" spans="1:9">
      <c r="A20" s="7" t="str">
        <f>HLOOKUP(INDICE!$F$2,Nombres!$C$3:$D$636,45,FALSE)</f>
        <v>Provisions or reversal of provisions and other results</v>
      </c>
      <c r="B20" s="70">
        <v>-5.5740000003899963</v>
      </c>
      <c r="C20" s="70">
        <v>-10.007999999599992</v>
      </c>
      <c r="D20" s="70">
        <v>5.8699999994999992</v>
      </c>
      <c r="E20" s="71">
        <v>3.8720000010999991</v>
      </c>
      <c r="F20" s="70">
        <v>-1.3819999999000001</v>
      </c>
      <c r="G20" s="70">
        <v>-5.4609999980999966</v>
      </c>
      <c r="H20" s="70">
        <v>0</v>
      </c>
      <c r="I20" s="70">
        <v>0</v>
      </c>
    </row>
    <row r="21" spans="1:9">
      <c r="A21" s="17" t="str">
        <f>HLOOKUP(INDICE!$F$2,Nombres!$C$3:$D$636,46,FALSE)</f>
        <v>Profit/(loss) before tax</v>
      </c>
      <c r="B21" s="17">
        <f>+B18+B19+B20</f>
        <v>120.64689655625196</v>
      </c>
      <c r="C21" s="17">
        <f t="shared" ref="C21:I21" si="2">+C18+C19+C20</f>
        <v>93.373675317324555</v>
      </c>
      <c r="D21" s="17">
        <f t="shared" si="2"/>
        <v>33.988084332424208</v>
      </c>
      <c r="E21" s="66">
        <f t="shared" si="2"/>
        <v>72.804621711839431</v>
      </c>
      <c r="F21" s="67">
        <f t="shared" si="2"/>
        <v>63.131536226111919</v>
      </c>
      <c r="G21" s="67">
        <f t="shared" si="2"/>
        <v>95.065075392042019</v>
      </c>
      <c r="H21" s="67">
        <f t="shared" si="2"/>
        <v>0</v>
      </c>
      <c r="I21" s="67">
        <f t="shared" si="2"/>
        <v>0</v>
      </c>
    </row>
    <row r="22" spans="1:9">
      <c r="A22" s="7" t="str">
        <f>HLOOKUP(INDICE!$F$2,Nombres!$C$3:$D$636,47,FALSE)</f>
        <v>Income tax</v>
      </c>
      <c r="B22" s="70">
        <v>-42.68976896520001</v>
      </c>
      <c r="C22" s="70">
        <v>-32.399302596999995</v>
      </c>
      <c r="D22" s="70">
        <v>-13.879125296949949</v>
      </c>
      <c r="E22" s="71">
        <v>-28.292386510150035</v>
      </c>
      <c r="F22" s="70">
        <v>-19.745160867900015</v>
      </c>
      <c r="G22" s="70">
        <v>-24.237022619699992</v>
      </c>
      <c r="H22" s="70">
        <v>0</v>
      </c>
      <c r="I22" s="70">
        <v>0</v>
      </c>
    </row>
    <row r="23" spans="1:9">
      <c r="A23" s="17" t="str">
        <f>HLOOKUP(INDICE!$F$2,Nombres!$C$3:$D$636,48,FALSE)</f>
        <v>Profit/(loss) for the year</v>
      </c>
      <c r="B23" s="17">
        <f>+B21+B22</f>
        <v>77.957127591051943</v>
      </c>
      <c r="C23" s="17">
        <f t="shared" ref="C23:I23" si="3">+C21+C22</f>
        <v>60.97437272032456</v>
      </c>
      <c r="D23" s="17">
        <f t="shared" si="3"/>
        <v>20.108959035474257</v>
      </c>
      <c r="E23" s="66">
        <f t="shared" si="3"/>
        <v>44.512235201689393</v>
      </c>
      <c r="F23" s="67">
        <f t="shared" si="3"/>
        <v>43.386375358211907</v>
      </c>
      <c r="G23" s="67">
        <f t="shared" si="3"/>
        <v>70.828052772342033</v>
      </c>
      <c r="H23" s="67">
        <f t="shared" si="3"/>
        <v>0</v>
      </c>
      <c r="I23" s="67">
        <f t="shared" si="3"/>
        <v>0</v>
      </c>
    </row>
    <row r="24" spans="1:9">
      <c r="A24" s="7" t="str">
        <f>HLOOKUP(INDICE!$F$2,Nombres!$C$3:$D$636,49,FALSE)</f>
        <v>Non-controlling interests</v>
      </c>
      <c r="B24" s="70">
        <v>-27.732103139900026</v>
      </c>
      <c r="C24" s="70">
        <v>-20.433510421499978</v>
      </c>
      <c r="D24" s="70">
        <v>-7.2401786396000363</v>
      </c>
      <c r="E24" s="71">
        <v>-15.259095856300036</v>
      </c>
      <c r="F24" s="70">
        <v>-16.197281058899893</v>
      </c>
      <c r="G24" s="70">
        <v>-24.644674011199818</v>
      </c>
      <c r="H24" s="70">
        <v>0</v>
      </c>
      <c r="I24" s="70">
        <v>0</v>
      </c>
    </row>
    <row r="25" spans="1:9">
      <c r="A25" s="18" t="str">
        <f>HLOOKUP(INDICE!$F$2,Nombres!$C$3:$D$636,50,FALSE)</f>
        <v>Net attributable profit</v>
      </c>
      <c r="B25" s="18">
        <f>+B23+B24</f>
        <v>50.225024451151917</v>
      </c>
      <c r="C25" s="18">
        <f t="shared" ref="C25:I25" si="4">+C23+C24</f>
        <v>40.540862298824578</v>
      </c>
      <c r="D25" s="18">
        <f t="shared" si="4"/>
        <v>12.868780395874222</v>
      </c>
      <c r="E25" s="18">
        <f t="shared" si="4"/>
        <v>29.253139345389357</v>
      </c>
      <c r="F25" s="88">
        <f t="shared" si="4"/>
        <v>27.189094299312014</v>
      </c>
      <c r="G25" s="88">
        <f t="shared" si="4"/>
        <v>46.183378761142215</v>
      </c>
      <c r="H25" s="88">
        <f t="shared" si="4"/>
        <v>0</v>
      </c>
      <c r="I25" s="88">
        <f t="shared" si="4"/>
        <v>0</v>
      </c>
    </row>
    <row r="26" spans="1:9">
      <c r="A26" s="8"/>
      <c r="B26" s="93">
        <v>0</v>
      </c>
      <c r="C26" s="93">
        <v>0</v>
      </c>
      <c r="D26" s="93">
        <v>1.6342482922482304E-13</v>
      </c>
      <c r="E26" s="93">
        <v>-1.0658141036401503E-13</v>
      </c>
      <c r="F26" s="93">
        <v>1.2434497875801753E-13</v>
      </c>
      <c r="G26" s="93">
        <v>2.1316282072803006E-13</v>
      </c>
      <c r="H26" s="93">
        <v>0</v>
      </c>
      <c r="I26" s="93">
        <v>0</v>
      </c>
    </row>
    <row r="27" spans="1:9">
      <c r="A27" s="17"/>
      <c r="B27" s="17"/>
      <c r="C27" s="17"/>
      <c r="D27" s="17"/>
      <c r="E27" s="17"/>
      <c r="F27" s="17"/>
      <c r="G27" s="17"/>
      <c r="H27" s="17"/>
      <c r="I27" s="17"/>
    </row>
    <row r="28" spans="1:9" ht="17">
      <c r="A28" s="59" t="str">
        <f>HLOOKUP(INDICE!$F$2,Nombres!$C$3:$D$636,51,FALSE)</f>
        <v>Balance sheets</v>
      </c>
      <c r="B28" s="60"/>
      <c r="C28" s="60"/>
      <c r="D28" s="60"/>
      <c r="E28" s="60"/>
      <c r="F28" s="60"/>
      <c r="G28" s="60"/>
      <c r="H28" s="60"/>
      <c r="I28" s="60"/>
    </row>
    <row r="29" spans="1:9">
      <c r="A29" s="9" t="str">
        <f>HLOOKUP(INDICE!$F$2,Nombres!$C$3:$D$636,32,FALSE)</f>
        <v>(Million euros)</v>
      </c>
      <c r="B29" s="57"/>
      <c r="C29" s="78"/>
      <c r="D29" s="78"/>
      <c r="E29" s="78"/>
      <c r="F29" s="57"/>
      <c r="G29" s="79"/>
      <c r="H29" s="79"/>
      <c r="I29" s="79"/>
    </row>
    <row r="30" spans="1:9">
      <c r="A30" s="57"/>
      <c r="B30" s="80">
        <f>+España!B32</f>
        <v>45747</v>
      </c>
      <c r="C30" s="80">
        <f>+España!C32</f>
        <v>45838</v>
      </c>
      <c r="D30" s="80">
        <f>+España!D32</f>
        <v>45930</v>
      </c>
      <c r="E30" s="92">
        <f>+España!E32</f>
        <v>46022</v>
      </c>
      <c r="F30" s="94">
        <f>+España!F32</f>
        <v>46112</v>
      </c>
      <c r="G30" s="94">
        <f>+España!G32</f>
        <v>46203</v>
      </c>
      <c r="H30" s="94">
        <f>+España!H32</f>
        <v>46295</v>
      </c>
      <c r="I30" s="94">
        <f>+España!I32</f>
        <v>46387</v>
      </c>
    </row>
    <row r="31" spans="1:9">
      <c r="A31" s="7" t="str">
        <f>HLOOKUP(INDICE!$F$2,Nombres!$C$3:$D$636,52,FALSE)</f>
        <v>Cash, cash balances at central banks and other demand deposits</v>
      </c>
      <c r="B31" s="70">
        <v>2101.2620000000002</v>
      </c>
      <c r="C31" s="70">
        <v>2386.4349999999999</v>
      </c>
      <c r="D31" s="70">
        <v>2562.681</v>
      </c>
      <c r="E31" s="71">
        <v>2775.7449999999999</v>
      </c>
      <c r="F31" s="70">
        <v>2478.6799999999998</v>
      </c>
      <c r="G31" s="70">
        <v>2377.9059999999999</v>
      </c>
      <c r="H31" s="70">
        <v>0</v>
      </c>
      <c r="I31" s="70">
        <v>0</v>
      </c>
    </row>
    <row r="32" spans="1:9">
      <c r="A32" s="7" t="str">
        <f>HLOOKUP(INDICE!$F$2,Nombres!$C$3:$D$636,53,FALSE)</f>
        <v xml:space="preserve">Financial assets designated at fair value </v>
      </c>
      <c r="B32" s="79">
        <v>2442.1240000000012</v>
      </c>
      <c r="C32" s="79">
        <v>2256.9320000000002</v>
      </c>
      <c r="D32" s="79">
        <v>1928.5620000000001</v>
      </c>
      <c r="E32" s="89">
        <v>2094.6030000000005</v>
      </c>
      <c r="F32" s="70">
        <v>2747.6460000000006</v>
      </c>
      <c r="G32" s="70">
        <v>3139.0289999999995</v>
      </c>
      <c r="H32" s="70">
        <v>0</v>
      </c>
      <c r="I32" s="70">
        <v>0</v>
      </c>
    </row>
    <row r="33" spans="1:9">
      <c r="A33" s="7" t="str">
        <f>HLOOKUP(INDICE!$F$2,Nombres!$C$3:$D$636,54,FALSE)</f>
        <v>Financial assets at amortized cost</v>
      </c>
      <c r="B33" s="70">
        <v>8358.2349999999988</v>
      </c>
      <c r="C33" s="70">
        <v>8238.1339999999964</v>
      </c>
      <c r="D33" s="70">
        <v>8618.7909999900021</v>
      </c>
      <c r="E33" s="71">
        <v>9019.0229999999992</v>
      </c>
      <c r="F33" s="70">
        <v>9742.4050000000007</v>
      </c>
      <c r="G33" s="70">
        <v>10109.101999999999</v>
      </c>
      <c r="H33" s="70">
        <v>0</v>
      </c>
      <c r="I33" s="70">
        <v>0</v>
      </c>
    </row>
    <row r="34" spans="1:9">
      <c r="A34" s="7" t="str">
        <f>HLOOKUP(INDICE!$F$2,Nombres!$C$3:$D$636,55,FALSE)</f>
        <v xml:space="preserve">    of which loans and advances to customers</v>
      </c>
      <c r="B34" s="70">
        <v>7752.074999999998</v>
      </c>
      <c r="C34" s="70">
        <v>7859.7709999999961</v>
      </c>
      <c r="D34" s="70">
        <v>7696.7109999900003</v>
      </c>
      <c r="E34" s="71">
        <v>8228.7570000000014</v>
      </c>
      <c r="F34" s="70">
        <v>9272.7780000000002</v>
      </c>
      <c r="G34" s="70">
        <v>9623.4749999999985</v>
      </c>
      <c r="H34" s="70">
        <v>0</v>
      </c>
      <c r="I34" s="70">
        <v>0</v>
      </c>
    </row>
    <row r="35" spans="1:9" hidden="1">
      <c r="A35" s="7"/>
      <c r="B35" s="70"/>
      <c r="C35" s="70"/>
      <c r="D35" s="70"/>
      <c r="E35" s="71"/>
      <c r="F35" s="70"/>
      <c r="G35" s="70"/>
      <c r="H35" s="70"/>
      <c r="I35" s="70"/>
    </row>
    <row r="36" spans="1:9">
      <c r="A36" s="7" t="str">
        <f>HLOOKUP(INDICE!$F$2,Nombres!$C$3:$D$636,56,FALSE)</f>
        <v>Tangible assets</v>
      </c>
      <c r="B36" s="70">
        <v>730.37900000000002</v>
      </c>
      <c r="C36" s="70">
        <v>661.53900000000021</v>
      </c>
      <c r="D36" s="70">
        <v>626.92400000000009</v>
      </c>
      <c r="E36" s="71">
        <v>633.29399999999998</v>
      </c>
      <c r="F36" s="70">
        <v>739.94000000000028</v>
      </c>
      <c r="G36" s="70">
        <v>750.35600000000022</v>
      </c>
      <c r="H36" s="70">
        <v>0</v>
      </c>
      <c r="I36" s="70">
        <v>0</v>
      </c>
    </row>
    <row r="37" spans="1:9">
      <c r="A37" s="7" t="str">
        <f>HLOOKUP(INDICE!$F$2,Nombres!$C$3:$D$636,57,FALSE)</f>
        <v>Other assets</v>
      </c>
      <c r="B37" s="79">
        <f>+B38-B36-B33-B32-B31</f>
        <v>589.23879341035263</v>
      </c>
      <c r="C37" s="79">
        <f t="shared" ref="C37:I37" si="5">+C38-C36-C33-C32-C31</f>
        <v>474.42595830218124</v>
      </c>
      <c r="D37" s="79">
        <f t="shared" si="5"/>
        <v>531.75700000099869</v>
      </c>
      <c r="E37" s="89">
        <f t="shared" si="5"/>
        <v>464.62000000000035</v>
      </c>
      <c r="F37" s="70">
        <f t="shared" si="5"/>
        <v>558.68199999999752</v>
      </c>
      <c r="G37" s="70">
        <f t="shared" si="5"/>
        <v>520.95800000005511</v>
      </c>
      <c r="H37" s="70">
        <f t="shared" si="5"/>
        <v>0</v>
      </c>
      <c r="I37" s="70">
        <f t="shared" si="5"/>
        <v>0</v>
      </c>
    </row>
    <row r="38" spans="1:9">
      <c r="A38" s="18" t="str">
        <f>HLOOKUP(INDICE!$F$2,Nombres!$C$3:$D$636,58,FALSE)</f>
        <v>Total assets / Liabilities and equity</v>
      </c>
      <c r="B38" s="18">
        <v>14221.238793410354</v>
      </c>
      <c r="C38" s="18">
        <v>14017.465958302178</v>
      </c>
      <c r="D38" s="18">
        <v>14268.714999991002</v>
      </c>
      <c r="E38" s="18">
        <v>14987.285</v>
      </c>
      <c r="F38" s="88">
        <v>16267.352999999999</v>
      </c>
      <c r="G38" s="88">
        <v>16897.351000000053</v>
      </c>
      <c r="H38" s="88">
        <v>0</v>
      </c>
      <c r="I38" s="88">
        <v>0</v>
      </c>
    </row>
    <row r="39" spans="1:9">
      <c r="A39" s="7" t="str">
        <f>HLOOKUP(INDICE!$F$2,Nombres!$C$3:$D$636,59,FALSE)</f>
        <v>Financial liabilities held for trading and designated at fair value through profit or loss</v>
      </c>
      <c r="B39" s="79">
        <v>10.889000000000001</v>
      </c>
      <c r="C39" s="79">
        <v>11.091999999999997</v>
      </c>
      <c r="D39" s="79">
        <v>47.103999999999992</v>
      </c>
      <c r="E39" s="89">
        <v>3.7550000000000003</v>
      </c>
      <c r="F39" s="70">
        <v>26.106000000000002</v>
      </c>
      <c r="G39" s="70">
        <v>26.344999999999999</v>
      </c>
      <c r="H39" s="70">
        <v>0</v>
      </c>
      <c r="I39" s="70">
        <v>0</v>
      </c>
    </row>
    <row r="40" spans="1:9">
      <c r="A40" s="7" t="str">
        <f>HLOOKUP(INDICE!$F$2,Nombres!$C$3:$D$636,60,FALSE)</f>
        <v>Deposits from central banks and credit institutions</v>
      </c>
      <c r="B40" s="79">
        <v>280.67400000000009</v>
      </c>
      <c r="C40" s="79">
        <v>257.88100000000003</v>
      </c>
      <c r="D40" s="79">
        <v>363.11599999999999</v>
      </c>
      <c r="E40" s="89">
        <v>728.41800000000001</v>
      </c>
      <c r="F40" s="70">
        <v>365.5680000000001</v>
      </c>
      <c r="G40" s="70">
        <v>354.83100000000002</v>
      </c>
      <c r="H40" s="70">
        <v>0</v>
      </c>
      <c r="I40" s="70">
        <v>0</v>
      </c>
    </row>
    <row r="41" spans="1:9" ht="15.75" customHeight="1">
      <c r="A41" s="7" t="str">
        <f>HLOOKUP(INDICE!$F$2,Nombres!$C$3:$D$636,61,FALSE)</f>
        <v>Deposits from customers</v>
      </c>
      <c r="B41" s="79">
        <v>9440.2029999930019</v>
      </c>
      <c r="C41" s="79">
        <v>9361.9949999909986</v>
      </c>
      <c r="D41" s="79">
        <v>9930.3440000050014</v>
      </c>
      <c r="E41" s="89">
        <v>10088.291999999001</v>
      </c>
      <c r="F41" s="70">
        <v>10965.949000000001</v>
      </c>
      <c r="G41" s="70">
        <v>11418.646000000001</v>
      </c>
      <c r="H41" s="70">
        <v>0</v>
      </c>
      <c r="I41" s="70">
        <v>0</v>
      </c>
    </row>
    <row r="42" spans="1:9">
      <c r="A42" s="7" t="str">
        <f>HLOOKUP(INDICE!$F$2,Nombres!$C$3:$D$636,62,FALSE)</f>
        <v>Debt certificates</v>
      </c>
      <c r="B42" s="70">
        <v>597.69153297000003</v>
      </c>
      <c r="C42" s="70">
        <v>712.88005566000004</v>
      </c>
      <c r="D42" s="70">
        <v>632.2510333847822</v>
      </c>
      <c r="E42" s="71">
        <v>731.09309249309115</v>
      </c>
      <c r="F42" s="70">
        <v>828.94171633900169</v>
      </c>
      <c r="G42" s="70">
        <v>938.53454212085751</v>
      </c>
      <c r="H42" s="70">
        <v>0</v>
      </c>
      <c r="I42" s="70">
        <v>0</v>
      </c>
    </row>
    <row r="43" spans="1:9" hidden="1">
      <c r="A43" s="7"/>
      <c r="B43" s="70"/>
      <c r="C43" s="70"/>
      <c r="D43" s="70"/>
      <c r="E43" s="71"/>
      <c r="F43" s="70"/>
      <c r="G43" s="70"/>
      <c r="H43" s="70"/>
      <c r="I43" s="70"/>
    </row>
    <row r="44" spans="1:9">
      <c r="A44" s="7" t="str">
        <f>HLOOKUP(INDICE!$F$2,Nombres!$C$3:$D$636,63,FALSE)</f>
        <v>Other liabilities</v>
      </c>
      <c r="B44" s="79">
        <f>+B38-B39-B40-B41-B42-B45</f>
        <v>2385.0401426623539</v>
      </c>
      <c r="C44" s="79">
        <f t="shared" ref="C44:I44" si="6">+C38-C39-C40-C41-C42-C45</f>
        <v>2183.3523815921799</v>
      </c>
      <c r="D44" s="79">
        <f t="shared" si="6"/>
        <v>1895.0729216630386</v>
      </c>
      <c r="E44" s="89">
        <f t="shared" si="6"/>
        <v>2031.03878977107</v>
      </c>
      <c r="F44" s="70">
        <f t="shared" si="6"/>
        <v>2576.4511432628678</v>
      </c>
      <c r="G44" s="70">
        <f t="shared" si="6"/>
        <v>2599.4853686968763</v>
      </c>
      <c r="H44" s="70">
        <f t="shared" si="6"/>
        <v>0</v>
      </c>
      <c r="I44" s="70">
        <f t="shared" si="6"/>
        <v>0</v>
      </c>
    </row>
    <row r="45" spans="1:9">
      <c r="A45" s="7" t="str">
        <f>HLOOKUP(INDICE!$F$2,Nombres!$C$3:$D$636,282,FALSE)</f>
        <v>Allocated regulatory capital</v>
      </c>
      <c r="B45" s="79">
        <v>1506.7411177849979</v>
      </c>
      <c r="C45" s="79">
        <v>1490.2655210590001</v>
      </c>
      <c r="D45" s="79">
        <v>1400.8270449381801</v>
      </c>
      <c r="E45" s="79">
        <v>1404.6881177368389</v>
      </c>
      <c r="F45" s="79">
        <v>1504.33714039813</v>
      </c>
      <c r="G45" s="79">
        <v>1559.5090891823193</v>
      </c>
      <c r="H45" s="79">
        <v>0</v>
      </c>
      <c r="I45" s="79">
        <v>0</v>
      </c>
    </row>
    <row r="46" spans="1:9">
      <c r="A46" s="8"/>
      <c r="B46" s="79"/>
      <c r="C46" s="79"/>
      <c r="D46" s="79"/>
      <c r="E46" s="79"/>
      <c r="F46" s="70"/>
      <c r="G46" s="70"/>
      <c r="H46" s="70"/>
      <c r="I46" s="70"/>
    </row>
    <row r="47" spans="1:9">
      <c r="A47" s="7"/>
      <c r="B47" s="79"/>
      <c r="C47" s="79"/>
      <c r="D47" s="79"/>
      <c r="E47" s="79"/>
      <c r="F47" s="70"/>
      <c r="G47" s="70"/>
      <c r="H47" s="70"/>
      <c r="I47" s="70"/>
    </row>
    <row r="48" spans="1:9" ht="17">
      <c r="A48" s="59" t="str">
        <f>HLOOKUP(INDICE!$F$2,Nombres!$C$3:$D$636,65,FALSE)</f>
        <v>Relevant business indicators</v>
      </c>
      <c r="B48" s="60"/>
      <c r="C48" s="60"/>
      <c r="D48" s="60"/>
      <c r="E48" s="60"/>
      <c r="F48" s="95"/>
      <c r="G48" s="95"/>
      <c r="H48" s="95"/>
      <c r="I48" s="95"/>
    </row>
    <row r="49" spans="1:9">
      <c r="A49" s="9" t="str">
        <f>HLOOKUP(INDICE!$F$2,Nombres!$C$3:$D$636,32,FALSE)</f>
        <v>(Million euros)</v>
      </c>
      <c r="B49" s="57"/>
      <c r="C49" s="57"/>
      <c r="D49" s="57"/>
      <c r="E49" s="57"/>
      <c r="F49" s="96"/>
      <c r="G49" s="70"/>
      <c r="H49" s="70"/>
      <c r="I49" s="70"/>
    </row>
    <row r="50" spans="1:9">
      <c r="A50" s="57"/>
      <c r="B50" s="80">
        <f t="shared" ref="B50:I50" si="7">+B$30</f>
        <v>45747</v>
      </c>
      <c r="C50" s="80">
        <f t="shared" si="7"/>
        <v>45838</v>
      </c>
      <c r="D50" s="80">
        <f t="shared" si="7"/>
        <v>45930</v>
      </c>
      <c r="E50" s="92">
        <f t="shared" si="7"/>
        <v>46022</v>
      </c>
      <c r="F50" s="80">
        <f t="shared" si="7"/>
        <v>46112</v>
      </c>
      <c r="G50" s="80">
        <f t="shared" si="7"/>
        <v>46203</v>
      </c>
      <c r="H50" s="80">
        <f t="shared" si="7"/>
        <v>46295</v>
      </c>
      <c r="I50" s="80">
        <f t="shared" si="7"/>
        <v>46387</v>
      </c>
    </row>
    <row r="51" spans="1:9">
      <c r="A51" s="7" t="str">
        <f>HLOOKUP(INDICE!$F$2,Nombres!$C$3:$D$636,66,FALSE)</f>
        <v>Loans and advances to customers (gross) (*)</v>
      </c>
      <c r="B51" s="70">
        <v>7936.2830000000004</v>
      </c>
      <c r="C51" s="70">
        <v>8077.1639999999961</v>
      </c>
      <c r="D51" s="70">
        <v>7967.3379999900008</v>
      </c>
      <c r="E51" s="71">
        <v>8587.1010000000024</v>
      </c>
      <c r="F51" s="70">
        <v>9764.02</v>
      </c>
      <c r="G51" s="70">
        <v>10128.066999999999</v>
      </c>
      <c r="H51" s="70">
        <v>0</v>
      </c>
      <c r="I51" s="70">
        <v>0</v>
      </c>
    </row>
    <row r="52" spans="1:9">
      <c r="A52" s="7" t="str">
        <f>HLOOKUP(INDICE!$F$2,Nombres!$C$3:$D$636,67,FALSE)</f>
        <v>Customer deposits under management (*)</v>
      </c>
      <c r="B52" s="70">
        <v>9440.202999993</v>
      </c>
      <c r="C52" s="70">
        <v>9361.9949999909968</v>
      </c>
      <c r="D52" s="70">
        <v>9930.3440000050014</v>
      </c>
      <c r="E52" s="71">
        <v>10088.291999999003</v>
      </c>
      <c r="F52" s="70">
        <v>10965.949000000001</v>
      </c>
      <c r="G52" s="70">
        <v>11418.646000000001</v>
      </c>
      <c r="H52" s="70">
        <v>0</v>
      </c>
      <c r="I52" s="70">
        <v>0</v>
      </c>
    </row>
    <row r="53" spans="1:9">
      <c r="A53" s="7" t="str">
        <f>HLOOKUP(INDICE!$F$2,Nombres!$C$3:$D$636,68,FALSE)</f>
        <v>Investment funds and managed portfolios</v>
      </c>
      <c r="B53" s="70">
        <v>3093.0571401360767</v>
      </c>
      <c r="C53" s="70">
        <v>2470.4581866722356</v>
      </c>
      <c r="D53" s="70">
        <v>2545.3494897204109</v>
      </c>
      <c r="E53" s="71">
        <v>2084.5659533018629</v>
      </c>
      <c r="F53" s="70">
        <v>2852.5747275654926</v>
      </c>
      <c r="G53" s="70">
        <v>2846.5306438681469</v>
      </c>
      <c r="H53" s="70">
        <v>0</v>
      </c>
      <c r="I53" s="70">
        <v>0</v>
      </c>
    </row>
    <row r="54" spans="1:9">
      <c r="A54" s="7" t="str">
        <f>HLOOKUP(INDICE!$F$2,Nombres!$C$3:$D$636,69,FALSE)</f>
        <v>Pension funds</v>
      </c>
      <c r="B54" s="70">
        <v>0</v>
      </c>
      <c r="C54" s="70">
        <v>0</v>
      </c>
      <c r="D54" s="70">
        <v>0</v>
      </c>
      <c r="E54" s="71">
        <v>0</v>
      </c>
      <c r="F54" s="70">
        <v>0</v>
      </c>
      <c r="G54" s="70">
        <v>0</v>
      </c>
      <c r="H54" s="70">
        <v>0</v>
      </c>
      <c r="I54" s="70">
        <v>0</v>
      </c>
    </row>
    <row r="55" spans="1:9">
      <c r="A55" s="7" t="str">
        <f>HLOOKUP(INDICE!$F$2,Nombres!$C$3:$D$636,70,FALSE)</f>
        <v>Other off balance-sheet funds</v>
      </c>
      <c r="B55" s="70">
        <v>0</v>
      </c>
      <c r="C55" s="70">
        <v>0</v>
      </c>
      <c r="D55" s="70">
        <v>0</v>
      </c>
      <c r="E55" s="71">
        <v>0</v>
      </c>
      <c r="F55" s="70">
        <v>0</v>
      </c>
      <c r="G55" s="70">
        <v>0</v>
      </c>
      <c r="H55" s="70">
        <v>0</v>
      </c>
      <c r="I55" s="70">
        <v>0</v>
      </c>
    </row>
    <row r="56" spans="1:9">
      <c r="A56" s="8" t="str">
        <f>HLOOKUP(INDICE!$F$2,Nombres!$C$3:$D$636,71,FALSE)</f>
        <v xml:space="preserve">(*) Excluding repos. </v>
      </c>
      <c r="B56" s="79"/>
      <c r="C56" s="79"/>
      <c r="D56" s="79"/>
      <c r="E56" s="79"/>
      <c r="F56" s="79"/>
      <c r="G56" s="79"/>
      <c r="H56" s="79"/>
      <c r="I56" s="79"/>
    </row>
    <row r="57" spans="1:9">
      <c r="A57" s="8">
        <f>HLOOKUP(INDICE!$F$2,Nombres!$C$3:$D$636,72,FALSE)</f>
        <v>0</v>
      </c>
      <c r="B57" s="57"/>
      <c r="C57" s="57"/>
      <c r="D57" s="57"/>
      <c r="E57" s="57"/>
      <c r="F57" s="57"/>
      <c r="G57" s="57"/>
      <c r="H57" s="57"/>
      <c r="I57" s="57"/>
    </row>
    <row r="58" spans="1:9">
      <c r="A58" s="8"/>
      <c r="B58" s="57"/>
      <c r="C58" s="57"/>
      <c r="D58" s="57"/>
      <c r="E58" s="57"/>
      <c r="F58" s="57"/>
      <c r="G58" s="57"/>
      <c r="H58" s="57"/>
      <c r="I58" s="57"/>
    </row>
    <row r="59" spans="1:9" ht="17">
      <c r="A59" s="59" t="str">
        <f>HLOOKUP(INDICE!$F$2,Nombres!$C$3:$D$636,31,FALSE)</f>
        <v xml:space="preserve">Income statement  </v>
      </c>
      <c r="B59" s="60"/>
      <c r="C59" s="60"/>
      <c r="D59" s="60"/>
      <c r="E59" s="60"/>
      <c r="F59" s="60"/>
      <c r="G59" s="60"/>
      <c r="H59" s="60"/>
      <c r="I59" s="60"/>
    </row>
    <row r="60" spans="1:9">
      <c r="A60" s="9" t="str">
        <f>HLOOKUP(INDICE!$F$2,Nombres!$C$3:$D$636,73,FALSE)</f>
        <v xml:space="preserve">(Constant million euros)    </v>
      </c>
      <c r="B60" s="57"/>
      <c r="C60" s="61"/>
      <c r="D60" s="61"/>
      <c r="E60" s="61"/>
      <c r="F60" s="57"/>
      <c r="G60" s="57"/>
      <c r="H60" s="57"/>
      <c r="I60" s="57"/>
    </row>
    <row r="61" spans="1:9">
      <c r="A61" s="62"/>
      <c r="B61" s="57"/>
      <c r="C61" s="61"/>
      <c r="D61" s="61"/>
      <c r="E61" s="61"/>
      <c r="F61" s="57"/>
      <c r="G61" s="57"/>
      <c r="H61" s="57"/>
      <c r="I61" s="57"/>
    </row>
    <row r="62" spans="1:9">
      <c r="A62" s="63"/>
      <c r="B62" s="257">
        <f>+B$6</f>
        <v>2025</v>
      </c>
      <c r="C62" s="257"/>
      <c r="D62" s="257"/>
      <c r="E62" s="258"/>
      <c r="F62" s="257">
        <f>+F$6</f>
        <v>2026</v>
      </c>
      <c r="G62" s="257"/>
      <c r="H62" s="257"/>
      <c r="I62" s="257"/>
    </row>
    <row r="63" spans="1:9">
      <c r="A63" s="63"/>
      <c r="B63" s="64" t="str">
        <f>+B$7</f>
        <v>1Q</v>
      </c>
      <c r="C63" s="64" t="str">
        <f t="shared" ref="C63:I63" si="8">+C$7</f>
        <v>2Q</v>
      </c>
      <c r="D63" s="64" t="str">
        <f t="shared" si="8"/>
        <v>3Q</v>
      </c>
      <c r="E63" s="65" t="str">
        <f t="shared" si="8"/>
        <v>4Q</v>
      </c>
      <c r="F63" s="64" t="str">
        <f t="shared" si="8"/>
        <v>1Q</v>
      </c>
      <c r="G63" s="64" t="str">
        <f t="shared" si="8"/>
        <v>2Q</v>
      </c>
      <c r="H63" s="64" t="str">
        <f t="shared" si="8"/>
        <v>3Q</v>
      </c>
      <c r="I63" s="64" t="str">
        <f t="shared" si="8"/>
        <v>4Q</v>
      </c>
    </row>
    <row r="64" spans="1:9">
      <c r="A64" s="17" t="str">
        <f>HLOOKUP(INDICE!$F$2,Nombres!$C$3:$D$636,33,FALSE)</f>
        <v>Net interest income</v>
      </c>
      <c r="B64" s="17">
        <v>316.86744610713885</v>
      </c>
      <c r="C64" s="17">
        <v>376.72647470635297</v>
      </c>
      <c r="D64" s="17">
        <v>397.58448268282098</v>
      </c>
      <c r="E64" s="66">
        <v>501.72828336534286</v>
      </c>
      <c r="F64" s="67">
        <v>513.10253457956799</v>
      </c>
      <c r="G64" s="67">
        <v>563.35146541604206</v>
      </c>
      <c r="H64" s="67">
        <v>0</v>
      </c>
      <c r="I64" s="67">
        <v>0</v>
      </c>
    </row>
    <row r="65" spans="1:9">
      <c r="A65" s="7" t="str">
        <f>HLOOKUP(INDICE!$F$2,Nombres!$C$3:$D$636,34,FALSE)</f>
        <v>Net fees and commissions</v>
      </c>
      <c r="B65" s="70">
        <v>61.89085737872562</v>
      </c>
      <c r="C65" s="70">
        <v>65.423383660603577</v>
      </c>
      <c r="D65" s="70">
        <v>94.060930388777834</v>
      </c>
      <c r="E65" s="71">
        <v>96.245605213397752</v>
      </c>
      <c r="F65" s="70">
        <v>105.22216546332955</v>
      </c>
      <c r="G65" s="70">
        <v>119.13873440289872</v>
      </c>
      <c r="H65" s="70">
        <v>0</v>
      </c>
      <c r="I65" s="70">
        <v>0</v>
      </c>
    </row>
    <row r="66" spans="1:9">
      <c r="A66" s="7" t="str">
        <f>HLOOKUP(INDICE!$F$2,Nombres!$C$3:$D$636,35,FALSE)</f>
        <v>Net trading income</v>
      </c>
      <c r="B66" s="70">
        <v>76.638163764741904</v>
      </c>
      <c r="C66" s="70">
        <v>55.676563359582282</v>
      </c>
      <c r="D66" s="70">
        <v>35.871038633623272</v>
      </c>
      <c r="E66" s="71">
        <v>76.955814086954334</v>
      </c>
      <c r="F66" s="70">
        <v>46.861455544167988</v>
      </c>
      <c r="G66" s="70">
        <v>64.859379034355911</v>
      </c>
      <c r="H66" s="70">
        <v>0</v>
      </c>
      <c r="I66" s="70">
        <v>0</v>
      </c>
    </row>
    <row r="67" spans="1:9">
      <c r="A67" s="7" t="str">
        <f>HLOOKUP(INDICE!$F$2,Nombres!$C$3:$D$636,36,FALSE)</f>
        <v>Other operating income and expenses</v>
      </c>
      <c r="B67" s="70">
        <v>-165.03869497287877</v>
      </c>
      <c r="C67" s="70">
        <v>-158.39991115044756</v>
      </c>
      <c r="D67" s="70">
        <v>-131.97225821606111</v>
      </c>
      <c r="E67" s="71">
        <v>-173.78944837763092</v>
      </c>
      <c r="F67" s="70">
        <v>-219.08110849188856</v>
      </c>
      <c r="G67" s="70">
        <v>-204.49152190702881</v>
      </c>
      <c r="H67" s="70">
        <v>0</v>
      </c>
      <c r="I67" s="70">
        <v>0</v>
      </c>
    </row>
    <row r="68" spans="1:9">
      <c r="A68" s="17" t="str">
        <f>HLOOKUP(INDICE!$F$2,Nombres!$C$3:$D$636,37,FALSE)</f>
        <v>Gross income</v>
      </c>
      <c r="B68" s="17">
        <f>+SUM(B64:B67)</f>
        <v>290.35777227772763</v>
      </c>
      <c r="C68" s="17">
        <f t="shared" ref="C68:I68" si="9">+SUM(C64:C67)</f>
        <v>339.42651057609129</v>
      </c>
      <c r="D68" s="17">
        <f t="shared" si="9"/>
        <v>395.54419348916093</v>
      </c>
      <c r="E68" s="66">
        <f t="shared" si="9"/>
        <v>501.14025428806394</v>
      </c>
      <c r="F68" s="67">
        <f t="shared" si="9"/>
        <v>446.10504709517693</v>
      </c>
      <c r="G68" s="67">
        <f t="shared" si="9"/>
        <v>542.85805694626788</v>
      </c>
      <c r="H68" s="67">
        <f t="shared" si="9"/>
        <v>0</v>
      </c>
      <c r="I68" s="67">
        <f t="shared" si="9"/>
        <v>0</v>
      </c>
    </row>
    <row r="69" spans="1:9">
      <c r="A69" s="7" t="str">
        <f>HLOOKUP(INDICE!$F$2,Nombres!$C$3:$D$636,38,FALSE)</f>
        <v>Operating expenses</v>
      </c>
      <c r="B69" s="70">
        <v>-170.13941999511883</v>
      </c>
      <c r="C69" s="70">
        <v>-194.77257519950163</v>
      </c>
      <c r="D69" s="70">
        <v>-205.82073597927504</v>
      </c>
      <c r="E69" s="71">
        <v>-211.82951669239273</v>
      </c>
      <c r="F69" s="70">
        <v>-224.37011023231065</v>
      </c>
      <c r="G69" s="70">
        <v>-238.30338219091229</v>
      </c>
      <c r="H69" s="70">
        <v>0</v>
      </c>
      <c r="I69" s="70">
        <v>0</v>
      </c>
    </row>
    <row r="70" spans="1:9">
      <c r="A70" s="7" t="str">
        <f>HLOOKUP(INDICE!$F$2,Nombres!$C$3:$D$636,39,FALSE)</f>
        <v xml:space="preserve">  Administration expenses</v>
      </c>
      <c r="B70" s="70">
        <v>-155.7861818187053</v>
      </c>
      <c r="C70" s="70">
        <v>-180.01070936034336</v>
      </c>
      <c r="D70" s="70">
        <v>-189.63392984169533</v>
      </c>
      <c r="E70" s="71">
        <v>-191.77544360008193</v>
      </c>
      <c r="F70" s="70">
        <v>-203.77671262844407</v>
      </c>
      <c r="G70" s="70">
        <v>-217.46477979322896</v>
      </c>
      <c r="H70" s="70">
        <v>0</v>
      </c>
      <c r="I70" s="70">
        <v>0</v>
      </c>
    </row>
    <row r="71" spans="1:9">
      <c r="A71" s="72" t="str">
        <f>HLOOKUP(INDICE!$F$2,Nombres!$C$3:$D$636,40,FALSE)</f>
        <v xml:space="preserve">  Personnel expenses</v>
      </c>
      <c r="B71" s="70">
        <v>-74.649894850720543</v>
      </c>
      <c r="C71" s="70">
        <v>-91.209249255109569</v>
      </c>
      <c r="D71" s="70">
        <v>-99.818082462364487</v>
      </c>
      <c r="E71" s="71">
        <v>-98.244497419622604</v>
      </c>
      <c r="F71" s="70">
        <v>-113.31766755079546</v>
      </c>
      <c r="G71" s="70">
        <v>-122.32033245293454</v>
      </c>
      <c r="H71" s="70">
        <v>0</v>
      </c>
      <c r="I71" s="70">
        <v>0</v>
      </c>
    </row>
    <row r="72" spans="1:9">
      <c r="A72" s="72" t="str">
        <f>HLOOKUP(INDICE!$F$2,Nombres!$C$3:$D$636,41,FALSE)</f>
        <v xml:space="preserve">  General and administrative expenses</v>
      </c>
      <c r="B72" s="70">
        <v>-81.136286967984788</v>
      </c>
      <c r="C72" s="70">
        <v>-88.801460105233829</v>
      </c>
      <c r="D72" s="70">
        <v>-89.815847379330876</v>
      </c>
      <c r="E72" s="71">
        <v>-93.530946180459296</v>
      </c>
      <c r="F72" s="70">
        <v>-90.459045077648597</v>
      </c>
      <c r="G72" s="70">
        <v>-95.144447340294406</v>
      </c>
      <c r="H72" s="70">
        <v>0</v>
      </c>
      <c r="I72" s="70">
        <v>0</v>
      </c>
    </row>
    <row r="73" spans="1:9">
      <c r="A73" s="7" t="str">
        <f>HLOOKUP(INDICE!$F$2,Nombres!$C$3:$D$636,42,FALSE)</f>
        <v xml:space="preserve">  Depreciation</v>
      </c>
      <c r="B73" s="70">
        <v>-14.353238176413534</v>
      </c>
      <c r="C73" s="70">
        <v>-14.761865839158235</v>
      </c>
      <c r="D73" s="70">
        <v>-16.186806137579655</v>
      </c>
      <c r="E73" s="71">
        <v>-20.05407309231083</v>
      </c>
      <c r="F73" s="70">
        <v>-20.593397603866631</v>
      </c>
      <c r="G73" s="70">
        <v>-20.838602397683367</v>
      </c>
      <c r="H73" s="70">
        <v>0</v>
      </c>
      <c r="I73" s="70">
        <v>0</v>
      </c>
    </row>
    <row r="74" spans="1:9">
      <c r="A74" s="17" t="str">
        <f>HLOOKUP(INDICE!$F$2,Nombres!$C$3:$D$636,43,FALSE)</f>
        <v>Operating income</v>
      </c>
      <c r="B74" s="17">
        <f>+B68+B69</f>
        <v>120.21835228260881</v>
      </c>
      <c r="C74" s="17">
        <f t="shared" ref="C74:I74" si="10">+C68+C69</f>
        <v>144.65393537658966</v>
      </c>
      <c r="D74" s="17">
        <f t="shared" si="10"/>
        <v>189.72345750988589</v>
      </c>
      <c r="E74" s="66">
        <f t="shared" si="10"/>
        <v>289.31073759567118</v>
      </c>
      <c r="F74" s="67">
        <f t="shared" si="10"/>
        <v>221.73493686286628</v>
      </c>
      <c r="G74" s="67">
        <f t="shared" si="10"/>
        <v>304.55467475535556</v>
      </c>
      <c r="H74" s="67">
        <f t="shared" si="10"/>
        <v>0</v>
      </c>
      <c r="I74" s="67">
        <f t="shared" si="10"/>
        <v>0</v>
      </c>
    </row>
    <row r="75" spans="1:9">
      <c r="A75" s="7" t="str">
        <f>HLOOKUP(INDICE!$F$2,Nombres!$C$3:$D$636,44,FALSE)</f>
        <v>Impaiment on financial assets not measured at fair value through profit or loss</v>
      </c>
      <c r="B75" s="70">
        <v>-65.343348279224131</v>
      </c>
      <c r="C75" s="70">
        <v>-42.95063799138341</v>
      </c>
      <c r="D75" s="70">
        <v>-122.12607748866081</v>
      </c>
      <c r="E75" s="71">
        <v>-176.4836995241825</v>
      </c>
      <c r="F75" s="70">
        <v>-168.49759503835833</v>
      </c>
      <c r="G75" s="70">
        <v>-192.75240496370955</v>
      </c>
      <c r="H75" s="70">
        <v>0</v>
      </c>
      <c r="I75" s="70">
        <v>0</v>
      </c>
    </row>
    <row r="76" spans="1:9">
      <c r="A76" s="7" t="str">
        <f>HLOOKUP(INDICE!$F$2,Nombres!$C$3:$D$636,45,FALSE)</f>
        <v>Provisions or reversal of provisions and other results</v>
      </c>
      <c r="B76" s="70">
        <v>-3.8566478678336962</v>
      </c>
      <c r="C76" s="70">
        <v>-9.1151454619704904</v>
      </c>
      <c r="D76" s="70">
        <v>3.8256557394347745</v>
      </c>
      <c r="E76" s="71">
        <v>3.1567417438298113</v>
      </c>
      <c r="F76" s="70">
        <v>-1.3734306702453696</v>
      </c>
      <c r="G76" s="70">
        <v>-5.4695693277546313</v>
      </c>
      <c r="H76" s="70">
        <v>0</v>
      </c>
      <c r="I76" s="70">
        <v>0</v>
      </c>
    </row>
    <row r="77" spans="1:9">
      <c r="A77" s="17" t="str">
        <f>HLOOKUP(INDICE!$F$2,Nombres!$C$3:$D$636,46,FALSE)</f>
        <v>Profit/(loss) before tax</v>
      </c>
      <c r="B77" s="17">
        <f>+B74+B75+B76</f>
        <v>51.018356135550981</v>
      </c>
      <c r="C77" s="17">
        <f t="shared" ref="C77:I77" si="11">+C74+C75+C76</f>
        <v>92.588151923235756</v>
      </c>
      <c r="D77" s="17">
        <f t="shared" si="11"/>
        <v>71.423035760659857</v>
      </c>
      <c r="E77" s="66">
        <f t="shared" si="11"/>
        <v>115.9837798153185</v>
      </c>
      <c r="F77" s="67">
        <f t="shared" si="11"/>
        <v>51.863911154262581</v>
      </c>
      <c r="G77" s="67">
        <f t="shared" si="11"/>
        <v>106.33270046389138</v>
      </c>
      <c r="H77" s="67">
        <f t="shared" si="11"/>
        <v>0</v>
      </c>
      <c r="I77" s="67">
        <f t="shared" si="11"/>
        <v>0</v>
      </c>
    </row>
    <row r="78" spans="1:9">
      <c r="A78" s="7" t="str">
        <f>HLOOKUP(INDICE!$F$2,Nombres!$C$3:$D$636,47,FALSE)</f>
        <v>Income tax</v>
      </c>
      <c r="B78" s="70">
        <v>-19.23808058226496</v>
      </c>
      <c r="C78" s="70">
        <v>-32.143704682370426</v>
      </c>
      <c r="D78" s="70">
        <v>-26.506331804948488</v>
      </c>
      <c r="E78" s="71">
        <v>-42.820365974684741</v>
      </c>
      <c r="F78" s="70">
        <v>-15.932732600034766</v>
      </c>
      <c r="G78" s="70">
        <v>-28.049450887565197</v>
      </c>
      <c r="H78" s="70">
        <v>0</v>
      </c>
      <c r="I78" s="70">
        <v>0</v>
      </c>
    </row>
    <row r="79" spans="1:9">
      <c r="A79" s="17" t="str">
        <f>HLOOKUP(INDICE!$F$2,Nombres!$C$3:$D$636,48,FALSE)</f>
        <v>Profit/(loss) for the year</v>
      </c>
      <c r="B79" s="17">
        <f>+B77+B78</f>
        <v>31.780275553286021</v>
      </c>
      <c r="C79" s="17">
        <f t="shared" ref="C79:I79" si="12">+C77+C78</f>
        <v>60.44444724086533</v>
      </c>
      <c r="D79" s="17">
        <f t="shared" si="12"/>
        <v>44.91670395571137</v>
      </c>
      <c r="E79" s="66">
        <f t="shared" si="12"/>
        <v>73.163413840633751</v>
      </c>
      <c r="F79" s="67">
        <f t="shared" si="12"/>
        <v>35.931178554227813</v>
      </c>
      <c r="G79" s="67">
        <f t="shared" si="12"/>
        <v>78.283249576326185</v>
      </c>
      <c r="H79" s="67">
        <f t="shared" si="12"/>
        <v>0</v>
      </c>
      <c r="I79" s="67">
        <f t="shared" si="12"/>
        <v>0</v>
      </c>
    </row>
    <row r="80" spans="1:9">
      <c r="A80" s="7" t="str">
        <f>HLOOKUP(INDICE!$F$2,Nombres!$C$3:$D$636,49,FALSE)</f>
        <v>Non-controlling interests</v>
      </c>
      <c r="B80" s="70">
        <v>-11.756916016414255</v>
      </c>
      <c r="C80" s="70">
        <v>-20.518760913992988</v>
      </c>
      <c r="D80" s="70">
        <v>-15.66676304444627</v>
      </c>
      <c r="E80" s="71">
        <v>-25.021379655397375</v>
      </c>
      <c r="F80" s="70">
        <v>-13.569848288164229</v>
      </c>
      <c r="G80" s="70">
        <v>-27.272106781935491</v>
      </c>
      <c r="H80" s="70">
        <v>0</v>
      </c>
      <c r="I80" s="70">
        <v>0</v>
      </c>
    </row>
    <row r="81" spans="1:9">
      <c r="A81" s="18" t="str">
        <f>HLOOKUP(INDICE!$F$2,Nombres!$C$3:$D$636,50,FALSE)</f>
        <v>Net attributable profit</v>
      </c>
      <c r="B81" s="18">
        <f>+B79+B80</f>
        <v>20.023359536871766</v>
      </c>
      <c r="C81" s="18">
        <f t="shared" ref="C81:I81" si="13">+C79+C80</f>
        <v>39.925686326872338</v>
      </c>
      <c r="D81" s="18">
        <f t="shared" si="13"/>
        <v>29.249940911265099</v>
      </c>
      <c r="E81" s="18">
        <f t="shared" si="13"/>
        <v>48.142034185236376</v>
      </c>
      <c r="F81" s="88">
        <f t="shared" si="13"/>
        <v>22.361330266063582</v>
      </c>
      <c r="G81" s="88">
        <f t="shared" si="13"/>
        <v>51.011142794390693</v>
      </c>
      <c r="H81" s="88">
        <f t="shared" si="13"/>
        <v>0</v>
      </c>
      <c r="I81" s="88">
        <f t="shared" si="13"/>
        <v>0</v>
      </c>
    </row>
    <row r="82" spans="1:9">
      <c r="A82" s="8"/>
      <c r="B82" s="93">
        <v>-6.3948846218409017E-14</v>
      </c>
      <c r="C82" s="93">
        <v>9.2370555648813024E-14</v>
      </c>
      <c r="D82" s="93">
        <v>-1.4921397450962104E-13</v>
      </c>
      <c r="E82" s="93">
        <v>8.5265128291212022E-14</v>
      </c>
      <c r="F82" s="93">
        <v>0</v>
      </c>
      <c r="G82" s="93">
        <v>0</v>
      </c>
      <c r="H82" s="93">
        <v>0</v>
      </c>
      <c r="I82" s="93">
        <v>0</v>
      </c>
    </row>
    <row r="83" spans="1:9">
      <c r="A83" s="17"/>
      <c r="B83" s="17"/>
      <c r="C83" s="17"/>
      <c r="D83" s="17"/>
      <c r="E83" s="17"/>
      <c r="F83" s="67"/>
      <c r="G83" s="67"/>
      <c r="H83" s="67"/>
      <c r="I83" s="67"/>
    </row>
    <row r="84" spans="1:9" ht="17">
      <c r="A84" s="59" t="str">
        <f>HLOOKUP(INDICE!$F$2,Nombres!$C$3:$D$636,51,FALSE)</f>
        <v>Balance sheets</v>
      </c>
      <c r="B84" s="60"/>
      <c r="C84" s="60"/>
      <c r="D84" s="60"/>
      <c r="E84" s="60"/>
      <c r="F84" s="95"/>
      <c r="G84" s="95"/>
      <c r="H84" s="95"/>
      <c r="I84" s="95"/>
    </row>
    <row r="85" spans="1:9">
      <c r="A85" s="9" t="str">
        <f>HLOOKUP(INDICE!$F$2,Nombres!$C$3:$D$636,73,FALSE)</f>
        <v xml:space="preserve">(Constant million euros)    </v>
      </c>
      <c r="B85" s="57"/>
      <c r="C85" s="78"/>
      <c r="D85" s="78"/>
      <c r="E85" s="78"/>
      <c r="F85" s="96"/>
      <c r="G85" s="70"/>
      <c r="H85" s="70"/>
      <c r="I85" s="70"/>
    </row>
    <row r="86" spans="1:9">
      <c r="A86" s="57"/>
      <c r="B86" s="80">
        <f t="shared" ref="B86:I86" si="14">+B$30</f>
        <v>45747</v>
      </c>
      <c r="C86" s="80">
        <f t="shared" si="14"/>
        <v>45838</v>
      </c>
      <c r="D86" s="80">
        <f t="shared" si="14"/>
        <v>45930</v>
      </c>
      <c r="E86" s="92">
        <f t="shared" si="14"/>
        <v>46022</v>
      </c>
      <c r="F86" s="80">
        <f t="shared" si="14"/>
        <v>46112</v>
      </c>
      <c r="G86" s="80">
        <f t="shared" si="14"/>
        <v>46203</v>
      </c>
      <c r="H86" s="80">
        <f t="shared" si="14"/>
        <v>46295</v>
      </c>
      <c r="I86" s="80">
        <f t="shared" si="14"/>
        <v>46387</v>
      </c>
    </row>
    <row r="87" spans="1:9">
      <c r="A87" s="7" t="str">
        <f>HLOOKUP(INDICE!$F$2,Nombres!$C$3:$D$636,52,FALSE)</f>
        <v>Cash, cash balances at central banks and other demand deposits</v>
      </c>
      <c r="B87" s="70">
        <v>1445.861541499195</v>
      </c>
      <c r="C87" s="70">
        <v>1972.5673505686432</v>
      </c>
      <c r="D87" s="70">
        <v>2391.6460904587734</v>
      </c>
      <c r="E87" s="71">
        <v>2821.4037793145062</v>
      </c>
      <c r="F87" s="70">
        <v>2356.4684313598127</v>
      </c>
      <c r="G87" s="70">
        <v>2377.9059999967799</v>
      </c>
      <c r="H87" s="70">
        <v>0</v>
      </c>
      <c r="I87" s="70">
        <v>0</v>
      </c>
    </row>
    <row r="88" spans="1:9">
      <c r="A88" s="7" t="str">
        <f>HLOOKUP(INDICE!$F$2,Nombres!$C$3:$D$636,53,FALSE)</f>
        <v xml:space="preserve">Financial assets designated at fair value </v>
      </c>
      <c r="B88" s="79">
        <v>1680.4059518510387</v>
      </c>
      <c r="C88" s="79">
        <v>1865.5234169916571</v>
      </c>
      <c r="D88" s="79">
        <v>1799.8485833749316</v>
      </c>
      <c r="E88" s="89">
        <v>2129.0575396406339</v>
      </c>
      <c r="F88" s="70">
        <v>2612.1730354614147</v>
      </c>
      <c r="G88" s="70">
        <v>3139.0289999997917</v>
      </c>
      <c r="H88" s="70">
        <v>0</v>
      </c>
      <c r="I88" s="70">
        <v>0</v>
      </c>
    </row>
    <row r="89" spans="1:9">
      <c r="A89" s="7" t="str">
        <f>HLOOKUP(INDICE!$F$2,Nombres!$C$3:$D$636,54,FALSE)</f>
        <v>Financial assets at amortized cost</v>
      </c>
      <c r="B89" s="70">
        <v>5751.2345159048036</v>
      </c>
      <c r="C89" s="70">
        <v>6809.4350602472696</v>
      </c>
      <c r="D89" s="70">
        <v>8043.5675761511457</v>
      </c>
      <c r="E89" s="71">
        <v>9167.378695779631</v>
      </c>
      <c r="F89" s="70">
        <v>9262.0547339780514</v>
      </c>
      <c r="G89" s="70">
        <v>10109.101999941637</v>
      </c>
      <c r="H89" s="70">
        <v>0</v>
      </c>
      <c r="I89" s="70">
        <v>0</v>
      </c>
    </row>
    <row r="90" spans="1:9">
      <c r="A90" s="7" t="str">
        <f>HLOOKUP(INDICE!$F$2,Nombres!$C$3:$D$636,55,FALSE)</f>
        <v xml:space="preserve">    of which loans and advances to customers</v>
      </c>
      <c r="B90" s="70">
        <v>5334.1406780294692</v>
      </c>
      <c r="C90" s="70">
        <v>6496.6896887877037</v>
      </c>
      <c r="D90" s="70">
        <v>7183.027763680906</v>
      </c>
      <c r="E90" s="71">
        <v>8364.1134538224396</v>
      </c>
      <c r="F90" s="70">
        <v>8815.5827408005098</v>
      </c>
      <c r="G90" s="70">
        <v>9623.4749999841351</v>
      </c>
      <c r="H90" s="70">
        <v>0</v>
      </c>
      <c r="I90" s="70">
        <v>0</v>
      </c>
    </row>
    <row r="91" spans="1:9" hidden="1">
      <c r="A91" s="7"/>
      <c r="B91" s="70"/>
      <c r="C91" s="70"/>
      <c r="D91" s="70"/>
      <c r="E91" s="71"/>
      <c r="F91" s="70"/>
      <c r="G91" s="70"/>
      <c r="H91" s="70"/>
      <c r="I91" s="70"/>
    </row>
    <row r="92" spans="1:9">
      <c r="A92" s="7" t="str">
        <f>HLOOKUP(INDICE!$F$2,Nombres!$C$3:$D$636,56,FALSE)</f>
        <v>Tangible assets</v>
      </c>
      <c r="B92" s="70">
        <v>698.21933813552221</v>
      </c>
      <c r="C92" s="70">
        <v>643.94837327992718</v>
      </c>
      <c r="D92" s="70">
        <v>619.96269089598616</v>
      </c>
      <c r="E92" s="71">
        <v>635.24010540622987</v>
      </c>
      <c r="F92" s="70">
        <v>733.04251740510927</v>
      </c>
      <c r="G92" s="70">
        <v>750.35599999999999</v>
      </c>
      <c r="H92" s="70">
        <v>0</v>
      </c>
      <c r="I92" s="70">
        <v>0</v>
      </c>
    </row>
    <row r="93" spans="1:9">
      <c r="A93" s="7" t="str">
        <f>HLOOKUP(INDICE!$F$2,Nombres!$C$3:$D$636,57,FALSE)</f>
        <v>Other assets</v>
      </c>
      <c r="B93" s="79">
        <f>+B94-B92-B89-B88-B87</f>
        <v>424.30359042265377</v>
      </c>
      <c r="C93" s="79">
        <f t="shared" ref="C93:I93" si="15">+C94-C92-C89-C88-C87</f>
        <v>401.29609528691162</v>
      </c>
      <c r="D93" s="79">
        <f t="shared" si="15"/>
        <v>499.557946419161</v>
      </c>
      <c r="E93" s="89">
        <f t="shared" si="15"/>
        <v>486.01017713564397</v>
      </c>
      <c r="F93" s="70">
        <f t="shared" si="15"/>
        <v>533.84005376299683</v>
      </c>
      <c r="G93" s="70">
        <f t="shared" si="15"/>
        <v>520.95799999147584</v>
      </c>
      <c r="H93" s="70">
        <f t="shared" si="15"/>
        <v>0</v>
      </c>
      <c r="I93" s="70">
        <f t="shared" si="15"/>
        <v>0</v>
      </c>
    </row>
    <row r="94" spans="1:9">
      <c r="A94" s="18" t="str">
        <f>HLOOKUP(INDICE!$F$2,Nombres!$C$3:$D$636,58,FALSE)</f>
        <v>Total assets / Liabilities and equity</v>
      </c>
      <c r="B94" s="18">
        <v>10000.024937813214</v>
      </c>
      <c r="C94" s="18">
        <v>11692.770296374409</v>
      </c>
      <c r="D94" s="18">
        <v>13354.582887299997</v>
      </c>
      <c r="E94" s="18">
        <v>15239.090297276645</v>
      </c>
      <c r="F94" s="88">
        <v>15497.578771967384</v>
      </c>
      <c r="G94" s="88">
        <v>16897.350999929684</v>
      </c>
      <c r="H94" s="88">
        <v>0</v>
      </c>
      <c r="I94" s="88">
        <v>0</v>
      </c>
    </row>
    <row r="95" spans="1:9">
      <c r="A95" s="7" t="str">
        <f>HLOOKUP(INDICE!$F$2,Nombres!$C$3:$D$636,59,FALSE)</f>
        <v>Financial liabilities held for trading and designated at fair value through profit or loss</v>
      </c>
      <c r="B95" s="79">
        <v>7.492633629457865</v>
      </c>
      <c r="C95" s="79">
        <v>9.1683691583402105</v>
      </c>
      <c r="D95" s="79">
        <v>43.96025000559527</v>
      </c>
      <c r="E95" s="89">
        <v>3.8167667387809678</v>
      </c>
      <c r="F95" s="70">
        <v>24.818841023827204</v>
      </c>
      <c r="G95" s="70">
        <v>26.344999999999995</v>
      </c>
      <c r="H95" s="70">
        <v>0</v>
      </c>
      <c r="I95" s="70">
        <v>0</v>
      </c>
    </row>
    <row r="96" spans="1:9">
      <c r="A96" s="7" t="str">
        <f>HLOOKUP(INDICE!$F$2,Nombres!$C$3:$D$636,60,FALSE)</f>
        <v>Deposits from central banks and credit institutions</v>
      </c>
      <c r="B96" s="79">
        <v>193.12952990072736</v>
      </c>
      <c r="C96" s="79">
        <v>213.15797036678461</v>
      </c>
      <c r="D96" s="79">
        <v>338.88141437064979</v>
      </c>
      <c r="E96" s="89">
        <v>740.39989195256999</v>
      </c>
      <c r="F96" s="70">
        <v>347.54363272399519</v>
      </c>
      <c r="G96" s="70">
        <v>354.83099994219003</v>
      </c>
      <c r="H96" s="70">
        <v>0</v>
      </c>
      <c r="I96" s="70">
        <v>0</v>
      </c>
    </row>
    <row r="97" spans="1:9">
      <c r="A97" s="7" t="str">
        <f>HLOOKUP(INDICE!$F$2,Nombres!$C$3:$D$636,61,FALSE)</f>
        <v>Deposits from customers</v>
      </c>
      <c r="B97" s="79">
        <v>6495.7280252131122</v>
      </c>
      <c r="C97" s="79">
        <v>7738.390391144414</v>
      </c>
      <c r="D97" s="79">
        <v>9267.5867204940987</v>
      </c>
      <c r="E97" s="89">
        <v>10254.236313367479</v>
      </c>
      <c r="F97" s="70">
        <v>10425.27177302271</v>
      </c>
      <c r="G97" s="70">
        <v>11418.645999996985</v>
      </c>
      <c r="H97" s="70">
        <v>0</v>
      </c>
      <c r="I97" s="70">
        <v>0</v>
      </c>
    </row>
    <row r="98" spans="1:9">
      <c r="A98" s="7" t="str">
        <f>HLOOKUP(INDICE!$F$2,Nombres!$C$3:$D$636,62,FALSE)</f>
        <v>Debt certificates</v>
      </c>
      <c r="B98" s="70">
        <v>406.09255746142458</v>
      </c>
      <c r="C98" s="70">
        <v>586.36129943204025</v>
      </c>
      <c r="D98" s="70">
        <v>588.98190025840358</v>
      </c>
      <c r="E98" s="71">
        <v>743.37283023947782</v>
      </c>
      <c r="F98" s="70">
        <v>788.07066099118447</v>
      </c>
      <c r="G98" s="70">
        <v>938.53454212085751</v>
      </c>
      <c r="H98" s="70">
        <v>0</v>
      </c>
      <c r="I98" s="70">
        <v>0</v>
      </c>
    </row>
    <row r="99" spans="1:9" hidden="1">
      <c r="A99" s="7"/>
      <c r="B99" s="70"/>
      <c r="C99" s="70"/>
      <c r="D99" s="70"/>
      <c r="E99" s="71"/>
      <c r="F99" s="70"/>
      <c r="G99" s="70"/>
      <c r="H99" s="70"/>
      <c r="I99" s="70"/>
    </row>
    <row r="100" spans="1:9">
      <c r="A100" s="7" t="str">
        <f>HLOOKUP(INDICE!$F$2,Nombres!$C$3:$D$636,63,FALSE)</f>
        <v>Other liabilities</v>
      </c>
      <c r="B100" s="79">
        <f>+B94-B95-B96-B97-B98-B101</f>
        <v>1875.7312701181806</v>
      </c>
      <c r="C100" s="79">
        <f t="shared" ref="C100:I100" si="16">+C94-C95-C96-C97-C98-C101</f>
        <v>1922.2054262397917</v>
      </c>
      <c r="D100" s="79">
        <f t="shared" si="16"/>
        <v>1810.9308179904074</v>
      </c>
      <c r="E100" s="89">
        <f t="shared" si="16"/>
        <v>2068.7381457296001</v>
      </c>
      <c r="F100" s="70">
        <f t="shared" si="16"/>
        <v>2481.7082189963066</v>
      </c>
      <c r="G100" s="70">
        <f t="shared" si="16"/>
        <v>2599.4853686957731</v>
      </c>
      <c r="H100" s="70">
        <f t="shared" si="16"/>
        <v>0</v>
      </c>
      <c r="I100" s="70">
        <f t="shared" si="16"/>
        <v>0</v>
      </c>
    </row>
    <row r="101" spans="1:9">
      <c r="A101" s="7" t="str">
        <f>HLOOKUP(INDICE!$F$2,Nombres!$C$3:$D$636,282,FALSE)</f>
        <v>Allocated regulatory capital</v>
      </c>
      <c r="B101" s="79">
        <v>1021.8509214903117</v>
      </c>
      <c r="C101" s="79">
        <v>1223.4868400330377</v>
      </c>
      <c r="D101" s="79">
        <v>1304.2417841808428</v>
      </c>
      <c r="E101" s="79">
        <v>1428.5263492487384</v>
      </c>
      <c r="F101" s="79">
        <v>1430.1656452093605</v>
      </c>
      <c r="G101" s="79">
        <v>1559.5090891738762</v>
      </c>
      <c r="H101" s="79">
        <v>0</v>
      </c>
      <c r="I101" s="79">
        <v>0</v>
      </c>
    </row>
    <row r="102" spans="1:9">
      <c r="A102" s="8"/>
      <c r="B102" s="79"/>
      <c r="C102" s="79"/>
      <c r="D102" s="79"/>
      <c r="E102" s="79"/>
      <c r="F102" s="70"/>
      <c r="G102" s="70"/>
      <c r="H102" s="70"/>
      <c r="I102" s="70"/>
    </row>
    <row r="103" spans="1:9">
      <c r="A103" s="7"/>
      <c r="B103" s="79"/>
      <c r="C103" s="79"/>
      <c r="D103" s="79"/>
      <c r="E103" s="79"/>
      <c r="F103" s="70"/>
      <c r="G103" s="70"/>
      <c r="H103" s="70"/>
      <c r="I103" s="70"/>
    </row>
    <row r="104" spans="1:9" ht="17">
      <c r="A104" s="59" t="str">
        <f>HLOOKUP(INDICE!$F$2,Nombres!$C$3:$D$636,65,FALSE)</f>
        <v>Relevant business indicators</v>
      </c>
      <c r="B104" s="60"/>
      <c r="C104" s="60"/>
      <c r="D104" s="60"/>
      <c r="E104" s="60"/>
      <c r="F104" s="95"/>
      <c r="G104" s="95"/>
      <c r="H104" s="95"/>
      <c r="I104" s="95"/>
    </row>
    <row r="105" spans="1:9">
      <c r="A105" s="9" t="str">
        <f>HLOOKUP(INDICE!$F$2,Nombres!$C$3:$D$636,73,FALSE)</f>
        <v xml:space="preserve">(Constant million euros)    </v>
      </c>
      <c r="B105" s="57"/>
      <c r="C105" s="57"/>
      <c r="D105" s="57"/>
      <c r="E105" s="57"/>
      <c r="F105" s="96"/>
      <c r="G105" s="70"/>
      <c r="H105" s="70"/>
      <c r="I105" s="70"/>
    </row>
    <row r="106" spans="1:9">
      <c r="A106" s="57"/>
      <c r="B106" s="80">
        <f t="shared" ref="B106:I106" si="17">+B$30</f>
        <v>45747</v>
      </c>
      <c r="C106" s="80">
        <f t="shared" si="17"/>
        <v>45838</v>
      </c>
      <c r="D106" s="80">
        <f t="shared" si="17"/>
        <v>45930</v>
      </c>
      <c r="E106" s="92">
        <f t="shared" si="17"/>
        <v>46022</v>
      </c>
      <c r="F106" s="80">
        <f t="shared" si="17"/>
        <v>46112</v>
      </c>
      <c r="G106" s="80">
        <f t="shared" si="17"/>
        <v>46203</v>
      </c>
      <c r="H106" s="80">
        <f t="shared" si="17"/>
        <v>46295</v>
      </c>
      <c r="I106" s="80">
        <f t="shared" si="17"/>
        <v>46387</v>
      </c>
    </row>
    <row r="107" spans="1:9">
      <c r="A107" s="7" t="str">
        <f>HLOOKUP(INDICE!$F$2,Nombres!$C$3:$D$636,66,FALSE)</f>
        <v>Loans and advances to customers (gross) (*)</v>
      </c>
      <c r="B107" s="70">
        <v>5460.8927264834292</v>
      </c>
      <c r="C107" s="70">
        <v>6676.3812932268556</v>
      </c>
      <c r="D107" s="70">
        <v>7435.5929508893032</v>
      </c>
      <c r="E107" s="71">
        <v>8728.3519252583174</v>
      </c>
      <c r="F107" s="70">
        <v>9282.6040041969263</v>
      </c>
      <c r="G107" s="70">
        <v>10128.066999984134</v>
      </c>
      <c r="H107" s="70">
        <v>0</v>
      </c>
      <c r="I107" s="70">
        <v>0</v>
      </c>
    </row>
    <row r="108" spans="1:9">
      <c r="A108" s="7" t="str">
        <f>HLOOKUP(INDICE!$F$2,Nombres!$C$3:$D$636,67,FALSE)</f>
        <v>Customer deposits under management (*)</v>
      </c>
      <c r="B108" s="70">
        <v>6495.7280252131122</v>
      </c>
      <c r="C108" s="70">
        <v>7738.3903911444149</v>
      </c>
      <c r="D108" s="70">
        <v>9267.5867204940987</v>
      </c>
      <c r="E108" s="71">
        <v>10254.236313367479</v>
      </c>
      <c r="F108" s="70">
        <v>10425.271773022712</v>
      </c>
      <c r="G108" s="70">
        <v>11418.645999996985</v>
      </c>
      <c r="H108" s="70">
        <v>0</v>
      </c>
      <c r="I108" s="70">
        <v>0</v>
      </c>
    </row>
    <row r="109" spans="1:9">
      <c r="A109" s="7" t="str">
        <f>HLOOKUP(INDICE!$F$2,Nombres!$C$3:$D$636,68,FALSE)</f>
        <v>Investment funds and managed portfolios</v>
      </c>
      <c r="B109" s="70">
        <v>2128.3078286360856</v>
      </c>
      <c r="C109" s="70">
        <v>2042.0188104629294</v>
      </c>
      <c r="D109" s="70">
        <v>2375.47129585011</v>
      </c>
      <c r="E109" s="71">
        <v>2118.8553915733114</v>
      </c>
      <c r="F109" s="70">
        <v>2711.9282414783638</v>
      </c>
      <c r="G109" s="70">
        <v>2846.5306438681469</v>
      </c>
      <c r="H109" s="70">
        <v>0</v>
      </c>
      <c r="I109" s="70">
        <v>0</v>
      </c>
    </row>
    <row r="110" spans="1:9">
      <c r="A110" s="7" t="str">
        <f>HLOOKUP(INDICE!$F$2,Nombres!$C$3:$D$636,69,FALSE)</f>
        <v>Pension funds</v>
      </c>
      <c r="B110" s="70">
        <v>0</v>
      </c>
      <c r="C110" s="70">
        <v>0</v>
      </c>
      <c r="D110" s="70">
        <v>0</v>
      </c>
      <c r="E110" s="71">
        <v>0</v>
      </c>
      <c r="F110" s="70">
        <v>0</v>
      </c>
      <c r="G110" s="70">
        <v>0</v>
      </c>
      <c r="H110" s="70">
        <v>0</v>
      </c>
      <c r="I110" s="70">
        <v>0</v>
      </c>
    </row>
    <row r="111" spans="1:9">
      <c r="A111" s="7" t="str">
        <f>HLOOKUP(INDICE!$F$2,Nombres!$C$3:$D$636,70,FALSE)</f>
        <v>Other off balance-sheet funds</v>
      </c>
      <c r="B111" s="70">
        <v>0</v>
      </c>
      <c r="C111" s="70">
        <v>0</v>
      </c>
      <c r="D111" s="70">
        <v>0</v>
      </c>
      <c r="E111" s="71">
        <v>0</v>
      </c>
      <c r="F111" s="70">
        <v>0</v>
      </c>
      <c r="G111" s="70">
        <v>0</v>
      </c>
      <c r="H111" s="70">
        <v>0</v>
      </c>
      <c r="I111" s="70">
        <v>0</v>
      </c>
    </row>
    <row r="112" spans="1:9">
      <c r="A112" s="8" t="str">
        <f>HLOOKUP(INDICE!$F$2,Nombres!$C$3:$D$636,71,FALSE)</f>
        <v xml:space="preserve">(*) Excluding repos. </v>
      </c>
      <c r="B112" s="79"/>
      <c r="C112" s="79"/>
      <c r="D112" s="79"/>
      <c r="E112" s="79"/>
      <c r="F112" s="79"/>
      <c r="G112" s="79"/>
      <c r="H112" s="79"/>
      <c r="I112" s="79"/>
    </row>
    <row r="113" spans="1:9">
      <c r="A113" s="8">
        <f>HLOOKUP(INDICE!$F$2,Nombres!$C$3:$D$636,72,FALSE)</f>
        <v>0</v>
      </c>
      <c r="B113" s="57"/>
      <c r="C113" s="57"/>
      <c r="D113" s="57"/>
      <c r="E113" s="57"/>
      <c r="F113" s="57"/>
      <c r="G113" s="57"/>
      <c r="H113" s="57"/>
      <c r="I113" s="57"/>
    </row>
    <row r="114" spans="1:9">
      <c r="A114" s="8"/>
      <c r="B114" s="79"/>
      <c r="C114" s="70"/>
      <c r="D114" s="70"/>
      <c r="E114" s="70"/>
      <c r="F114" s="70"/>
      <c r="G114" s="57"/>
      <c r="H114" s="57"/>
      <c r="I114" s="57"/>
    </row>
    <row r="115" spans="1:9" ht="17">
      <c r="A115" s="59" t="str">
        <f>HLOOKUP(INDICE!$F$2,Nombres!$C$3:$D$636,31,FALSE)</f>
        <v xml:space="preserve">Income statement  </v>
      </c>
      <c r="B115" s="60"/>
      <c r="C115" s="60"/>
      <c r="D115" s="60"/>
      <c r="E115" s="60"/>
      <c r="F115" s="60"/>
      <c r="G115" s="60"/>
      <c r="H115" s="60"/>
      <c r="I115" s="60"/>
    </row>
    <row r="116" spans="1:9">
      <c r="A116" s="9" t="str">
        <f>HLOOKUP(INDICE!$F$2,Nombres!$C$3:$D$636,78,FALSE)</f>
        <v>(Million Argentinian pesos)</v>
      </c>
      <c r="B116" s="57"/>
      <c r="C116" s="61"/>
      <c r="D116" s="61"/>
      <c r="E116" s="61"/>
      <c r="F116" s="57"/>
      <c r="G116" s="57"/>
      <c r="H116" s="57"/>
      <c r="I116" s="57"/>
    </row>
    <row r="117" spans="1:9">
      <c r="A117" s="62"/>
      <c r="B117" s="57"/>
      <c r="C117" s="61"/>
      <c r="D117" s="61"/>
      <c r="E117" s="61"/>
      <c r="F117" s="57"/>
      <c r="G117" s="57"/>
      <c r="H117" s="57"/>
      <c r="I117" s="57"/>
    </row>
    <row r="118" spans="1:9">
      <c r="A118" s="63"/>
      <c r="B118" s="257">
        <f>+B$6</f>
        <v>2025</v>
      </c>
      <c r="C118" s="257"/>
      <c r="D118" s="257"/>
      <c r="E118" s="258"/>
      <c r="F118" s="257">
        <f>+F$6</f>
        <v>2026</v>
      </c>
      <c r="G118" s="257"/>
      <c r="H118" s="257"/>
      <c r="I118" s="257"/>
    </row>
    <row r="119" spans="1:9">
      <c r="A119" s="63"/>
      <c r="B119" s="64" t="str">
        <f>+B$7</f>
        <v>1Q</v>
      </c>
      <c r="C119" s="64" t="str">
        <f t="shared" ref="C119:I119" si="18">+C$7</f>
        <v>2Q</v>
      </c>
      <c r="D119" s="64" t="str">
        <f t="shared" si="18"/>
        <v>3Q</v>
      </c>
      <c r="E119" s="65" t="str">
        <f t="shared" si="18"/>
        <v>4Q</v>
      </c>
      <c r="F119" s="64" t="str">
        <f t="shared" si="18"/>
        <v>1Q</v>
      </c>
      <c r="G119" s="64" t="str">
        <f t="shared" si="18"/>
        <v>2Q</v>
      </c>
      <c r="H119" s="64" t="str">
        <f t="shared" si="18"/>
        <v>3Q</v>
      </c>
      <c r="I119" s="64" t="str">
        <f t="shared" si="18"/>
        <v>4Q</v>
      </c>
    </row>
    <row r="120" spans="1:9">
      <c r="A120" s="17" t="str">
        <f>HLOOKUP(INDICE!$F$2,Nombres!$C$3:$D$636,33,FALSE)</f>
        <v>Net interest income</v>
      </c>
      <c r="B120" s="17">
        <v>529100.32518245897</v>
      </c>
      <c r="C120" s="17">
        <v>628466.94278400973</v>
      </c>
      <c r="D120" s="17">
        <v>673049.47311641939</v>
      </c>
      <c r="E120" s="66">
        <v>861261.56542571413</v>
      </c>
      <c r="F120" s="67">
        <v>864465.63118349027</v>
      </c>
      <c r="G120" s="67">
        <v>951580.91944702517</v>
      </c>
      <c r="H120" s="67">
        <v>0</v>
      </c>
      <c r="I120" s="67">
        <v>0</v>
      </c>
    </row>
    <row r="121" spans="1:9">
      <c r="A121" s="7" t="str">
        <f>HLOOKUP(INDICE!$F$2,Nombres!$C$3:$D$636,34,FALSE)</f>
        <v>Net fees and commissions</v>
      </c>
      <c r="B121" s="70">
        <v>103326.54835949812</v>
      </c>
      <c r="C121" s="70">
        <v>109107.89285226665</v>
      </c>
      <c r="D121" s="70">
        <v>159118.54467770207</v>
      </c>
      <c r="E121" s="71">
        <v>165176.02339762557</v>
      </c>
      <c r="F121" s="70">
        <v>177267.79912497636</v>
      </c>
      <c r="G121" s="70">
        <v>201243.34793758648</v>
      </c>
      <c r="H121" s="70">
        <v>0</v>
      </c>
      <c r="I121" s="70">
        <v>0</v>
      </c>
    </row>
    <row r="122" spans="1:9">
      <c r="A122" s="7" t="str">
        <f>HLOOKUP(INDICE!$F$2,Nombres!$C$3:$D$636,35,FALSE)</f>
        <v>Net trading income</v>
      </c>
      <c r="B122" s="70">
        <v>117665.26643103815</v>
      </c>
      <c r="C122" s="70">
        <v>97427.799851288772</v>
      </c>
      <c r="D122" s="70">
        <v>64928.051331670067</v>
      </c>
      <c r="E122" s="71">
        <v>134798.68939893087</v>
      </c>
      <c r="F122" s="70">
        <v>79780.086325542128</v>
      </c>
      <c r="G122" s="70">
        <v>108700.08678981471</v>
      </c>
      <c r="H122" s="70">
        <v>0</v>
      </c>
      <c r="I122" s="70">
        <v>0</v>
      </c>
    </row>
    <row r="123" spans="1:9">
      <c r="A123" s="7" t="str">
        <f>HLOOKUP(INDICE!$F$2,Nombres!$C$3:$D$636,36,FALSE)</f>
        <v>Other operating income and expenses</v>
      </c>
      <c r="B123" s="70">
        <v>-216083.88326675043</v>
      </c>
      <c r="C123" s="70">
        <v>-265520.90595151141</v>
      </c>
      <c r="D123" s="70">
        <v>-253796.19661138428</v>
      </c>
      <c r="E123" s="71">
        <v>-336755.99048782949</v>
      </c>
      <c r="F123" s="70">
        <v>-357116.32761425379</v>
      </c>
      <c r="G123" s="70">
        <v>-357477.71391523641</v>
      </c>
      <c r="H123" s="70">
        <v>0</v>
      </c>
      <c r="I123" s="70">
        <v>0</v>
      </c>
    </row>
    <row r="124" spans="1:9">
      <c r="A124" s="17" t="str">
        <f>HLOOKUP(INDICE!$F$2,Nombres!$C$3:$D$636,37,FALSE)</f>
        <v>Gross income</v>
      </c>
      <c r="B124" s="17">
        <f>+SUM(B120:B123)</f>
        <v>534008.25670624478</v>
      </c>
      <c r="C124" s="17">
        <f t="shared" ref="C124:I124" si="19">+SUM(C120:C123)</f>
        <v>569481.72953605372</v>
      </c>
      <c r="D124" s="17">
        <f t="shared" si="19"/>
        <v>643299.87251440727</v>
      </c>
      <c r="E124" s="66">
        <f t="shared" si="19"/>
        <v>824480.28773444099</v>
      </c>
      <c r="F124" s="67">
        <f t="shared" si="19"/>
        <v>764397.18901975499</v>
      </c>
      <c r="G124" s="67">
        <f t="shared" si="19"/>
        <v>904046.64025918988</v>
      </c>
      <c r="H124" s="67">
        <f t="shared" si="19"/>
        <v>0</v>
      </c>
      <c r="I124" s="67">
        <f t="shared" si="19"/>
        <v>0</v>
      </c>
    </row>
    <row r="125" spans="1:9">
      <c r="A125" s="7" t="str">
        <f>HLOOKUP(INDICE!$F$2,Nombres!$C$3:$D$636,38,FALSE)</f>
        <v>Operating expenses</v>
      </c>
      <c r="B125" s="70">
        <v>-278941.81964067928</v>
      </c>
      <c r="C125" s="70">
        <v>-324567.45598515664</v>
      </c>
      <c r="D125" s="70">
        <v>-350903.28697946999</v>
      </c>
      <c r="E125" s="71">
        <v>-369211.14694827609</v>
      </c>
      <c r="F125" s="70">
        <v>-377081.0566685418</v>
      </c>
      <c r="G125" s="70">
        <v>-403478.63281823113</v>
      </c>
      <c r="H125" s="70">
        <v>0</v>
      </c>
      <c r="I125" s="70">
        <v>0</v>
      </c>
    </row>
    <row r="126" spans="1:9">
      <c r="A126" s="7" t="str">
        <f>HLOOKUP(INDICE!$F$2,Nombres!$C$3:$D$636,39,FALSE)</f>
        <v xml:space="preserve">  Administration expenses</v>
      </c>
      <c r="B126" s="70">
        <v>-260045.42091546618</v>
      </c>
      <c r="C126" s="70">
        <v>-300276.66576989461</v>
      </c>
      <c r="D126" s="70">
        <v>-321120.17734124686</v>
      </c>
      <c r="E126" s="71">
        <v>-330708.20614828262</v>
      </c>
      <c r="F126" s="70">
        <v>-343306.49001037824</v>
      </c>
      <c r="G126" s="70">
        <v>-367354.773079312</v>
      </c>
      <c r="H126" s="70">
        <v>0</v>
      </c>
      <c r="I126" s="70">
        <v>0</v>
      </c>
    </row>
    <row r="127" spans="1:9">
      <c r="A127" s="72" t="str">
        <f>HLOOKUP(INDICE!$F$2,Nombres!$C$3:$D$636,40,FALSE)</f>
        <v xml:space="preserve">  Personnel expenses</v>
      </c>
      <c r="B127" s="70">
        <v>-124558.58747002635</v>
      </c>
      <c r="C127" s="70">
        <v>-152231.27192268858</v>
      </c>
      <c r="D127" s="70">
        <v>-168960.95341520978</v>
      </c>
      <c r="E127" s="71">
        <v>-169296.60353441286</v>
      </c>
      <c r="F127" s="70">
        <v>-190911.78858124022</v>
      </c>
      <c r="G127" s="70">
        <v>-206624.54562903955</v>
      </c>
      <c r="H127" s="70">
        <v>0</v>
      </c>
      <c r="I127" s="70">
        <v>0</v>
      </c>
    </row>
    <row r="128" spans="1:9">
      <c r="A128" s="72" t="str">
        <f>HLOOKUP(INDICE!$F$2,Nombres!$C$3:$D$636,41,FALSE)</f>
        <v xml:space="preserve">  General and administrative expenses</v>
      </c>
      <c r="B128" s="70">
        <v>-135486.83344543984</v>
      </c>
      <c r="C128" s="70">
        <v>-148045.39384720594</v>
      </c>
      <c r="D128" s="70">
        <v>-152159.22392603711</v>
      </c>
      <c r="E128" s="71">
        <v>-161411.60261386982</v>
      </c>
      <c r="F128" s="70">
        <v>-152394.70142913805</v>
      </c>
      <c r="G128" s="70">
        <v>-160730.22745027253</v>
      </c>
      <c r="H128" s="70">
        <v>0</v>
      </c>
      <c r="I128" s="70">
        <v>0</v>
      </c>
    </row>
    <row r="129" spans="1:9">
      <c r="A129" s="7" t="str">
        <f>HLOOKUP(INDICE!$F$2,Nombres!$C$3:$D$636,42,FALSE)</f>
        <v xml:space="preserve">  Depreciation</v>
      </c>
      <c r="B129" s="70">
        <v>-18896.398725213054</v>
      </c>
      <c r="C129" s="70">
        <v>-24290.790215262099</v>
      </c>
      <c r="D129" s="70">
        <v>-29783.109638223072</v>
      </c>
      <c r="E129" s="71">
        <v>-38502.940799993376</v>
      </c>
      <c r="F129" s="70">
        <v>-33774.566658163538</v>
      </c>
      <c r="G129" s="70">
        <v>-36123.859738919164</v>
      </c>
      <c r="H129" s="70">
        <v>0</v>
      </c>
      <c r="I129" s="70">
        <v>0</v>
      </c>
    </row>
    <row r="130" spans="1:9">
      <c r="A130" s="17" t="str">
        <f>HLOOKUP(INDICE!$F$2,Nombres!$C$3:$D$636,43,FALSE)</f>
        <v>Operating income</v>
      </c>
      <c r="B130" s="17">
        <f>+B124+B125</f>
        <v>255066.43706556549</v>
      </c>
      <c r="C130" s="17">
        <f t="shared" ref="C130:I130" si="20">+C124+C125</f>
        <v>244914.27355089708</v>
      </c>
      <c r="D130" s="17">
        <f t="shared" si="20"/>
        <v>292396.58553493727</v>
      </c>
      <c r="E130" s="66">
        <f t="shared" si="20"/>
        <v>455269.14078616491</v>
      </c>
      <c r="F130" s="67">
        <f t="shared" si="20"/>
        <v>387316.13235121319</v>
      </c>
      <c r="G130" s="67">
        <f t="shared" si="20"/>
        <v>500568.00744095875</v>
      </c>
      <c r="H130" s="67">
        <f t="shared" si="20"/>
        <v>0</v>
      </c>
      <c r="I130" s="67">
        <f t="shared" si="20"/>
        <v>0</v>
      </c>
    </row>
    <row r="131" spans="1:9">
      <c r="A131" s="7" t="str">
        <f>HLOOKUP(INDICE!$F$2,Nombres!$C$3:$D$636,44,FALSE)</f>
        <v>Impaiment on financial assets not measured at fair value through profit or loss</v>
      </c>
      <c r="B131" s="70">
        <v>-108542.27016005978</v>
      </c>
      <c r="C131" s="70">
        <v>-71261.183340806354</v>
      </c>
      <c r="D131" s="70">
        <v>-206800.89066114603</v>
      </c>
      <c r="E131" s="71">
        <v>-300892.27518847794</v>
      </c>
      <c r="F131" s="70">
        <v>-283843.97309313825</v>
      </c>
      <c r="G131" s="70">
        <v>-325607.81622782192</v>
      </c>
      <c r="H131" s="70">
        <v>0</v>
      </c>
      <c r="I131" s="70">
        <v>0</v>
      </c>
    </row>
    <row r="132" spans="1:9">
      <c r="A132" s="7" t="str">
        <f>HLOOKUP(INDICE!$F$2,Nombres!$C$3:$D$636,45,FALSE)</f>
        <v>Provisions or reversal of provisions and other results</v>
      </c>
      <c r="B132" s="70">
        <v>-6470.6061252062427</v>
      </c>
      <c r="C132" s="70">
        <v>-15258.253354291575</v>
      </c>
      <c r="D132" s="70">
        <v>6437.6252884663209</v>
      </c>
      <c r="E132" s="71">
        <v>5276.7167944060566</v>
      </c>
      <c r="F132" s="70">
        <v>-2216.5662037706493</v>
      </c>
      <c r="G132" s="70">
        <v>-9328.0112165215323</v>
      </c>
      <c r="H132" s="70">
        <v>0</v>
      </c>
      <c r="I132" s="70">
        <v>0</v>
      </c>
    </row>
    <row r="133" spans="1:9">
      <c r="A133" s="17" t="str">
        <f>HLOOKUP(INDICE!$F$2,Nombres!$C$3:$D$636,46,FALSE)</f>
        <v>Profit/(loss) before tax</v>
      </c>
      <c r="B133" s="17">
        <f>+B130+B131+B132</f>
        <v>140053.56078029945</v>
      </c>
      <c r="C133" s="17">
        <f t="shared" ref="C133:I133" si="21">+C130+C131+C132</f>
        <v>158394.83685579916</v>
      </c>
      <c r="D133" s="17">
        <f t="shared" si="21"/>
        <v>92033.320162257573</v>
      </c>
      <c r="E133" s="66">
        <f t="shared" si="21"/>
        <v>159653.58239209303</v>
      </c>
      <c r="F133" s="67">
        <f t="shared" si="21"/>
        <v>101255.59305430429</v>
      </c>
      <c r="G133" s="67">
        <f t="shared" si="21"/>
        <v>165632.1799966153</v>
      </c>
      <c r="H133" s="67">
        <f t="shared" si="21"/>
        <v>0</v>
      </c>
      <c r="I133" s="67">
        <f t="shared" si="21"/>
        <v>0</v>
      </c>
    </row>
    <row r="134" spans="1:9">
      <c r="A134" s="7" t="str">
        <f>HLOOKUP(INDICE!$F$2,Nombres!$C$3:$D$636,47,FALSE)</f>
        <v>Income tax</v>
      </c>
      <c r="B134" s="70">
        <v>-49556.634469059078</v>
      </c>
      <c r="C134" s="70">
        <v>-55153.921584210504</v>
      </c>
      <c r="D134" s="70">
        <v>-35367.03184401404</v>
      </c>
      <c r="E134" s="71">
        <v>-61002.575152881196</v>
      </c>
      <c r="F134" s="70">
        <v>-31668.926389991997</v>
      </c>
      <c r="G134" s="70">
        <v>-42531.822190235398</v>
      </c>
      <c r="H134" s="70">
        <v>0</v>
      </c>
      <c r="I134" s="70">
        <v>0</v>
      </c>
    </row>
    <row r="135" spans="1:9">
      <c r="A135" s="17" t="str">
        <f>HLOOKUP(INDICE!$F$2,Nombres!$C$3:$D$636,48,FALSE)</f>
        <v>Profit/(loss) for the year</v>
      </c>
      <c r="B135" s="17">
        <f>+B133+B134</f>
        <v>90496.926311240371</v>
      </c>
      <c r="C135" s="17">
        <f t="shared" ref="C135:I135" si="22">+C133+C134</f>
        <v>103240.91527158866</v>
      </c>
      <c r="D135" s="17">
        <f t="shared" si="22"/>
        <v>56666.288318243533</v>
      </c>
      <c r="E135" s="66">
        <f t="shared" si="22"/>
        <v>98651.007239211831</v>
      </c>
      <c r="F135" s="67">
        <f t="shared" si="22"/>
        <v>69586.666664312303</v>
      </c>
      <c r="G135" s="67">
        <f t="shared" si="22"/>
        <v>123100.35780637991</v>
      </c>
      <c r="H135" s="67">
        <f t="shared" si="22"/>
        <v>0</v>
      </c>
      <c r="I135" s="67">
        <f t="shared" si="22"/>
        <v>0</v>
      </c>
    </row>
    <row r="136" spans="1:9">
      <c r="A136" s="7" t="str">
        <f>HLOOKUP(INDICE!$F$2,Nombres!$C$3:$D$636,49,FALSE)</f>
        <v>Non-controlling interests</v>
      </c>
      <c r="B136" s="70">
        <v>-32192.952355459816</v>
      </c>
      <c r="C136" s="70">
        <v>-34973.255372696185</v>
      </c>
      <c r="D136" s="70">
        <v>-20068.444665004266</v>
      </c>
      <c r="E136" s="71">
        <v>-33942.530972308727</v>
      </c>
      <c r="F136" s="70">
        <v>-25978.54254032559</v>
      </c>
      <c r="G136" s="70">
        <v>-42924.440426307068</v>
      </c>
      <c r="H136" s="70">
        <v>0</v>
      </c>
      <c r="I136" s="70">
        <v>0</v>
      </c>
    </row>
    <row r="137" spans="1:9">
      <c r="A137" s="18" t="str">
        <f>HLOOKUP(INDICE!$F$2,Nombres!$C$3:$D$636,50,FALSE)</f>
        <v>Net attributable profit</v>
      </c>
      <c r="B137" s="18">
        <f>+B135+B136</f>
        <v>58303.973955780559</v>
      </c>
      <c r="C137" s="18">
        <f t="shared" ref="C137:I137" si="23">+C135+C136</f>
        <v>68267.659898892482</v>
      </c>
      <c r="D137" s="18">
        <f t="shared" si="23"/>
        <v>36597.843653239266</v>
      </c>
      <c r="E137" s="18">
        <f t="shared" si="23"/>
        <v>64708.476266903104</v>
      </c>
      <c r="F137" s="88">
        <f t="shared" si="23"/>
        <v>43608.124123986709</v>
      </c>
      <c r="G137" s="88">
        <f t="shared" si="23"/>
        <v>80175.917380072846</v>
      </c>
      <c r="H137" s="88">
        <f t="shared" si="23"/>
        <v>0</v>
      </c>
      <c r="I137" s="88">
        <f t="shared" si="23"/>
        <v>0</v>
      </c>
    </row>
    <row r="138" spans="1:9">
      <c r="A138" s="8"/>
      <c r="B138" s="93">
        <v>8.0035533756017685E-11</v>
      </c>
      <c r="C138" s="93">
        <v>-1.7462298274040222E-10</v>
      </c>
      <c r="D138" s="93">
        <v>0</v>
      </c>
      <c r="E138" s="93">
        <v>7.2759576141834259E-11</v>
      </c>
      <c r="F138" s="93">
        <v>0</v>
      </c>
      <c r="G138" s="93">
        <v>-5.0931703299283981E-10</v>
      </c>
      <c r="H138" s="93">
        <v>0</v>
      </c>
      <c r="I138" s="93">
        <v>0</v>
      </c>
    </row>
    <row r="139" spans="1:9">
      <c r="A139" s="17"/>
      <c r="B139" s="17"/>
      <c r="C139" s="17"/>
      <c r="D139" s="17"/>
      <c r="E139" s="17"/>
      <c r="F139" s="67"/>
      <c r="G139" s="67"/>
      <c r="H139" s="67"/>
      <c r="I139" s="67"/>
    </row>
    <row r="140" spans="1:9" ht="17">
      <c r="A140" s="59" t="str">
        <f>HLOOKUP(INDICE!$F$2,Nombres!$C$3:$D$636,51,FALSE)</f>
        <v>Balance sheets</v>
      </c>
      <c r="B140" s="60"/>
      <c r="C140" s="60"/>
      <c r="D140" s="60"/>
      <c r="E140" s="60"/>
      <c r="F140" s="95"/>
      <c r="G140" s="95"/>
      <c r="H140" s="95"/>
      <c r="I140" s="95"/>
    </row>
    <row r="141" spans="1:9">
      <c r="A141" s="9" t="str">
        <f>HLOOKUP(INDICE!$F$2,Nombres!$C$3:$D$636,78,FALSE)</f>
        <v>(Million Argentinian pesos)</v>
      </c>
      <c r="B141" s="57"/>
      <c r="C141" s="78"/>
      <c r="D141" s="78"/>
      <c r="E141" s="78"/>
      <c r="F141" s="96"/>
      <c r="G141" s="70"/>
      <c r="H141" s="70"/>
      <c r="I141" s="70"/>
    </row>
    <row r="142" spans="1:9">
      <c r="A142" s="57"/>
      <c r="B142" s="80">
        <f t="shared" ref="B142:I142" si="24">+B$30</f>
        <v>45747</v>
      </c>
      <c r="C142" s="80">
        <f t="shared" si="24"/>
        <v>45838</v>
      </c>
      <c r="D142" s="80">
        <f t="shared" si="24"/>
        <v>45930</v>
      </c>
      <c r="E142" s="92">
        <f t="shared" si="24"/>
        <v>46022</v>
      </c>
      <c r="F142" s="80">
        <f t="shared" si="24"/>
        <v>46112</v>
      </c>
      <c r="G142" s="80">
        <f t="shared" si="24"/>
        <v>46203</v>
      </c>
      <c r="H142" s="80">
        <f t="shared" si="24"/>
        <v>46295</v>
      </c>
      <c r="I142" s="80">
        <f t="shared" si="24"/>
        <v>46387</v>
      </c>
    </row>
    <row r="143" spans="1:9">
      <c r="A143" s="7" t="str">
        <f>HLOOKUP(INDICE!$F$2,Nombres!$C$3:$D$636,52,FALSE)</f>
        <v>Cash, cash balances at central banks and other demand deposits</v>
      </c>
      <c r="B143" s="70">
        <v>2439260.632725263</v>
      </c>
      <c r="C143" s="70">
        <v>3327846.9241613378</v>
      </c>
      <c r="D143" s="70">
        <v>4034859.4857971896</v>
      </c>
      <c r="E143" s="71">
        <v>4759888.1154056797</v>
      </c>
      <c r="F143" s="70">
        <v>3975512.53138373</v>
      </c>
      <c r="G143" s="70">
        <v>4011679.0768907648</v>
      </c>
      <c r="H143" s="70">
        <v>0</v>
      </c>
      <c r="I143" s="70">
        <v>0</v>
      </c>
    </row>
    <row r="144" spans="1:9">
      <c r="A144" s="7" t="str">
        <f>HLOOKUP(INDICE!$F$2,Nombres!$C$3:$D$636,53,FALSE)</f>
        <v xml:space="preserve">Financial assets designated at fair value </v>
      </c>
      <c r="B144" s="79">
        <v>2834952.0114473188</v>
      </c>
      <c r="C144" s="79">
        <v>3147256.9813126884</v>
      </c>
      <c r="D144" s="79">
        <v>3036459.3484799117</v>
      </c>
      <c r="E144" s="89">
        <v>3591855.8535469547</v>
      </c>
      <c r="F144" s="70">
        <v>4406902.5064880541</v>
      </c>
      <c r="G144" s="70">
        <v>5295742.1197766252</v>
      </c>
      <c r="H144" s="70">
        <v>0</v>
      </c>
      <c r="I144" s="70">
        <v>0</v>
      </c>
    </row>
    <row r="145" spans="1:9">
      <c r="A145" s="7" t="str">
        <f>HLOOKUP(INDICE!$F$2,Nombres!$C$3:$D$636,54,FALSE)</f>
        <v>Financial assets at amortized cost</v>
      </c>
      <c r="B145" s="70">
        <v>9702699.4228445161</v>
      </c>
      <c r="C145" s="70">
        <v>11487951.229643799</v>
      </c>
      <c r="D145" s="70">
        <v>13570011.492820246</v>
      </c>
      <c r="E145" s="71">
        <v>15465952.524550213</v>
      </c>
      <c r="F145" s="70">
        <v>15625677.039112195</v>
      </c>
      <c r="G145" s="70">
        <v>17054699.798636016</v>
      </c>
      <c r="H145" s="70">
        <v>0</v>
      </c>
      <c r="I145" s="70">
        <v>0</v>
      </c>
    </row>
    <row r="146" spans="1:9">
      <c r="A146" s="7" t="str">
        <f>HLOOKUP(INDICE!$F$2,Nombres!$C$3:$D$636,55,FALSE)</f>
        <v xml:space="preserve">    of which loans and advances to customers</v>
      </c>
      <c r="B146" s="70">
        <v>8999035.5174980424</v>
      </c>
      <c r="C146" s="70">
        <v>10960329.842137115</v>
      </c>
      <c r="D146" s="70">
        <v>12118225.946830185</v>
      </c>
      <c r="E146" s="71">
        <v>14110792.831796324</v>
      </c>
      <c r="F146" s="70">
        <v>14872450.312130356</v>
      </c>
      <c r="G146" s="70">
        <v>16235416.078040924</v>
      </c>
      <c r="H146" s="70">
        <v>0</v>
      </c>
      <c r="I146" s="70">
        <v>0</v>
      </c>
    </row>
    <row r="147" spans="1:9" hidden="1">
      <c r="A147" s="7"/>
      <c r="B147" s="70"/>
      <c r="C147" s="70"/>
      <c r="D147" s="70"/>
      <c r="E147" s="71"/>
      <c r="F147" s="70"/>
      <c r="G147" s="70"/>
      <c r="H147" s="70"/>
      <c r="I147" s="70"/>
    </row>
    <row r="148" spans="1:9">
      <c r="A148" s="7" t="str">
        <f>HLOOKUP(INDICE!$F$2,Nombres!$C$3:$D$636,56,FALSE)</f>
        <v>Tangible assets</v>
      </c>
      <c r="B148" s="70">
        <v>847864.16052948369</v>
      </c>
      <c r="C148" s="70">
        <v>922505.96657789347</v>
      </c>
      <c r="D148" s="70">
        <v>987071.8393219281</v>
      </c>
      <c r="E148" s="71">
        <v>1085981.811787836</v>
      </c>
      <c r="F148" s="70">
        <v>1186777.1323710107</v>
      </c>
      <c r="G148" s="70">
        <v>1265898.4271975101</v>
      </c>
      <c r="H148" s="70">
        <v>0</v>
      </c>
      <c r="I148" s="70">
        <v>0</v>
      </c>
    </row>
    <row r="149" spans="1:9">
      <c r="A149" s="7" t="str">
        <f>HLOOKUP(INDICE!$F$2,Nombres!$C$3:$D$636,57,FALSE)</f>
        <v>Other assets</v>
      </c>
      <c r="B149" s="79">
        <f>+B150-B148-B145-B144-B143</f>
        <v>684020.83702484798</v>
      </c>
      <c r="C149" s="79">
        <f t="shared" ref="C149:H149" si="25">+C150-C148-C145-C144-C143</f>
        <v>661579.70616087643</v>
      </c>
      <c r="D149" s="79">
        <f t="shared" si="25"/>
        <v>837234.43362160912</v>
      </c>
      <c r="E149" s="89">
        <f t="shared" si="25"/>
        <v>796737.17008382548</v>
      </c>
      <c r="F149" s="70">
        <f t="shared" si="25"/>
        <v>896060.52094784891</v>
      </c>
      <c r="G149" s="70">
        <f t="shared" si="25"/>
        <v>878889.37094548903</v>
      </c>
      <c r="H149" s="70">
        <f t="shared" si="25"/>
        <v>0</v>
      </c>
      <c r="I149" s="70">
        <f>+I150-I148-I145-I144-I143</f>
        <v>0</v>
      </c>
    </row>
    <row r="150" spans="1:9">
      <c r="A150" s="18" t="str">
        <f>HLOOKUP(INDICE!$F$2,Nombres!$C$3:$D$636,58,FALSE)</f>
        <v>Total assets / Liabilities and equity</v>
      </c>
      <c r="B150" s="18">
        <v>16508797.064571429</v>
      </c>
      <c r="C150" s="18">
        <v>19547140.807856597</v>
      </c>
      <c r="D150" s="18">
        <v>22465636.600040887</v>
      </c>
      <c r="E150" s="18">
        <v>25700415.475374509</v>
      </c>
      <c r="F150" s="88">
        <v>26090929.73030284</v>
      </c>
      <c r="G150" s="88">
        <v>28506908.793446403</v>
      </c>
      <c r="H150" s="88">
        <v>0</v>
      </c>
      <c r="I150" s="88">
        <v>0</v>
      </c>
    </row>
    <row r="151" spans="1:9">
      <c r="A151" s="7" t="str">
        <f>HLOOKUP(INDICE!$F$2,Nombres!$C$3:$D$636,59,FALSE)</f>
        <v>Financial liabilities held for trading and designated at fair value through profit or loss</v>
      </c>
      <c r="B151" s="79">
        <v>12640.550788023129</v>
      </c>
      <c r="C151" s="79">
        <v>15467.623498058298</v>
      </c>
      <c r="D151" s="79">
        <v>74163.745397241291</v>
      </c>
      <c r="E151" s="89">
        <v>6439.1289089480151</v>
      </c>
      <c r="F151" s="70">
        <v>41870.967669916543</v>
      </c>
      <c r="G151" s="70">
        <v>44445.695196038148</v>
      </c>
      <c r="H151" s="70">
        <v>0</v>
      </c>
      <c r="I151" s="70">
        <v>0</v>
      </c>
    </row>
    <row r="152" spans="1:9">
      <c r="A152" s="7" t="str">
        <f>HLOOKUP(INDICE!$F$2,Nombres!$C$3:$D$636,60,FALSE)</f>
        <v>Deposits from central banks and credit institutions</v>
      </c>
      <c r="B152" s="79">
        <v>325821.83409838157</v>
      </c>
      <c r="C152" s="79">
        <v>359611.09051160543</v>
      </c>
      <c r="D152" s="79">
        <v>571714.55876713607</v>
      </c>
      <c r="E152" s="89">
        <v>1249101.8379542038</v>
      </c>
      <c r="F152" s="70">
        <v>586328.27357656194</v>
      </c>
      <c r="G152" s="70">
        <v>598622.52683757874</v>
      </c>
      <c r="H152" s="70">
        <v>0</v>
      </c>
      <c r="I152" s="70">
        <v>0</v>
      </c>
    </row>
    <row r="153" spans="1:9">
      <c r="A153" s="7" t="str">
        <f>HLOOKUP(INDICE!$F$2,Nombres!$C$3:$D$636,61,FALSE)</f>
        <v>Deposits from customers</v>
      </c>
      <c r="B153" s="79">
        <v>10958707.454355087</v>
      </c>
      <c r="C153" s="79">
        <v>13055158.118533121</v>
      </c>
      <c r="D153" s="79">
        <v>15635009.85317637</v>
      </c>
      <c r="E153" s="89">
        <v>17299550.641566787</v>
      </c>
      <c r="F153" s="70">
        <v>17588098.370075069</v>
      </c>
      <c r="G153" s="70">
        <v>19263984.045068376</v>
      </c>
      <c r="H153" s="70">
        <v>0</v>
      </c>
      <c r="I153" s="70">
        <v>0</v>
      </c>
    </row>
    <row r="154" spans="1:9">
      <c r="A154" s="7" t="str">
        <f>HLOOKUP(INDICE!$F$2,Nombres!$C$3:$D$636,62,FALSE)</f>
        <v>Debt certificates</v>
      </c>
      <c r="B154" s="70">
        <v>693833.24254556757</v>
      </c>
      <c r="C154" s="70">
        <v>994100.27950087667</v>
      </c>
      <c r="D154" s="70">
        <v>995459.08345558145</v>
      </c>
      <c r="E154" s="71">
        <v>1253689.1257002577</v>
      </c>
      <c r="F154" s="70">
        <v>1329525.4656046499</v>
      </c>
      <c r="G154" s="70">
        <v>1583367.6291537997</v>
      </c>
      <c r="H154" s="70">
        <v>0</v>
      </c>
      <c r="I154" s="70">
        <v>0</v>
      </c>
    </row>
    <row r="155" spans="1:9" hidden="1">
      <c r="A155" s="7"/>
      <c r="B155" s="70"/>
      <c r="C155" s="70"/>
      <c r="D155" s="70"/>
      <c r="E155" s="71"/>
      <c r="F155" s="70"/>
      <c r="G155" s="70"/>
      <c r="H155" s="70"/>
      <c r="I155" s="70"/>
    </row>
    <row r="156" spans="1:9">
      <c r="A156" s="7" t="str">
        <f>HLOOKUP(INDICE!$F$2,Nombres!$C$3:$D$636,63,FALSE)</f>
        <v>Other liabilities</v>
      </c>
      <c r="B156" s="79">
        <f>+B150-B151-B152-B153-B154-B157</f>
        <v>2768685.9266030127</v>
      </c>
      <c r="C156" s="79">
        <f t="shared" ref="C156:I156" si="26">+C150-C151-C152-C153-C154-C157</f>
        <v>3044651.3344819648</v>
      </c>
      <c r="D156" s="79">
        <f t="shared" si="26"/>
        <v>2983731.8629304469</v>
      </c>
      <c r="E156" s="89">
        <f t="shared" si="26"/>
        <v>3482855.0163531844</v>
      </c>
      <c r="F156" s="70">
        <f t="shared" si="26"/>
        <v>4132325.9987241328</v>
      </c>
      <c r="G156" s="70">
        <f t="shared" si="26"/>
        <v>4385497.6034774464</v>
      </c>
      <c r="H156" s="70">
        <f t="shared" si="26"/>
        <v>0</v>
      </c>
      <c r="I156" s="70">
        <f t="shared" si="26"/>
        <v>0</v>
      </c>
    </row>
    <row r="157" spans="1:9">
      <c r="A157" s="7" t="str">
        <f>HLOOKUP(INDICE!$F$2,Nombres!$C$3:$D$636,282,FALSE)</f>
        <v>Allocated regulatory capital</v>
      </c>
      <c r="B157" s="79">
        <v>1749108.056181357</v>
      </c>
      <c r="C157" s="79">
        <v>2078152.3613309693</v>
      </c>
      <c r="D157" s="79">
        <v>2205557.4963141121</v>
      </c>
      <c r="E157" s="79">
        <v>2408779.724891128</v>
      </c>
      <c r="F157" s="79">
        <v>2412780.6546525117</v>
      </c>
      <c r="G157" s="79">
        <v>2630991.2937131613</v>
      </c>
      <c r="H157" s="79">
        <v>0</v>
      </c>
      <c r="I157" s="79">
        <v>0</v>
      </c>
    </row>
    <row r="158" spans="1:9">
      <c r="A158" s="8"/>
      <c r="B158" s="79"/>
      <c r="C158" s="79"/>
      <c r="D158" s="79"/>
      <c r="E158" s="79"/>
      <c r="F158" s="70"/>
      <c r="G158" s="70"/>
      <c r="H158" s="70"/>
      <c r="I158" s="70"/>
    </row>
    <row r="159" spans="1:9">
      <c r="A159" s="7"/>
      <c r="B159" s="79"/>
      <c r="C159" s="79"/>
      <c r="D159" s="79"/>
      <c r="E159" s="79"/>
      <c r="F159" s="70"/>
      <c r="G159" s="70"/>
      <c r="H159" s="70"/>
      <c r="I159" s="70"/>
    </row>
    <row r="160" spans="1:9" ht="17">
      <c r="A160" s="59" t="str">
        <f>HLOOKUP(INDICE!$F$2,Nombres!$C$3:$D$636,65,FALSE)</f>
        <v>Relevant business indicators</v>
      </c>
      <c r="B160" s="60"/>
      <c r="C160" s="60"/>
      <c r="D160" s="60"/>
      <c r="E160" s="60"/>
      <c r="F160" s="95"/>
      <c r="G160" s="95"/>
      <c r="H160" s="95"/>
      <c r="I160" s="95"/>
    </row>
    <row r="161" spans="1:9">
      <c r="A161" s="9" t="str">
        <f>HLOOKUP(INDICE!$F$2,Nombres!$C$3:$D$636,78,FALSE)</f>
        <v>(Million Argentinian pesos)</v>
      </c>
      <c r="B161" s="57"/>
      <c r="C161" s="57"/>
      <c r="D161" s="57"/>
      <c r="E161" s="57"/>
      <c r="F161" s="96"/>
      <c r="G161" s="70"/>
      <c r="H161" s="70"/>
      <c r="I161" s="70"/>
    </row>
    <row r="162" spans="1:9" ht="15.75" customHeight="1">
      <c r="A162" s="57"/>
      <c r="B162" s="80">
        <f t="shared" ref="B162:I162" si="27">+B$30</f>
        <v>45747</v>
      </c>
      <c r="C162" s="80">
        <f t="shared" si="27"/>
        <v>45838</v>
      </c>
      <c r="D162" s="80">
        <f t="shared" si="27"/>
        <v>45930</v>
      </c>
      <c r="E162" s="92">
        <f t="shared" si="27"/>
        <v>46022</v>
      </c>
      <c r="F162" s="80">
        <f t="shared" si="27"/>
        <v>46112</v>
      </c>
      <c r="G162" s="80">
        <f t="shared" si="27"/>
        <v>46203</v>
      </c>
      <c r="H162" s="80">
        <f t="shared" si="27"/>
        <v>46295</v>
      </c>
      <c r="I162" s="80">
        <f t="shared" si="27"/>
        <v>46387</v>
      </c>
    </row>
    <row r="163" spans="1:9" ht="15.75" customHeight="1">
      <c r="A163" s="7" t="str">
        <f>HLOOKUP(INDICE!$F$2,Nombres!$C$3:$D$636,66,FALSE)</f>
        <v>Loans and advances to customers (gross) (*)</v>
      </c>
      <c r="B163" s="70">
        <v>9212874.3070618398</v>
      </c>
      <c r="C163" s="70">
        <v>11263481.038955851</v>
      </c>
      <c r="D163" s="70">
        <v>12544319.525414154</v>
      </c>
      <c r="E163" s="71">
        <v>14725286.363020843</v>
      </c>
      <c r="F163" s="70">
        <v>15660344.968535198</v>
      </c>
      <c r="G163" s="70">
        <v>17086694.963232014</v>
      </c>
      <c r="H163" s="70">
        <v>0</v>
      </c>
      <c r="I163" s="70">
        <v>0</v>
      </c>
    </row>
    <row r="164" spans="1:9" ht="15.75" customHeight="1">
      <c r="A164" s="7" t="str">
        <f>HLOOKUP(INDICE!$F$2,Nombres!$C$3:$D$636,67,FALSE)</f>
        <v>Customer deposits under management (*)</v>
      </c>
      <c r="B164" s="70">
        <v>10958707.454355085</v>
      </c>
      <c r="C164" s="70">
        <v>13055158.118533121</v>
      </c>
      <c r="D164" s="70">
        <v>15635009.85317637</v>
      </c>
      <c r="E164" s="71">
        <v>17299550.641566791</v>
      </c>
      <c r="F164" s="70">
        <v>17588098.370075066</v>
      </c>
      <c r="G164" s="70">
        <v>19263984.045068376</v>
      </c>
      <c r="H164" s="70">
        <v>0</v>
      </c>
      <c r="I164" s="70">
        <v>0</v>
      </c>
    </row>
    <row r="165" spans="1:9" ht="15.75" customHeight="1">
      <c r="A165" s="7" t="str">
        <f>HLOOKUP(INDICE!$F$2,Nombres!$C$3:$D$636,68,FALSE)</f>
        <v>Investment funds and managed portfolios</v>
      </c>
      <c r="B165" s="70">
        <v>3590591.04326822</v>
      </c>
      <c r="C165" s="70">
        <v>3445015.9663849594</v>
      </c>
      <c r="D165" s="70">
        <v>4007571.5757180401</v>
      </c>
      <c r="E165" s="71">
        <v>3574644.1790984813</v>
      </c>
      <c r="F165" s="70">
        <v>4575195.9010922424</v>
      </c>
      <c r="G165" s="70">
        <v>4802278.7384151034</v>
      </c>
      <c r="H165" s="70">
        <v>0</v>
      </c>
      <c r="I165" s="70">
        <v>0</v>
      </c>
    </row>
    <row r="166" spans="1:9" ht="15.75" customHeight="1">
      <c r="A166" s="7" t="str">
        <f>HLOOKUP(INDICE!$F$2,Nombres!$C$3:$D$636,69,FALSE)</f>
        <v>Pension funds</v>
      </c>
      <c r="B166" s="70">
        <v>0</v>
      </c>
      <c r="C166" s="70">
        <v>0</v>
      </c>
      <c r="D166" s="70">
        <v>0</v>
      </c>
      <c r="E166" s="71">
        <v>0</v>
      </c>
      <c r="F166" s="70">
        <v>0</v>
      </c>
      <c r="G166" s="70">
        <v>0</v>
      </c>
      <c r="H166" s="70">
        <v>0</v>
      </c>
      <c r="I166" s="70">
        <v>0</v>
      </c>
    </row>
    <row r="167" spans="1:9">
      <c r="A167" s="7" t="str">
        <f>HLOOKUP(INDICE!$F$2,Nombres!$C$3:$D$636,70,FALSE)</f>
        <v>Other off balance-sheet funds</v>
      </c>
      <c r="B167" s="70">
        <v>0</v>
      </c>
      <c r="C167" s="70">
        <v>0</v>
      </c>
      <c r="D167" s="70">
        <v>0</v>
      </c>
      <c r="E167" s="71">
        <v>0</v>
      </c>
      <c r="F167" s="70">
        <v>0</v>
      </c>
      <c r="G167" s="70">
        <v>0</v>
      </c>
      <c r="H167" s="70">
        <v>0</v>
      </c>
      <c r="I167" s="70">
        <v>0</v>
      </c>
    </row>
    <row r="168" spans="1:9">
      <c r="A168" s="8" t="str">
        <f>HLOOKUP(INDICE!$F$2,Nombres!$C$3:$D$636,71,FALSE)</f>
        <v xml:space="preserve">(*) Excluding repos. </v>
      </c>
      <c r="B168" s="79"/>
      <c r="C168" s="79"/>
      <c r="D168" s="79"/>
      <c r="E168" s="79"/>
      <c r="F168" s="79"/>
      <c r="G168" s="79"/>
      <c r="H168" s="79"/>
      <c r="I168" s="79"/>
    </row>
    <row r="169" spans="1:9">
      <c r="A169" s="8">
        <f>HLOOKUP(INDICE!$F$2,Nombres!$C$3:$D$636,72,FALSE)</f>
        <v>0</v>
      </c>
      <c r="B169" s="57"/>
      <c r="C169" s="57"/>
      <c r="D169" s="57"/>
      <c r="E169" s="57"/>
      <c r="F169" s="57"/>
      <c r="G169" s="57"/>
      <c r="H169" s="57"/>
      <c r="I169" s="57"/>
    </row>
    <row r="170" spans="1:9">
      <c r="A170" s="57"/>
      <c r="B170" s="57"/>
      <c r="C170" s="57"/>
      <c r="D170" s="57"/>
      <c r="E170" s="57"/>
      <c r="F170" s="57"/>
      <c r="G170" s="57"/>
      <c r="H170" s="57"/>
      <c r="I170" s="57"/>
    </row>
    <row r="171" spans="1:9">
      <c r="A171" s="57"/>
      <c r="B171" s="57"/>
      <c r="C171" s="57"/>
      <c r="D171" s="57"/>
      <c r="E171" s="57"/>
      <c r="F171" s="57"/>
      <c r="G171" s="57"/>
      <c r="H171" s="57"/>
      <c r="I171" s="57"/>
    </row>
    <row r="172" spans="1:9">
      <c r="A172" s="98"/>
      <c r="C172" s="99"/>
      <c r="D172" s="99"/>
      <c r="E172" s="99"/>
    </row>
    <row r="173" spans="1:9">
      <c r="A173" s="98"/>
      <c r="C173" s="99"/>
      <c r="D173" s="99"/>
      <c r="E173" s="99"/>
    </row>
    <row r="1006" spans="1:1">
      <c r="A1006" t="s">
        <v>557</v>
      </c>
    </row>
  </sheetData>
  <mergeCells count="6">
    <mergeCell ref="B6:E6"/>
    <mergeCell ref="F6:I6"/>
    <mergeCell ref="B62:E62"/>
    <mergeCell ref="F62:I62"/>
    <mergeCell ref="B118:E118"/>
    <mergeCell ref="F118:I118"/>
  </mergeCells>
  <conditionalFormatting sqref="B26:I26">
    <cfRule type="cellIs" dxfId="32" priority="3" operator="notBetween">
      <formula>0.5</formula>
      <formula>-0.5</formula>
    </cfRule>
  </conditionalFormatting>
  <conditionalFormatting sqref="B82:I82">
    <cfRule type="cellIs" dxfId="31" priority="2" operator="notBetween">
      <formula>0.5</formula>
      <formula>-0.5</formula>
    </cfRule>
  </conditionalFormatting>
  <conditionalFormatting sqref="B138:I138">
    <cfRule type="cellIs" dxfId="30" priority="1" operator="notBetween">
      <formula>0.5</formula>
      <formula>-0.5</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25</vt:i4>
      </vt:variant>
    </vt:vector>
  </HeadingPairs>
  <TitlesOfParts>
    <vt:vector size="25" baseType="lpstr">
      <vt:lpstr>Nombres</vt:lpstr>
      <vt:lpstr>INDICE</vt:lpstr>
      <vt:lpstr>Cuenta de Resultados</vt:lpstr>
      <vt:lpstr>Balance</vt:lpstr>
      <vt:lpstr>España</vt:lpstr>
      <vt:lpstr>Mexico</vt:lpstr>
      <vt:lpstr>Turquia</vt:lpstr>
      <vt:lpstr>AdS</vt:lpstr>
      <vt:lpstr>Argentina</vt:lpstr>
      <vt:lpstr>Chile</vt:lpstr>
      <vt:lpstr>Colombia</vt:lpstr>
      <vt:lpstr>Peru</vt:lpstr>
      <vt:lpstr>Resto de Negocios</vt:lpstr>
      <vt:lpstr>Centro Corporativo</vt:lpstr>
      <vt:lpstr>Corporate &amp; Investment Banking</vt:lpstr>
      <vt:lpstr>Eficiencia</vt:lpstr>
      <vt:lpstr>RORWA</vt:lpstr>
      <vt:lpstr>Mora,cobertura,coste de riesgo</vt:lpstr>
      <vt:lpstr>Empleados, oficinas y cajeros</vt:lpstr>
      <vt:lpstr>Tipos de Cambio</vt:lpstr>
      <vt:lpstr>Diferenciales</vt:lpstr>
      <vt:lpstr>APRs</vt:lpstr>
      <vt:lpstr>Inversion</vt:lpstr>
      <vt:lpstr>Recursos</vt:lpstr>
      <vt:lpstr>ALCO</vt:lpstr>
    </vt:vector>
  </TitlesOfParts>
  <Company>BBVA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LERCHUNDI LIZASO ,ION</dc:creator>
  <cp:lastModifiedBy>ACOSTA GARCIA ,LOURDES</cp:lastModifiedBy>
  <dcterms:created xsi:type="dcterms:W3CDTF">2026-07-27T07:34:45Z</dcterms:created>
  <dcterms:modified xsi:type="dcterms:W3CDTF">2026-07-29T18:03:22Z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