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054080\Desktop\"/>
    </mc:Choice>
  </mc:AlternateContent>
  <xr:revisionPtr revIDLastSave="0" documentId="8_{2694EFAE-2374-47AD-8D79-E626ACBCD824}" xr6:coauthVersionLast="47" xr6:coauthVersionMax="47" xr10:uidLastSave="{00000000-0000-0000-0000-000000000000}"/>
  <bookViews>
    <workbookView xWindow="28680" yWindow="-120" windowWidth="29040" windowHeight="15720" firstSheet="1" activeTab="1" xr2:uid="{00000000-000D-0000-FFFF-FFFF00000000}"/>
  </bookViews>
  <sheets>
    <sheet name="Nombres" sheetId="1" state="hidden" r:id="rId1"/>
    <sheet name="INDICE" sheetId="2" r:id="rId2"/>
    <sheet name="Cuenta de Resultados" sheetId="3" r:id="rId3"/>
    <sheet name="Balance" sheetId="4" r:id="rId4"/>
    <sheet name="España" sheetId="5" r:id="rId5"/>
    <sheet name="Mexico" sheetId="6" r:id="rId6"/>
    <sheet name="Turquia" sheetId="7" r:id="rId7"/>
    <sheet name="AdS" sheetId="8" r:id="rId8"/>
    <sheet name="Argentina" sheetId="9" r:id="rId9"/>
    <sheet name="Chile" sheetId="10" r:id="rId10"/>
    <sheet name="Colombia" sheetId="11" r:id="rId11"/>
    <sheet name="Peru" sheetId="12" r:id="rId12"/>
    <sheet name="Resto de Negocios" sheetId="13" r:id="rId13"/>
    <sheet name="Centro Corporativo" sheetId="14" r:id="rId14"/>
    <sheet name="Corporate &amp; Investment Banking" sheetId="15" r:id="rId15"/>
    <sheet name="Eficiencia" sheetId="16" r:id="rId16"/>
    <sheet name="RORWA" sheetId="17" r:id="rId17"/>
    <sheet name="Mora,cobertura,coste de riesgo" sheetId="18" r:id="rId18"/>
    <sheet name="Empleados, oficinas y cajeros" sheetId="19" r:id="rId19"/>
    <sheet name="Tipos de Cambio" sheetId="20" r:id="rId20"/>
    <sheet name="Diferenciales" sheetId="21" r:id="rId21"/>
    <sheet name="APRs" sheetId="22" r:id="rId22"/>
    <sheet name="Inversion" sheetId="23" r:id="rId23"/>
    <sheet name="Recursos" sheetId="24" r:id="rId24"/>
    <sheet name="ALCO"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123Graph_ACURRENT" hidden="1">#N/A</definedName>
    <definedName name="__123Graph_BCURRENT" hidden="1">#N/A</definedName>
    <definedName name="__123Graph_CCURRENT" hidden="1">#N/A</definedName>
    <definedName name="__123Graph_DCURRENT" hidden="1">#N/A</definedName>
    <definedName name="__123Graph_ECURRENT" hidden="1">#N/A</definedName>
    <definedName name="__123Graph_FCURRENT" hidden="1">#N/A</definedName>
    <definedName name="_13__123Graph_ACHART_3" localSheetId="3" hidden="1">[1]DepMix!#REF!</definedName>
    <definedName name="_13__123Graph_ACHART_3" localSheetId="13" hidden="1">[1]DepMix!#REF!</definedName>
    <definedName name="_13__123Graph_ACHART_3" localSheetId="14" hidden="1">[1]DepMix!#REF!</definedName>
    <definedName name="_13__123Graph_ACHART_3" localSheetId="22" hidden="1">[1]DepMix!#REF!</definedName>
    <definedName name="_13__123Graph_ACHART_3" localSheetId="23" hidden="1">[1]DepMix!#REF!</definedName>
    <definedName name="_13__123Graph_ACHART_3" localSheetId="16" hidden="1">[1]DepMix!#REF!</definedName>
    <definedName name="_13__123Graph_ACHART_3" hidden="1">[1]DepMix!#REF!</definedName>
    <definedName name="_26__123Graph_ACHART_4" localSheetId="3" hidden="1">[1]DepMix!#REF!</definedName>
    <definedName name="_26__123Graph_ACHART_4" localSheetId="13" hidden="1">[1]DepMix!#REF!</definedName>
    <definedName name="_26__123Graph_ACHART_4" localSheetId="14" hidden="1">[1]DepMix!#REF!</definedName>
    <definedName name="_26__123Graph_ACHART_4" localSheetId="22" hidden="1">[1]DepMix!#REF!</definedName>
    <definedName name="_26__123Graph_ACHART_4" localSheetId="23" hidden="1">[1]DepMix!#REF!</definedName>
    <definedName name="_26__123Graph_ACHART_4" localSheetId="16" hidden="1">[1]DepMix!#REF!</definedName>
    <definedName name="_26__123Graph_ACHART_4" hidden="1">[1]DepMix!#REF!</definedName>
    <definedName name="_39__123Graph_BCHART_4" localSheetId="3" hidden="1">[2]NII!#REF!</definedName>
    <definedName name="_39__123Graph_BCHART_4" localSheetId="13" hidden="1">[2]NII!#REF!</definedName>
    <definedName name="_39__123Graph_BCHART_4" localSheetId="14" hidden="1">[2]NII!#REF!</definedName>
    <definedName name="_39__123Graph_BCHART_4" localSheetId="22" hidden="1">[2]NII!#REF!</definedName>
    <definedName name="_39__123Graph_BCHART_4" localSheetId="23" hidden="1">[2]NII!#REF!</definedName>
    <definedName name="_39__123Graph_BCHART_4" localSheetId="16" hidden="1">[2]NII!#REF!</definedName>
    <definedName name="_39__123Graph_BCHART_4" hidden="1">[2]NII!#REF!</definedName>
    <definedName name="_52__123Graph_CCHART_3" localSheetId="3" hidden="1">[1]DepMix!#REF!</definedName>
    <definedName name="_52__123Graph_CCHART_3" localSheetId="13" hidden="1">[1]DepMix!#REF!</definedName>
    <definedName name="_52__123Graph_CCHART_3" localSheetId="14" hidden="1">[1]DepMix!#REF!</definedName>
    <definedName name="_52__123Graph_CCHART_3" localSheetId="22" hidden="1">[1]DepMix!#REF!</definedName>
    <definedName name="_52__123Graph_CCHART_3" localSheetId="23" hidden="1">[1]DepMix!#REF!</definedName>
    <definedName name="_52__123Graph_CCHART_3" localSheetId="16" hidden="1">[1]DepMix!#REF!</definedName>
    <definedName name="_52__123Graph_CCHART_3" hidden="1">[1]DepMix!#REF!</definedName>
    <definedName name="_65__123Graph_CCHART_4" localSheetId="3" hidden="1">[1]DepMix!#REF!</definedName>
    <definedName name="_65__123Graph_CCHART_4" localSheetId="13" hidden="1">[1]DepMix!#REF!</definedName>
    <definedName name="_65__123Graph_CCHART_4" localSheetId="14" hidden="1">[1]DepMix!#REF!</definedName>
    <definedName name="_65__123Graph_CCHART_4" localSheetId="22" hidden="1">[1]DepMix!#REF!</definedName>
    <definedName name="_65__123Graph_CCHART_4" localSheetId="23" hidden="1">[1]DepMix!#REF!</definedName>
    <definedName name="_65__123Graph_CCHART_4" localSheetId="16" hidden="1">[1]DepMix!#REF!</definedName>
    <definedName name="_65__123Graph_CCHART_4" hidden="1">[1]DepMix!#REF!</definedName>
    <definedName name="_Fill" localSheetId="7" hidden="1">#REF!</definedName>
    <definedName name="_Fill" localSheetId="21" hidden="1">#REF!</definedName>
    <definedName name="_Fill" localSheetId="8" hidden="1">#REF!</definedName>
    <definedName name="_Fill" localSheetId="3" hidden="1">#REF!</definedName>
    <definedName name="_Fill" localSheetId="13" hidden="1">#REF!</definedName>
    <definedName name="_Fill" localSheetId="9" hidden="1">#REF!</definedName>
    <definedName name="_Fill" localSheetId="10" hidden="1">#REF!</definedName>
    <definedName name="_Fill" localSheetId="14" hidden="1">#REF!</definedName>
    <definedName name="_Fill" localSheetId="2" hidden="1">#REF!</definedName>
    <definedName name="_Fill" localSheetId="20" hidden="1">#REF!</definedName>
    <definedName name="_Fill" localSheetId="15" hidden="1">#REF!</definedName>
    <definedName name="_Fill" localSheetId="4" hidden="1">#REF!</definedName>
    <definedName name="_Fill" localSheetId="1" hidden="1">#REF!</definedName>
    <definedName name="_Fill" localSheetId="22" hidden="1">#REF!</definedName>
    <definedName name="_Fill" localSheetId="5" hidden="1">#REF!</definedName>
    <definedName name="_Fill" localSheetId="17" hidden="1">#REF!</definedName>
    <definedName name="_Fill" localSheetId="11" hidden="1">#REF!</definedName>
    <definedName name="_Fill" localSheetId="23" hidden="1">#REF!</definedName>
    <definedName name="_Fill" localSheetId="12" hidden="1">#REF!</definedName>
    <definedName name="_Fill" localSheetId="16" hidden="1">#REF!</definedName>
    <definedName name="_Fill" localSheetId="6" hidden="1">#REF!</definedName>
    <definedName name="_Fill" hidden="1">#REF!</definedName>
    <definedName name="_xlnm._FilterDatabase" hidden="1">'[3]Pg 24 - Non-Accrual'!$A$86:$G$97</definedName>
    <definedName name="_Key1" localSheetId="3" hidden="1">#REF!</definedName>
    <definedName name="_Key1" localSheetId="13" hidden="1">#REF!</definedName>
    <definedName name="_Key1" localSheetId="14" hidden="1">#REF!</definedName>
    <definedName name="_Key1" localSheetId="22" hidden="1">#REF!</definedName>
    <definedName name="_Key1" localSheetId="23" hidden="1">#REF!</definedName>
    <definedName name="_Key1" localSheetId="16" hidden="1">#REF!</definedName>
    <definedName name="_Key1" hidden="1">#REF!</definedName>
    <definedName name="_Order1" hidden="1">255</definedName>
    <definedName name="_Order2" hidden="1">255</definedName>
    <definedName name="_r">[4]MEXICO!$R$90:$R$167</definedName>
    <definedName name="_Regression_Out" localSheetId="3" hidden="1">#REF!</definedName>
    <definedName name="_Regression_Out" localSheetId="13" hidden="1">#REF!</definedName>
    <definedName name="_Regression_Out" localSheetId="14" hidden="1">#REF!</definedName>
    <definedName name="_Regression_Out" localSheetId="22" hidden="1">#REF!</definedName>
    <definedName name="_Regression_Out" localSheetId="23" hidden="1">#REF!</definedName>
    <definedName name="_Regression_Out" localSheetId="16" hidden="1">#REF!</definedName>
    <definedName name="_Regression_Out" hidden="1">#REF!</definedName>
    <definedName name="_Regression_X" localSheetId="3" hidden="1">#REF!</definedName>
    <definedName name="_Regression_X" localSheetId="13" hidden="1">#REF!</definedName>
    <definedName name="_Regression_X" localSheetId="14" hidden="1">#REF!</definedName>
    <definedName name="_Regression_X" localSheetId="22" hidden="1">#REF!</definedName>
    <definedName name="_Regression_X" localSheetId="23" hidden="1">#REF!</definedName>
    <definedName name="_Regression_X" localSheetId="16" hidden="1">#REF!</definedName>
    <definedName name="_Regression_X" hidden="1">#REF!</definedName>
    <definedName name="_Sort" localSheetId="3" hidden="1">#REF!</definedName>
    <definedName name="_Sort" localSheetId="13" hidden="1">#REF!</definedName>
    <definedName name="_Sort" localSheetId="14" hidden="1">#REF!</definedName>
    <definedName name="_Sort" localSheetId="22" hidden="1">#REF!</definedName>
    <definedName name="_Sort" localSheetId="23" hidden="1">#REF!</definedName>
    <definedName name="_Sort" localSheetId="16" hidden="1">#REF!</definedName>
    <definedName name="_Sort" hidden="1">#REF!</definedName>
    <definedName name="AS2DocOpenMode" hidden="1">"AS2DocumentEdit"</definedName>
    <definedName name="AS2HasNoAutoHeaderFooter" hidden="1">" "</definedName>
    <definedName name="_xlnm.Database">#REF!</definedName>
    <definedName name="BLPH10001" localSheetId="21" hidden="1">[5]Datos!$G$4</definedName>
    <definedName name="BLPH10001" localSheetId="20" hidden="1">[6]Datos!$G$4</definedName>
    <definedName name="BLPH10001" localSheetId="15" hidden="1">[5]Datos!$G$4</definedName>
    <definedName name="BLPH10001" localSheetId="1" hidden="1">[6]Datos!$G$4</definedName>
    <definedName name="BLPH10001" localSheetId="22" hidden="1">[7]Datos!$G$4</definedName>
    <definedName name="BLPH10001" localSheetId="17" hidden="1">[5]Datos!$G$4</definedName>
    <definedName name="BLPH10001" localSheetId="23" hidden="1">[7]Datos!$G$4</definedName>
    <definedName name="BLPH10001" localSheetId="16" hidden="1">[5]Datos!$G$4</definedName>
    <definedName name="BLPH10001" hidden="1">[8]Datos!$G$4</definedName>
    <definedName name="BLPH10002" localSheetId="21" hidden="1">[5]Datos!$O$4</definedName>
    <definedName name="BLPH10002" localSheetId="20" hidden="1">[6]Datos!$O$4</definedName>
    <definedName name="BLPH10002" localSheetId="15" hidden="1">[5]Datos!$O$4</definedName>
    <definedName name="BLPH10002" localSheetId="1" hidden="1">[6]Datos!$O$4</definedName>
    <definedName name="BLPH10002" localSheetId="22" hidden="1">[7]Datos!$O$4</definedName>
    <definedName name="BLPH10002" localSheetId="17" hidden="1">[5]Datos!$O$4</definedName>
    <definedName name="BLPH10002" localSheetId="23" hidden="1">[7]Datos!$O$4</definedName>
    <definedName name="BLPH10002" localSheetId="16" hidden="1">[5]Datos!$O$4</definedName>
    <definedName name="BLPH10002" hidden="1">[8]Datos!$O$4</definedName>
    <definedName name="BLPH10003" localSheetId="21" hidden="1">[5]Datos!$E$4</definedName>
    <definedName name="BLPH10003" localSheetId="20" hidden="1">[6]Datos!$E$4</definedName>
    <definedName name="BLPH10003" localSheetId="15" hidden="1">[5]Datos!$E$4</definedName>
    <definedName name="BLPH10003" localSheetId="1" hidden="1">[6]Datos!$E$4</definedName>
    <definedName name="BLPH10003" localSheetId="22" hidden="1">[7]Datos!$E$4</definedName>
    <definedName name="BLPH10003" localSheetId="17" hidden="1">[5]Datos!$E$4</definedName>
    <definedName name="BLPH10003" localSheetId="23" hidden="1">[7]Datos!$E$4</definedName>
    <definedName name="BLPH10003" localSheetId="16" hidden="1">[5]Datos!$E$4</definedName>
    <definedName name="BLPH10003" hidden="1">[8]Datos!$E$4</definedName>
    <definedName name="BLPH10004" localSheetId="21" hidden="1">[5]Datos!$M$4</definedName>
    <definedName name="BLPH10004" localSheetId="20" hidden="1">[6]Datos!$M$4</definedName>
    <definedName name="BLPH10004" localSheetId="15" hidden="1">[5]Datos!$M$4</definedName>
    <definedName name="BLPH10004" localSheetId="1" hidden="1">[6]Datos!$M$4</definedName>
    <definedName name="BLPH10004" localSheetId="22" hidden="1">[7]Datos!$M$4</definedName>
    <definedName name="BLPH10004" localSheetId="17" hidden="1">[5]Datos!$M$4</definedName>
    <definedName name="BLPH10004" localSheetId="23" hidden="1">[7]Datos!$M$4</definedName>
    <definedName name="BLPH10004" localSheetId="16" hidden="1">[5]Datos!$M$4</definedName>
    <definedName name="BLPH10004" hidden="1">[8]Datos!$M$4</definedName>
    <definedName name="BLPH10005" localSheetId="21" hidden="1">[5]Datos!$A$4</definedName>
    <definedName name="BLPH10005" localSheetId="20" hidden="1">[6]Datos!$A$4</definedName>
    <definedName name="BLPH10005" localSheetId="15" hidden="1">[5]Datos!$A$4</definedName>
    <definedName name="BLPH10005" localSheetId="1" hidden="1">[6]Datos!$A$4</definedName>
    <definedName name="BLPH10005" localSheetId="22" hidden="1">[7]Datos!$A$4</definedName>
    <definedName name="BLPH10005" localSheetId="17" hidden="1">[5]Datos!$A$4</definedName>
    <definedName name="BLPH10005" localSheetId="23" hidden="1">[7]Datos!$A$4</definedName>
    <definedName name="BLPH10005" localSheetId="16" hidden="1">[5]Datos!$A$4</definedName>
    <definedName name="BLPH10005" hidden="1">[8]Datos!$A$4</definedName>
    <definedName name="BLPH10006" localSheetId="21" hidden="1">[5]Datos!$C$4</definedName>
    <definedName name="BLPH10006" localSheetId="20" hidden="1">[6]Datos!$C$4</definedName>
    <definedName name="BLPH10006" localSheetId="15" hidden="1">[5]Datos!$C$4</definedName>
    <definedName name="BLPH10006" localSheetId="1" hidden="1">[6]Datos!$C$4</definedName>
    <definedName name="BLPH10006" localSheetId="22" hidden="1">[7]Datos!$C$4</definedName>
    <definedName name="BLPH10006" localSheetId="17" hidden="1">[5]Datos!$C$4</definedName>
    <definedName name="BLPH10006" localSheetId="23" hidden="1">[7]Datos!$C$4</definedName>
    <definedName name="BLPH10006" localSheetId="16" hidden="1">[5]Datos!$C$4</definedName>
    <definedName name="BLPH10006" hidden="1">[8]Datos!$C$4</definedName>
    <definedName name="BLPH10007" localSheetId="21" hidden="1">[5]Datos!$K$4</definedName>
    <definedName name="BLPH10007" localSheetId="20" hidden="1">[6]Datos!$K$4</definedName>
    <definedName name="BLPH10007" localSheetId="15" hidden="1">[5]Datos!$K$4</definedName>
    <definedName name="BLPH10007" localSheetId="1" hidden="1">[6]Datos!$K$4</definedName>
    <definedName name="BLPH10007" localSheetId="22" hidden="1">[7]Datos!$K$4</definedName>
    <definedName name="BLPH10007" localSheetId="17" hidden="1">[5]Datos!$K$4</definedName>
    <definedName name="BLPH10007" localSheetId="23" hidden="1">[7]Datos!$K$4</definedName>
    <definedName name="BLPH10007" localSheetId="16" hidden="1">[5]Datos!$K$4</definedName>
    <definedName name="BLPH10007" hidden="1">[8]Datos!$K$4</definedName>
    <definedName name="BLPH10008" localSheetId="21" hidden="1">[5]Datos!$I$4</definedName>
    <definedName name="BLPH10008" localSheetId="20" hidden="1">[6]Datos!$I$4</definedName>
    <definedName name="BLPH10008" localSheetId="15" hidden="1">[5]Datos!$I$4</definedName>
    <definedName name="BLPH10008" localSheetId="1" hidden="1">[6]Datos!$I$4</definedName>
    <definedName name="BLPH10008" localSheetId="22" hidden="1">[7]Datos!$I$4</definedName>
    <definedName name="BLPH10008" localSheetId="17" hidden="1">[5]Datos!$I$4</definedName>
    <definedName name="BLPH10008" localSheetId="23" hidden="1">[7]Datos!$I$4</definedName>
    <definedName name="BLPH10008" localSheetId="16" hidden="1">[5]Datos!$I$4</definedName>
    <definedName name="BLPH10008" hidden="1">[8]Datos!$I$4</definedName>
    <definedName name="BLPH10009" localSheetId="21" hidden="1">[5]Datos!$S$4</definedName>
    <definedName name="BLPH10009" localSheetId="20" hidden="1">[6]Datos!$S$4</definedName>
    <definedName name="BLPH10009" localSheetId="15" hidden="1">[5]Datos!$S$4</definedName>
    <definedName name="BLPH10009" localSheetId="1" hidden="1">[6]Datos!$S$4</definedName>
    <definedName name="BLPH10009" localSheetId="22" hidden="1">[7]Datos!$S$4</definedName>
    <definedName name="BLPH10009" localSheetId="17" hidden="1">[5]Datos!$S$4</definedName>
    <definedName name="BLPH10009" localSheetId="23" hidden="1">[7]Datos!$S$4</definedName>
    <definedName name="BLPH10009" localSheetId="16" hidden="1">[5]Datos!$S$4</definedName>
    <definedName name="BLPH10009" hidden="1">[8]Datos!$S$4</definedName>
    <definedName name="BLPH10010" localSheetId="21" hidden="1">[5]Datos!$Q$4</definedName>
    <definedName name="BLPH10010" localSheetId="20" hidden="1">[6]Datos!$Q$4</definedName>
    <definedName name="BLPH10010" localSheetId="15" hidden="1">[5]Datos!$Q$4</definedName>
    <definedName name="BLPH10010" localSheetId="1" hidden="1">[6]Datos!$Q$4</definedName>
    <definedName name="BLPH10010" localSheetId="22" hidden="1">[7]Datos!$Q$4</definedName>
    <definedName name="BLPH10010" localSheetId="17" hidden="1">[5]Datos!$Q$4</definedName>
    <definedName name="BLPH10010" localSheetId="23" hidden="1">[7]Datos!$Q$4</definedName>
    <definedName name="BLPH10010" localSheetId="16" hidden="1">[5]Datos!$Q$4</definedName>
    <definedName name="BLPH10010" hidden="1">[8]Datos!$Q$4</definedName>
    <definedName name="cambio_base">'[4]#¡REF'!$BK$9</definedName>
    <definedName name="cd" hidden="1">{#N/A,#N/A,FALSE,"EDO. DE RESULTADOS";#N/A,#N/A,FALSE,"CAMBIOS";#N/A,#N/A,FALSE,"COM - VTA";#N/A,#N/A,FALSE,"DIVIDENDOS";#N/A,#N/A,FALSE,"OTROS ING. DE OP.";#N/A,#N/A,FALSE,"GASTOS DE PERSONAL";#N/A,#N/A,FALSE,"RENTAS";#N/A,#N/A,FALSE,"OTROS GASTOS";#N/A,#N/A,FALSE,"DEP. Y AMO.";#N/A,#N/A,FALSE,"OTROS PROD."}</definedName>
    <definedName name="cd_1" hidden="1">{#N/A,#N/A,FALSE,"EDO. DE RESULTADOS";#N/A,#N/A,FALSE,"CAMBIOS";#N/A,#N/A,FALSE,"COM - VTA";#N/A,#N/A,FALSE,"DIVIDENDOS";#N/A,#N/A,FALSE,"OTROS ING. DE OP.";#N/A,#N/A,FALSE,"GASTOS DE PERSONAL";#N/A,#N/A,FALSE,"RENTAS";#N/A,#N/A,FALSE,"OTROS GASTOS";#N/A,#N/A,FALSE,"DEP. Y AMO.";#N/A,#N/A,FALSE,"OTROS PROD."}</definedName>
    <definedName name="cd_1_1" hidden="1">{#N/A,#N/A,FALSE,"EDO. DE RESULTADOS";#N/A,#N/A,FALSE,"CAMBIOS";#N/A,#N/A,FALSE,"COM - VTA";#N/A,#N/A,FALSE,"DIVIDENDOS";#N/A,#N/A,FALSE,"OTROS ING. DE OP.";#N/A,#N/A,FALSE,"GASTOS DE PERSONAL";#N/A,#N/A,FALSE,"RENTAS";#N/A,#N/A,FALSE,"OTROS GASTOS";#N/A,#N/A,FALSE,"DEP. Y AMO.";#N/A,#N/A,FALSE,"OTROS PROD."}</definedName>
    <definedName name="cd_1_1_1" hidden="1">{#N/A,#N/A,FALSE,"EDO. DE RESULTADOS";#N/A,#N/A,FALSE,"CAMBIOS";#N/A,#N/A,FALSE,"COM - VTA";#N/A,#N/A,FALSE,"DIVIDENDOS";#N/A,#N/A,FALSE,"OTROS ING. DE OP.";#N/A,#N/A,FALSE,"GASTOS DE PERSONAL";#N/A,#N/A,FALSE,"RENTAS";#N/A,#N/A,FALSE,"OTROS GASTOS";#N/A,#N/A,FALSE,"DEP. Y AMO.";#N/A,#N/A,FALSE,"OTROS PROD."}</definedName>
    <definedName name="cd_1_1_2" hidden="1">{#N/A,#N/A,FALSE,"EDO. DE RESULTADOS";#N/A,#N/A,FALSE,"CAMBIOS";#N/A,#N/A,FALSE,"COM - VTA";#N/A,#N/A,FALSE,"DIVIDENDOS";#N/A,#N/A,FALSE,"OTROS ING. DE OP.";#N/A,#N/A,FALSE,"GASTOS DE PERSONAL";#N/A,#N/A,FALSE,"RENTAS";#N/A,#N/A,FALSE,"OTROS GASTOS";#N/A,#N/A,FALSE,"DEP. Y AMO.";#N/A,#N/A,FALSE,"OTROS PROD."}</definedName>
    <definedName name="cd_1_2" hidden="1">{#N/A,#N/A,FALSE,"EDO. DE RESULTADOS";#N/A,#N/A,FALSE,"CAMBIOS";#N/A,#N/A,FALSE,"COM - VTA";#N/A,#N/A,FALSE,"DIVIDENDOS";#N/A,#N/A,FALSE,"OTROS ING. DE OP.";#N/A,#N/A,FALSE,"GASTOS DE PERSONAL";#N/A,#N/A,FALSE,"RENTAS";#N/A,#N/A,FALSE,"OTROS GASTOS";#N/A,#N/A,FALSE,"DEP. Y AMO.";#N/A,#N/A,FALSE,"OTROS PROD."}</definedName>
    <definedName name="cd_1_3" hidden="1">{#N/A,#N/A,FALSE,"EDO. DE RESULTADOS";#N/A,#N/A,FALSE,"CAMBIOS";#N/A,#N/A,FALSE,"COM - VTA";#N/A,#N/A,FALSE,"DIVIDENDOS";#N/A,#N/A,FALSE,"OTROS ING. DE OP.";#N/A,#N/A,FALSE,"GASTOS DE PERSONAL";#N/A,#N/A,FALSE,"RENTAS";#N/A,#N/A,FALSE,"OTROS GASTOS";#N/A,#N/A,FALSE,"DEP. Y AMO.";#N/A,#N/A,FALSE,"OTROS PROD."}</definedName>
    <definedName name="cd_2" hidden="1">{#N/A,#N/A,FALSE,"EDO. DE RESULTADOS";#N/A,#N/A,FALSE,"CAMBIOS";#N/A,#N/A,FALSE,"COM - VTA";#N/A,#N/A,FALSE,"DIVIDENDOS";#N/A,#N/A,FALSE,"OTROS ING. DE OP.";#N/A,#N/A,FALSE,"GASTOS DE PERSONAL";#N/A,#N/A,FALSE,"RENTAS";#N/A,#N/A,FALSE,"OTROS GASTOS";#N/A,#N/A,FALSE,"DEP. Y AMO.";#N/A,#N/A,FALSE,"OTROS PROD."}</definedName>
    <definedName name="cd_2_1" hidden="1">{#N/A,#N/A,FALSE,"EDO. DE RESULTADOS";#N/A,#N/A,FALSE,"CAMBIOS";#N/A,#N/A,FALSE,"COM - VTA";#N/A,#N/A,FALSE,"DIVIDENDOS";#N/A,#N/A,FALSE,"OTROS ING. DE OP.";#N/A,#N/A,FALSE,"GASTOS DE PERSONAL";#N/A,#N/A,FALSE,"RENTAS";#N/A,#N/A,FALSE,"OTROS GASTOS";#N/A,#N/A,FALSE,"DEP. Y AMO.";#N/A,#N/A,FALSE,"OTROS PROD."}</definedName>
    <definedName name="cd_2_2" hidden="1">{#N/A,#N/A,FALSE,"EDO. DE RESULTADOS";#N/A,#N/A,FALSE,"CAMBIOS";#N/A,#N/A,FALSE,"COM - VTA";#N/A,#N/A,FALSE,"DIVIDENDOS";#N/A,#N/A,FALSE,"OTROS ING. DE OP.";#N/A,#N/A,FALSE,"GASTOS DE PERSONAL";#N/A,#N/A,FALSE,"RENTAS";#N/A,#N/A,FALSE,"OTROS GASTOS";#N/A,#N/A,FALSE,"DEP. Y AMO.";#N/A,#N/A,FALSE,"OTROS PROD."}</definedName>
    <definedName name="cd_3" hidden="1">{#N/A,#N/A,FALSE,"EDO. DE RESULTADOS";#N/A,#N/A,FALSE,"CAMBIOS";#N/A,#N/A,FALSE,"COM - VTA";#N/A,#N/A,FALSE,"DIVIDENDOS";#N/A,#N/A,FALSE,"OTROS ING. DE OP.";#N/A,#N/A,FALSE,"GASTOS DE PERSONAL";#N/A,#N/A,FALSE,"RENTAS";#N/A,#N/A,FALSE,"OTROS GASTOS";#N/A,#N/A,FALSE,"DEP. Y AMO.";#N/A,#N/A,FALSE,"OTROS PROD."}</definedName>
    <definedName name="cd_4" hidden="1">{#N/A,#N/A,FALSE,"EDO. DE RESULTADOS";#N/A,#N/A,FALSE,"CAMBIOS";#N/A,#N/A,FALSE,"COM - VTA";#N/A,#N/A,FALSE,"DIVIDENDOS";#N/A,#N/A,FALSE,"OTROS ING. DE OP.";#N/A,#N/A,FALSE,"GASTOS DE PERSONAL";#N/A,#N/A,FALSE,"RENTAS";#N/A,#N/A,FALSE,"OTROS GASTOS";#N/A,#N/A,FALSE,"DEP. Y AMO.";#N/A,#N/A,FALSE,"OTROS PROD."}</definedName>
    <definedName name="church" localSheetId="2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20"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5"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2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7"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2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localSheetId="16"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2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2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_4"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0"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5"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7"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2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localSheetId="16"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2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2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1_4"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DD">#REF!</definedName>
    <definedName name="ddddddddddddddd">#REF!</definedName>
    <definedName name="ddede" hidden="1">{#N/A,#N/A,FALSE,"OBLIG.S-CAPITAL"}</definedName>
    <definedName name="ddede_1" hidden="1">{#N/A,#N/A,FALSE,"OBLIG.S-CAPITAL"}</definedName>
    <definedName name="ddede_1_1" hidden="1">{#N/A,#N/A,FALSE,"OBLIG.S-CAPITAL"}</definedName>
    <definedName name="ddede_1_1_1" hidden="1">{#N/A,#N/A,FALSE,"OBLIG.S-CAPITAL"}</definedName>
    <definedName name="ddede_1_1_2" hidden="1">{#N/A,#N/A,FALSE,"OBLIG.S-CAPITAL"}</definedName>
    <definedName name="ddede_1_2" hidden="1">{#N/A,#N/A,FALSE,"OBLIG.S-CAPITAL"}</definedName>
    <definedName name="ddede_1_3" hidden="1">{#N/A,#N/A,FALSE,"OBLIG.S-CAPITAL"}</definedName>
    <definedName name="ddede_2" hidden="1">{#N/A,#N/A,FALSE,"OBLIG.S-CAPITAL"}</definedName>
    <definedName name="ddede_2_1" hidden="1">{#N/A,#N/A,FALSE,"OBLIG.S-CAPITAL"}</definedName>
    <definedName name="ddede_2_2" hidden="1">{#N/A,#N/A,FALSE,"OBLIG.S-CAPITAL"}</definedName>
    <definedName name="ddede_3" hidden="1">{#N/A,#N/A,FALSE,"OBLIG.S-CAPITAL"}</definedName>
    <definedName name="ddede_4" hidden="1">{#N/A,#N/A,FALSE,"OBLIG.S-CAPITAL"}</definedName>
    <definedName name="ddfaffd" localSheetId="3" hidden="1">#REF!</definedName>
    <definedName name="ddfaffd" localSheetId="13" hidden="1">#REF!</definedName>
    <definedName name="ddfaffd" localSheetId="14" hidden="1">#REF!</definedName>
    <definedName name="ddfaffd" localSheetId="22" hidden="1">#REF!</definedName>
    <definedName name="ddfaffd" localSheetId="23" hidden="1">#REF!</definedName>
    <definedName name="ddfaffd" localSheetId="16" hidden="1">#REF!</definedName>
    <definedName name="ddfaffd" hidden="1">#REF!</definedName>
    <definedName name="dññd" localSheetId="3" hidden="1">#REF!</definedName>
    <definedName name="dññd" localSheetId="13" hidden="1">#REF!</definedName>
    <definedName name="dññd" localSheetId="14" hidden="1">#REF!</definedName>
    <definedName name="dññd" localSheetId="22" hidden="1">#REF!</definedName>
    <definedName name="dññd" localSheetId="23" hidden="1">#REF!</definedName>
    <definedName name="dññd" localSheetId="16" hidden="1">#REF!</definedName>
    <definedName name="dññd" hidden="1">#REF!</definedName>
    <definedName name="e" hidden="1">{#N/A,#N/A,FALSE,"SUBSIDIARIAS"}</definedName>
    <definedName name="e_1" hidden="1">{#N/A,#N/A,FALSE,"SUBSIDIARIAS"}</definedName>
    <definedName name="e_1_1" hidden="1">{#N/A,#N/A,FALSE,"SUBSIDIARIAS"}</definedName>
    <definedName name="e_1_1_1" hidden="1">{#N/A,#N/A,FALSE,"SUBSIDIARIAS"}</definedName>
    <definedName name="e_1_1_2" hidden="1">{#N/A,#N/A,FALSE,"SUBSIDIARIAS"}</definedName>
    <definedName name="e_1_2" hidden="1">{#N/A,#N/A,FALSE,"SUBSIDIARIAS"}</definedName>
    <definedName name="e_1_3" hidden="1">{#N/A,#N/A,FALSE,"SUBSIDIARIAS"}</definedName>
    <definedName name="e_2" hidden="1">{#N/A,#N/A,FALSE,"SUBSIDIARIAS"}</definedName>
    <definedName name="e_2_1" hidden="1">{#N/A,#N/A,FALSE,"SUBSIDIARIAS"}</definedName>
    <definedName name="e_2_2" hidden="1">{#N/A,#N/A,FALSE,"SUBSIDIARIAS"}</definedName>
    <definedName name="e_3" hidden="1">{#N/A,#N/A,FALSE,"SUBSIDIARIAS"}</definedName>
    <definedName name="e_4" hidden="1">{#N/A,#N/A,FALSE,"SUBSIDIARIAS"}</definedName>
    <definedName name="edo_res" hidden="1">{#N/A,#N/A,FALSE,"ING. EXT."}</definedName>
    <definedName name="edo_res_1" hidden="1">{#N/A,#N/A,FALSE,"ING. EXT."}</definedName>
    <definedName name="edo_res_1_1" hidden="1">{#N/A,#N/A,FALSE,"ING. EXT."}</definedName>
    <definedName name="edo_res_1_1_1" hidden="1">{#N/A,#N/A,FALSE,"ING. EXT."}</definedName>
    <definedName name="edo_res_1_1_2" hidden="1">{#N/A,#N/A,FALSE,"ING. EXT."}</definedName>
    <definedName name="edo_res_1_2" hidden="1">{#N/A,#N/A,FALSE,"ING. EXT."}</definedName>
    <definedName name="edo_res_1_3" hidden="1">{#N/A,#N/A,FALSE,"ING. EXT."}</definedName>
    <definedName name="edo_res_2" hidden="1">{#N/A,#N/A,FALSE,"ING. EXT."}</definedName>
    <definedName name="edo_res_2_1" hidden="1">{#N/A,#N/A,FALSE,"ING. EXT."}</definedName>
    <definedName name="edo_res_2_2" hidden="1">{#N/A,#N/A,FALSE,"ING. EXT."}</definedName>
    <definedName name="edo_res_3" hidden="1">{#N/A,#N/A,FALSE,"ING. EXT."}</definedName>
    <definedName name="edo_res_4" hidden="1">{#N/A,#N/A,FALSE,"ING. EXT."}</definedName>
    <definedName name="ENE" hidden="1">#N/A</definedName>
    <definedName name="FILL" localSheetId="3" hidden="1">#REF!</definedName>
    <definedName name="FILL" localSheetId="13" hidden="1">#REF!</definedName>
    <definedName name="FILL" localSheetId="14" hidden="1">#REF!</definedName>
    <definedName name="FILL" localSheetId="22" hidden="1">#REF!</definedName>
    <definedName name="FILL" localSheetId="23" hidden="1">#REF!</definedName>
    <definedName name="FILL" localSheetId="16" hidden="1">#REF!</definedName>
    <definedName name="FILL" hidden="1">#REF!</definedName>
    <definedName name="Gpo_gstos" hidden="1">{#N/A,#N/A,FALSE,"SUBSIDIARIAS"}</definedName>
    <definedName name="Gpo_gstos_1" hidden="1">{#N/A,#N/A,FALSE,"SUBSIDIARIAS"}</definedName>
    <definedName name="Gpo_gstos_1_1" hidden="1">{#N/A,#N/A,FALSE,"SUBSIDIARIAS"}</definedName>
    <definedName name="Gpo_gstos_1_1_1" hidden="1">{#N/A,#N/A,FALSE,"SUBSIDIARIAS"}</definedName>
    <definedName name="Gpo_gstos_1_1_2" hidden="1">{#N/A,#N/A,FALSE,"SUBSIDIARIAS"}</definedName>
    <definedName name="Gpo_gstos_1_2" hidden="1">{#N/A,#N/A,FALSE,"SUBSIDIARIAS"}</definedName>
    <definedName name="Gpo_gstos_1_3" hidden="1">{#N/A,#N/A,FALSE,"SUBSIDIARIAS"}</definedName>
    <definedName name="Gpo_gstos_2" hidden="1">{#N/A,#N/A,FALSE,"SUBSIDIARIAS"}</definedName>
    <definedName name="Gpo_gstos_2_1" hidden="1">{#N/A,#N/A,FALSE,"SUBSIDIARIAS"}</definedName>
    <definedName name="Gpo_gstos_2_2" hidden="1">{#N/A,#N/A,FALSE,"SUBSIDIARIAS"}</definedName>
    <definedName name="Gpo_gstos_3" hidden="1">{#N/A,#N/A,FALSE,"SUBSIDIARIAS"}</definedName>
    <definedName name="Gpo_gstos_4" hidden="1">{#N/A,#N/A,FALSE,"SUBSIDIARIAS"}</definedName>
    <definedName name="h" hidden="1">{#N/A,#N/A,FALSE,"ING. EXT."}</definedName>
    <definedName name="h_1" hidden="1">{#N/A,#N/A,FALSE,"ING. EXT."}</definedName>
    <definedName name="h_1_1" hidden="1">{#N/A,#N/A,FALSE,"ING. EXT."}</definedName>
    <definedName name="h_1_1_1" hidden="1">{#N/A,#N/A,FALSE,"ING. EXT."}</definedName>
    <definedName name="h_1_1_2" hidden="1">{#N/A,#N/A,FALSE,"ING. EXT."}</definedName>
    <definedName name="h_1_2" hidden="1">{#N/A,#N/A,FALSE,"ING. EXT."}</definedName>
    <definedName name="h_1_3" hidden="1">{#N/A,#N/A,FALSE,"ING. EXT."}</definedName>
    <definedName name="h_2" hidden="1">{#N/A,#N/A,FALSE,"ING. EXT."}</definedName>
    <definedName name="h_2_1" hidden="1">{#N/A,#N/A,FALSE,"ING. EXT."}</definedName>
    <definedName name="h_2_2" hidden="1">{#N/A,#N/A,FALSE,"ING. EXT."}</definedName>
    <definedName name="h_3" hidden="1">{#N/A,#N/A,FALSE,"ING. EXT."}</definedName>
    <definedName name="h_4" hidden="1">{#N/A,#N/A,FALSE,"ING. EXT."}</definedName>
    <definedName name="HHH" localSheetId="3" hidden="1">[9]Total!#REF!</definedName>
    <definedName name="HHH" localSheetId="13" hidden="1">[9]Total!#REF!</definedName>
    <definedName name="HHH" localSheetId="14" hidden="1">[9]Total!#REF!</definedName>
    <definedName name="HHH" localSheetId="22" hidden="1">[9]Total!#REF!</definedName>
    <definedName name="HHH" localSheetId="23" hidden="1">[9]Total!#REF!</definedName>
    <definedName name="HHH" localSheetId="16" hidden="1">[9]Total!#REF!</definedName>
    <definedName name="HHH" hidden="1">[9]Total!#REF!</definedName>
    <definedName name="HHHH" hidden="1">{#N/A,#N/A,FALSE,"SUBSIDIARIAS"}</definedName>
    <definedName name="HHHH_1" hidden="1">{#N/A,#N/A,FALSE,"SUBSIDIARIAS"}</definedName>
    <definedName name="HHHH_1_1" hidden="1">{#N/A,#N/A,FALSE,"SUBSIDIARIAS"}</definedName>
    <definedName name="HHHH_1_1_1" hidden="1">{#N/A,#N/A,FALSE,"SUBSIDIARIAS"}</definedName>
    <definedName name="HHHH_1_1_2" hidden="1">{#N/A,#N/A,FALSE,"SUBSIDIARIAS"}</definedName>
    <definedName name="HHHH_1_2" hidden="1">{#N/A,#N/A,FALSE,"SUBSIDIARIAS"}</definedName>
    <definedName name="HHHH_1_3" hidden="1">{#N/A,#N/A,FALSE,"SUBSIDIARIAS"}</definedName>
    <definedName name="HHHH_2" hidden="1">{#N/A,#N/A,FALSE,"SUBSIDIARIAS"}</definedName>
    <definedName name="HHHH_2_1" hidden="1">{#N/A,#N/A,FALSE,"SUBSIDIARIAS"}</definedName>
    <definedName name="HHHH_2_2" hidden="1">{#N/A,#N/A,FALSE,"SUBSIDIARIAS"}</definedName>
    <definedName name="HHHH_3" hidden="1">{#N/A,#N/A,FALSE,"SUBSIDIARIAS"}</definedName>
    <definedName name="HHHH_4" hidden="1">{#N/A,#N/A,FALSE,"SUBSIDIARIAS"}</definedName>
    <definedName name="HJSDJASD" localSheetId="7" hidden="1">[10]DepMix!#REF!</definedName>
    <definedName name="HJSDJASD" localSheetId="21" hidden="1">[11]DepMix!#REF!</definedName>
    <definedName name="HJSDJASD" localSheetId="8" hidden="1">[10]DepMix!#REF!</definedName>
    <definedName name="HJSDJASD" localSheetId="3" hidden="1">[10]DepMix!#REF!</definedName>
    <definedName name="HJSDJASD" localSheetId="13" hidden="1">[10]DepMix!#REF!</definedName>
    <definedName name="HJSDJASD" localSheetId="9" hidden="1">[10]DepMix!#REF!</definedName>
    <definedName name="HJSDJASD" localSheetId="10" hidden="1">[10]DepMix!#REF!</definedName>
    <definedName name="HJSDJASD" localSheetId="14" hidden="1">[10]DepMix!#REF!</definedName>
    <definedName name="HJSDJASD" localSheetId="2" hidden="1">[10]DepMix!#REF!</definedName>
    <definedName name="HJSDJASD" localSheetId="20" hidden="1">[12]DepMix!#REF!</definedName>
    <definedName name="HJSDJASD" localSheetId="15" hidden="1">[11]DepMix!#REF!</definedName>
    <definedName name="HJSDJASD" localSheetId="4" hidden="1">[10]DepMix!#REF!</definedName>
    <definedName name="HJSDJASD" localSheetId="1" hidden="1">[12]DepMix!#REF!</definedName>
    <definedName name="HJSDJASD" localSheetId="22" hidden="1">[13]DepMix!#REF!</definedName>
    <definedName name="HJSDJASD" localSheetId="5" hidden="1">[10]DepMix!#REF!</definedName>
    <definedName name="HJSDJASD" localSheetId="17" hidden="1">[11]DepMix!#REF!</definedName>
    <definedName name="HJSDJASD" localSheetId="11" hidden="1">[10]DepMix!#REF!</definedName>
    <definedName name="HJSDJASD" localSheetId="23" hidden="1">[13]DepMix!#REF!</definedName>
    <definedName name="HJSDJASD" localSheetId="12" hidden="1">[10]DepMix!#REF!</definedName>
    <definedName name="HJSDJASD" localSheetId="16" hidden="1">[11]DepMix!#REF!</definedName>
    <definedName name="HJSDJASD" localSheetId="6" hidden="1">[10]DepMix!#REF!</definedName>
    <definedName name="HJSDJASD" hidden="1">[10]DepMix!#REF!</definedName>
    <definedName name="HTML_CodePage" hidden="1">1252</definedName>
    <definedName name="HTML_Control" hidden="1">{"'REVALORA'!$B$3:$K$72"}</definedName>
    <definedName name="HTML_Control_1" hidden="1">{"'REVALORA'!$B$3:$K$72"}</definedName>
    <definedName name="HTML_Control_1_1" hidden="1">{"'REVALORA'!$B$3:$K$72"}</definedName>
    <definedName name="HTML_Control_1_1_1" hidden="1">{"'REVALORA'!$B$3:$K$72"}</definedName>
    <definedName name="HTML_Control_1_1_2" hidden="1">{"'REVALORA'!$B$3:$K$72"}</definedName>
    <definedName name="HTML_Control_1_2" hidden="1">{"'REVALORA'!$B$3:$K$72"}</definedName>
    <definedName name="HTML_Control_1_3" hidden="1">{"'REVALORA'!$B$3:$K$72"}</definedName>
    <definedName name="HTML_Control_2" hidden="1">{"'REVALORA'!$B$3:$K$72"}</definedName>
    <definedName name="HTML_Control_2_1" hidden="1">{"'REVALORA'!$B$3:$K$72"}</definedName>
    <definedName name="HTML_Control_2_2" hidden="1">{"'REVALORA'!$B$3:$K$72"}</definedName>
    <definedName name="HTML_Control_3" hidden="1">{"'REVALORA'!$B$3:$K$72"}</definedName>
    <definedName name="HTML_Control_4" hidden="1">{"'REVALORA'!$B$3:$K$72"}</definedName>
    <definedName name="HTML_Description" hidden="1">""</definedName>
    <definedName name="HTML_Email" hidden="1">""</definedName>
    <definedName name="HTML_Header" hidden="1">""</definedName>
    <definedName name="HTML_LastUpdate" hidden="1">"29/11/02"</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"F:\GENERAL\H09099\OCI\REVALORA\espanol\tiposcambiootrasdivisas.html"</definedName>
    <definedName name="HTML_PathTemplate" hidden="1">"F:\GENERAL\H09099\OCI\REVALORA\nuevo\revalora-esp.htm"</definedName>
    <definedName name="HTML_Title" hidden="1">"REVALORA"</definedName>
    <definedName name="i" hidden="1">{#N/A,#N/A,FALSE,"EDO. RES. INT";#N/A,#N/A,FALSE,"EDO. RES. CNB";#N/A,#N/A,FALSE,"EDO. RES. CONT."}</definedName>
    <definedName name="i_1" hidden="1">{#N/A,#N/A,FALSE,"EDO. RES. INT";#N/A,#N/A,FALSE,"EDO. RES. CNB";#N/A,#N/A,FALSE,"EDO. RES. CONT."}</definedName>
    <definedName name="i_1_1" hidden="1">{#N/A,#N/A,FALSE,"EDO. RES. INT";#N/A,#N/A,FALSE,"EDO. RES. CNB";#N/A,#N/A,FALSE,"EDO. RES. CONT."}</definedName>
    <definedName name="i_1_1_1" hidden="1">{#N/A,#N/A,FALSE,"EDO. RES. INT";#N/A,#N/A,FALSE,"EDO. RES. CNB";#N/A,#N/A,FALSE,"EDO. RES. CONT."}</definedName>
    <definedName name="i_1_1_2" hidden="1">{#N/A,#N/A,FALSE,"EDO. RES. INT";#N/A,#N/A,FALSE,"EDO. RES. CNB";#N/A,#N/A,FALSE,"EDO. RES. CONT."}</definedName>
    <definedName name="i_1_2" hidden="1">{#N/A,#N/A,FALSE,"EDO. RES. INT";#N/A,#N/A,FALSE,"EDO. RES. CNB";#N/A,#N/A,FALSE,"EDO. RES. CONT."}</definedName>
    <definedName name="i_1_3" hidden="1">{#N/A,#N/A,FALSE,"EDO. RES. INT";#N/A,#N/A,FALSE,"EDO. RES. CNB";#N/A,#N/A,FALSE,"EDO. RES. CONT."}</definedName>
    <definedName name="i_2" hidden="1">{#N/A,#N/A,FALSE,"EDO. RES. INT";#N/A,#N/A,FALSE,"EDO. RES. CNB";#N/A,#N/A,FALSE,"EDO. RES. CONT."}</definedName>
    <definedName name="i_2_1" hidden="1">{#N/A,#N/A,FALSE,"EDO. RES. INT";#N/A,#N/A,FALSE,"EDO. RES. CNB";#N/A,#N/A,FALSE,"EDO. RES. CONT."}</definedName>
    <definedName name="i_2_2" hidden="1">{#N/A,#N/A,FALSE,"EDO. RES. INT";#N/A,#N/A,FALSE,"EDO. RES. CNB";#N/A,#N/A,FALSE,"EDO. RES. CONT."}</definedName>
    <definedName name="i_3" hidden="1">{#N/A,#N/A,FALSE,"EDO. RES. INT";#N/A,#N/A,FALSE,"EDO. RES. CNB";#N/A,#N/A,FALSE,"EDO. RES. CONT."}</definedName>
    <definedName name="i_4" hidden="1">{#N/A,#N/A,FALSE,"EDO. RES. INT";#N/A,#N/A,FALSE,"EDO. RES. CNB";#N/A,#N/A,FALSE,"EDO. RES. CONT."}</definedName>
    <definedName name="ID" localSheetId="7" hidden="1">"6f44a929-1988-404f-aea6-a320160eca45"</definedName>
    <definedName name="ID" localSheetId="24" hidden="1">"296200bf-55e5-4cc0-87af-809724086599"</definedName>
    <definedName name="ID" localSheetId="21" hidden="1">"3ff5c577-d5f6-4922-9d99-90096cf20ea6"</definedName>
    <definedName name="ID" localSheetId="8" hidden="1">"282679a7-2485-4ac9-9d85-392832428455"</definedName>
    <definedName name="ID" localSheetId="3" hidden="1">"4b9af7d6-6ee3-4636-a177-bb79a8bfb9de"</definedName>
    <definedName name="ID" localSheetId="13" hidden="1">"65da5ed8-eee8-4caa-8a6a-4c774b31c3c6"</definedName>
    <definedName name="ID" localSheetId="9" hidden="1">"715d1a9f-0033-4378-be3b-cd813383a0fe"</definedName>
    <definedName name="ID" localSheetId="10" hidden="1">"59c6e573-eb07-4d6e-897c-51afe12dc620"</definedName>
    <definedName name="ID" localSheetId="14" hidden="1">"bebc5003-c595-4030-a594-3b420b053d8a"</definedName>
    <definedName name="ID" localSheetId="2" hidden="1">"5b3dd14a-63aa-4d21-8fef-5a77980530af"</definedName>
    <definedName name="ID" localSheetId="20" hidden="1">"cc680217-fd49-4440-9024-ba9b58e398b5"</definedName>
    <definedName name="ID" localSheetId="15" hidden="1">"9605d639-deee-4bf6-9268-0e2ebce32e36"</definedName>
    <definedName name="ID" localSheetId="18" hidden="1">"8fc878b3-7b21-4c2d-8d3c-bab7f54a3623"</definedName>
    <definedName name="ID" localSheetId="4" hidden="1">"1e2b91f4-1f6c-459b-8475-86086dc6ba34"</definedName>
    <definedName name="ID" localSheetId="1" hidden="1">"78a5d01b-dd85-4be4-9362-b993a1fbba16"</definedName>
    <definedName name="ID" localSheetId="22" hidden="1">"ca2ddbe3-314c-454f-ba97-da6ad0fafc91"</definedName>
    <definedName name="ID" localSheetId="5" hidden="1">"63d93c22-cd14-43a8-b241-c1049e6cf8cb"</definedName>
    <definedName name="ID" localSheetId="17" hidden="1">"3aa4cb77-e435-4508-8430-899ba110bbd7"</definedName>
    <definedName name="ID" localSheetId="0" hidden="1">"99045f0f-d01e-4dab-a515-213ef1be27e8"</definedName>
    <definedName name="ID" localSheetId="11" hidden="1">"cf418bb1-1a72-453b-96a9-348e705efcb7"</definedName>
    <definedName name="ID" localSheetId="23" hidden="1">"21e8586f-eca7-4a4e-a6d0-255474a1a49c"</definedName>
    <definedName name="ID" localSheetId="12" hidden="1">"dd115e94-57a7-41bb-98b3-0943e28e0311"</definedName>
    <definedName name="ID" localSheetId="16" hidden="1">"d7108cce-9a3b-455b-991a-80d8e411b3a6"</definedName>
    <definedName name="ID" localSheetId="19" hidden="1">"5c06739f-f682-47dc-bdfc-31d335b5e92e"</definedName>
    <definedName name="ID" localSheetId="6" hidden="1">"a8ef6aa1-cb12-417d-8ea6-1c6cff0f36cd"</definedName>
    <definedName name="j" hidden="1">{#N/A,#N/A,FALSE,"EDO. RES. CNB";#N/A,#N/A,FALSE,"TRIMESTRAL"}</definedName>
    <definedName name="j_1" hidden="1">{#N/A,#N/A,FALSE,"EDO. RES. CNB";#N/A,#N/A,FALSE,"TRIMESTRAL"}</definedName>
    <definedName name="j_1_1" hidden="1">{#N/A,#N/A,FALSE,"EDO. RES. CNB";#N/A,#N/A,FALSE,"TRIMESTRAL"}</definedName>
    <definedName name="j_1_1_1" hidden="1">{#N/A,#N/A,FALSE,"EDO. RES. CNB";#N/A,#N/A,FALSE,"TRIMESTRAL"}</definedName>
    <definedName name="j_1_1_2" hidden="1">{#N/A,#N/A,FALSE,"EDO. RES. CNB";#N/A,#N/A,FALSE,"TRIMESTRAL"}</definedName>
    <definedName name="j_1_2" hidden="1">{#N/A,#N/A,FALSE,"EDO. RES. CNB";#N/A,#N/A,FALSE,"TRIMESTRAL"}</definedName>
    <definedName name="j_1_3" hidden="1">{#N/A,#N/A,FALSE,"EDO. RES. CNB";#N/A,#N/A,FALSE,"TRIMESTRAL"}</definedName>
    <definedName name="j_2" hidden="1">{#N/A,#N/A,FALSE,"EDO. RES. CNB";#N/A,#N/A,FALSE,"TRIMESTRAL"}</definedName>
    <definedName name="j_2_1" hidden="1">{#N/A,#N/A,FALSE,"EDO. RES. CNB";#N/A,#N/A,FALSE,"TRIMESTRAL"}</definedName>
    <definedName name="j_2_2" hidden="1">{#N/A,#N/A,FALSE,"EDO. RES. CNB";#N/A,#N/A,FALSE,"TRIMESTRAL"}</definedName>
    <definedName name="j_3" hidden="1">{#N/A,#N/A,FALSE,"EDO. RES. CNB";#N/A,#N/A,FALSE,"TRIMESTRAL"}</definedName>
    <definedName name="j_4" hidden="1">{#N/A,#N/A,FALSE,"EDO. RES. CNB";#N/A,#N/A,FALSE,"TRIMESTRAL"}</definedName>
    <definedName name="k" hidden="1">{#N/A,#N/A,FALSE,"SUBSIDIARIAS"}</definedName>
    <definedName name="k_1" hidden="1">{#N/A,#N/A,FALSE,"SUBSIDIARIAS"}</definedName>
    <definedName name="k_1_1" hidden="1">{#N/A,#N/A,FALSE,"SUBSIDIARIAS"}</definedName>
    <definedName name="k_1_1_1" hidden="1">{#N/A,#N/A,FALSE,"SUBSIDIARIAS"}</definedName>
    <definedName name="k_1_1_2" hidden="1">{#N/A,#N/A,FALSE,"SUBSIDIARIAS"}</definedName>
    <definedName name="k_1_2" hidden="1">{#N/A,#N/A,FALSE,"SUBSIDIARIAS"}</definedName>
    <definedName name="k_1_3" hidden="1">{#N/A,#N/A,FALSE,"SUBSIDIARIAS"}</definedName>
    <definedName name="k_2" hidden="1">{#N/A,#N/A,FALSE,"SUBSIDIARIAS"}</definedName>
    <definedName name="k_2_1" hidden="1">{#N/A,#N/A,FALSE,"SUBSIDIARIAS"}</definedName>
    <definedName name="k_2_2" hidden="1">{#N/A,#N/A,FALSE,"SUBSIDIARIAS"}</definedName>
    <definedName name="k_3" hidden="1">{#N/A,#N/A,FALSE,"SUBSIDIARIAS"}</definedName>
    <definedName name="k_4" hidden="1">{#N/A,#N/A,FALSE,"SUBSIDIARIAS"}</definedName>
    <definedName name="l" hidden="1">{#N/A,#N/A,FALSE,"EDO. RES. INT";#N/A,#N/A,FALSE,"EDO. RES. CNB";#N/A,#N/A,FALSE,"EDO. RES. CONT."}</definedName>
    <definedName name="l_1" hidden="1">{#N/A,#N/A,FALSE,"EDO. RES. INT";#N/A,#N/A,FALSE,"EDO. RES. CNB";#N/A,#N/A,FALSE,"EDO. RES. CONT."}</definedName>
    <definedName name="l_1_1" hidden="1">{#N/A,#N/A,FALSE,"EDO. RES. INT";#N/A,#N/A,FALSE,"EDO. RES. CNB";#N/A,#N/A,FALSE,"EDO. RES. CONT."}</definedName>
    <definedName name="l_1_1_1" hidden="1">{#N/A,#N/A,FALSE,"EDO. RES. INT";#N/A,#N/A,FALSE,"EDO. RES. CNB";#N/A,#N/A,FALSE,"EDO. RES. CONT."}</definedName>
    <definedName name="l_1_1_2" hidden="1">{#N/A,#N/A,FALSE,"EDO. RES. INT";#N/A,#N/A,FALSE,"EDO. RES. CNB";#N/A,#N/A,FALSE,"EDO. RES. CONT."}</definedName>
    <definedName name="l_1_2" hidden="1">{#N/A,#N/A,FALSE,"EDO. RES. INT";#N/A,#N/A,FALSE,"EDO. RES. CNB";#N/A,#N/A,FALSE,"EDO. RES. CONT."}</definedName>
    <definedName name="l_1_3" hidden="1">{#N/A,#N/A,FALSE,"EDO. RES. INT";#N/A,#N/A,FALSE,"EDO. RES. CNB";#N/A,#N/A,FALSE,"EDO. RES. CONT."}</definedName>
    <definedName name="l_2" hidden="1">{#N/A,#N/A,FALSE,"EDO. RES. INT";#N/A,#N/A,FALSE,"EDO. RES. CNB";#N/A,#N/A,FALSE,"EDO. RES. CONT."}</definedName>
    <definedName name="l_2_1" hidden="1">{#N/A,#N/A,FALSE,"EDO. RES. INT";#N/A,#N/A,FALSE,"EDO. RES. CNB";#N/A,#N/A,FALSE,"EDO. RES. CONT."}</definedName>
    <definedName name="l_2_2" hidden="1">{#N/A,#N/A,FALSE,"EDO. RES. INT";#N/A,#N/A,FALSE,"EDO. RES. CNB";#N/A,#N/A,FALSE,"EDO. RES. CONT."}</definedName>
    <definedName name="l_3" hidden="1">{#N/A,#N/A,FALSE,"EDO. RES. INT";#N/A,#N/A,FALSE,"EDO. RES. CNB";#N/A,#N/A,FALSE,"EDO. RES. CONT."}</definedName>
    <definedName name="l_4" hidden="1">{#N/A,#N/A,FALSE,"EDO. RES. INT";#N/A,#N/A,FALSE,"EDO. RES. CNB";#N/A,#N/A,FALSE,"EDO. RES. CONT."}</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vtoaprs4T"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1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2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2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mvtoaprs4T_4"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nose" hidden="1">{#N/A,#N/A,FALSE,"EDO. DE RESULTADOS";#N/A,#N/A,FALSE,"CAMBIOS";#N/A,#N/A,FALSE,"COM - VTA";#N/A,#N/A,FALSE,"DIVIDENDOS";#N/A,#N/A,FALSE,"OTROS ING. DE OP.";#N/A,#N/A,FALSE,"GASTOS DE PERSONAL";#N/A,#N/A,FALSE,"RENTAS";#N/A,#N/A,FALSE,"OTROS GASTOS";#N/A,#N/A,FALSE,"DEP. Y AMO.";#N/A,#N/A,FALSE,"OTROS PROD."}</definedName>
    <definedName name="nose_1" hidden="1">{#N/A,#N/A,FALSE,"EDO. DE RESULTADOS";#N/A,#N/A,FALSE,"CAMBIOS";#N/A,#N/A,FALSE,"COM - VTA";#N/A,#N/A,FALSE,"DIVIDENDOS";#N/A,#N/A,FALSE,"OTROS ING. DE OP.";#N/A,#N/A,FALSE,"GASTOS DE PERSONAL";#N/A,#N/A,FALSE,"RENTAS";#N/A,#N/A,FALSE,"OTROS GASTOS";#N/A,#N/A,FALSE,"DEP. Y AMO.";#N/A,#N/A,FALSE,"OTROS PROD."}</definedName>
    <definedName name="nose_1_1" hidden="1">{#N/A,#N/A,FALSE,"EDO. DE RESULTADOS";#N/A,#N/A,FALSE,"CAMBIOS";#N/A,#N/A,FALSE,"COM - VTA";#N/A,#N/A,FALSE,"DIVIDENDOS";#N/A,#N/A,FALSE,"OTROS ING. DE OP.";#N/A,#N/A,FALSE,"GASTOS DE PERSONAL";#N/A,#N/A,FALSE,"RENTAS";#N/A,#N/A,FALSE,"OTROS GASTOS";#N/A,#N/A,FALSE,"DEP. Y AMO.";#N/A,#N/A,FALSE,"OTROS PROD."}</definedName>
    <definedName name="nose_1_1_1" hidden="1">{#N/A,#N/A,FALSE,"EDO. DE RESULTADOS";#N/A,#N/A,FALSE,"CAMBIOS";#N/A,#N/A,FALSE,"COM - VTA";#N/A,#N/A,FALSE,"DIVIDENDOS";#N/A,#N/A,FALSE,"OTROS ING. DE OP.";#N/A,#N/A,FALSE,"GASTOS DE PERSONAL";#N/A,#N/A,FALSE,"RENTAS";#N/A,#N/A,FALSE,"OTROS GASTOS";#N/A,#N/A,FALSE,"DEP. Y AMO.";#N/A,#N/A,FALSE,"OTROS PROD."}</definedName>
    <definedName name="nose_1_1_2" hidden="1">{#N/A,#N/A,FALSE,"EDO. DE RESULTADOS";#N/A,#N/A,FALSE,"CAMBIOS";#N/A,#N/A,FALSE,"COM - VTA";#N/A,#N/A,FALSE,"DIVIDENDOS";#N/A,#N/A,FALSE,"OTROS ING. DE OP.";#N/A,#N/A,FALSE,"GASTOS DE PERSONAL";#N/A,#N/A,FALSE,"RENTAS";#N/A,#N/A,FALSE,"OTROS GASTOS";#N/A,#N/A,FALSE,"DEP. Y AMO.";#N/A,#N/A,FALSE,"OTROS PROD."}</definedName>
    <definedName name="nose_1_2" hidden="1">{#N/A,#N/A,FALSE,"EDO. DE RESULTADOS";#N/A,#N/A,FALSE,"CAMBIOS";#N/A,#N/A,FALSE,"COM - VTA";#N/A,#N/A,FALSE,"DIVIDENDOS";#N/A,#N/A,FALSE,"OTROS ING. DE OP.";#N/A,#N/A,FALSE,"GASTOS DE PERSONAL";#N/A,#N/A,FALSE,"RENTAS";#N/A,#N/A,FALSE,"OTROS GASTOS";#N/A,#N/A,FALSE,"DEP. Y AMO.";#N/A,#N/A,FALSE,"OTROS PROD."}</definedName>
    <definedName name="nose_1_3" hidden="1">{#N/A,#N/A,FALSE,"EDO. DE RESULTADOS";#N/A,#N/A,FALSE,"CAMBIOS";#N/A,#N/A,FALSE,"COM - VTA";#N/A,#N/A,FALSE,"DIVIDENDOS";#N/A,#N/A,FALSE,"OTROS ING. DE OP.";#N/A,#N/A,FALSE,"GASTOS DE PERSONAL";#N/A,#N/A,FALSE,"RENTAS";#N/A,#N/A,FALSE,"OTROS GASTOS";#N/A,#N/A,FALSE,"DEP. Y AMO.";#N/A,#N/A,FALSE,"OTROS PROD."}</definedName>
    <definedName name="nose_2" hidden="1">{#N/A,#N/A,FALSE,"EDO. DE RESULTADOS";#N/A,#N/A,FALSE,"CAMBIOS";#N/A,#N/A,FALSE,"COM - VTA";#N/A,#N/A,FALSE,"DIVIDENDOS";#N/A,#N/A,FALSE,"OTROS ING. DE OP.";#N/A,#N/A,FALSE,"GASTOS DE PERSONAL";#N/A,#N/A,FALSE,"RENTAS";#N/A,#N/A,FALSE,"OTROS GASTOS";#N/A,#N/A,FALSE,"DEP. Y AMO.";#N/A,#N/A,FALSE,"OTROS PROD."}</definedName>
    <definedName name="nose_2_1" hidden="1">{#N/A,#N/A,FALSE,"EDO. DE RESULTADOS";#N/A,#N/A,FALSE,"CAMBIOS";#N/A,#N/A,FALSE,"COM - VTA";#N/A,#N/A,FALSE,"DIVIDENDOS";#N/A,#N/A,FALSE,"OTROS ING. DE OP.";#N/A,#N/A,FALSE,"GASTOS DE PERSONAL";#N/A,#N/A,FALSE,"RENTAS";#N/A,#N/A,FALSE,"OTROS GASTOS";#N/A,#N/A,FALSE,"DEP. Y AMO.";#N/A,#N/A,FALSE,"OTROS PROD."}</definedName>
    <definedName name="nose_2_2" hidden="1">{#N/A,#N/A,FALSE,"EDO. DE RESULTADOS";#N/A,#N/A,FALSE,"CAMBIOS";#N/A,#N/A,FALSE,"COM - VTA";#N/A,#N/A,FALSE,"DIVIDENDOS";#N/A,#N/A,FALSE,"OTROS ING. DE OP.";#N/A,#N/A,FALSE,"GASTOS DE PERSONAL";#N/A,#N/A,FALSE,"RENTAS";#N/A,#N/A,FALSE,"OTROS GASTOS";#N/A,#N/A,FALSE,"DEP. Y AMO.";#N/A,#N/A,FALSE,"OTROS PROD."}</definedName>
    <definedName name="nose_3" hidden="1">{#N/A,#N/A,FALSE,"EDO. DE RESULTADOS";#N/A,#N/A,FALSE,"CAMBIOS";#N/A,#N/A,FALSE,"COM - VTA";#N/A,#N/A,FALSE,"DIVIDENDOS";#N/A,#N/A,FALSE,"OTROS ING. DE OP.";#N/A,#N/A,FALSE,"GASTOS DE PERSONAL";#N/A,#N/A,FALSE,"RENTAS";#N/A,#N/A,FALSE,"OTROS GASTOS";#N/A,#N/A,FALSE,"DEP. Y AMO.";#N/A,#N/A,FALSE,"OTROS PROD."}</definedName>
    <definedName name="nose_4" hidden="1">{#N/A,#N/A,FALSE,"EDO. DE RESULTADOS";#N/A,#N/A,FALSE,"CAMBIOS";#N/A,#N/A,FALSE,"COM - VTA";#N/A,#N/A,FALSE,"DIVIDENDOS";#N/A,#N/A,FALSE,"OTROS ING. DE OP.";#N/A,#N/A,FALSE,"GASTOS DE PERSONAL";#N/A,#N/A,FALSE,"RENTAS";#N/A,#N/A,FALSE,"OTROS GASTOS";#N/A,#N/A,FALSE,"DEP. Y AMO.";#N/A,#N/A,FALSE,"OTROS PROD."}</definedName>
    <definedName name="pp" hidden="1">{#N/A,#N/A,FALSE,"EDO. RES. INT";#N/A,#N/A,FALSE,"EDO. RES. CNB";#N/A,#N/A,FALSE,"EDO. RES. CONT."}</definedName>
    <definedName name="pp_1" hidden="1">{#N/A,#N/A,FALSE,"EDO. RES. INT";#N/A,#N/A,FALSE,"EDO. RES. CNB";#N/A,#N/A,FALSE,"EDO. RES. CONT."}</definedName>
    <definedName name="pp_1_1" hidden="1">{#N/A,#N/A,FALSE,"EDO. RES. INT";#N/A,#N/A,FALSE,"EDO. RES. CNB";#N/A,#N/A,FALSE,"EDO. RES. CONT."}</definedName>
    <definedName name="pp_1_1_1" hidden="1">{#N/A,#N/A,FALSE,"EDO. RES. INT";#N/A,#N/A,FALSE,"EDO. RES. CNB";#N/A,#N/A,FALSE,"EDO. RES. CONT."}</definedName>
    <definedName name="pp_1_1_2" hidden="1">{#N/A,#N/A,FALSE,"EDO. RES. INT";#N/A,#N/A,FALSE,"EDO. RES. CNB";#N/A,#N/A,FALSE,"EDO. RES. CONT."}</definedName>
    <definedName name="pp_1_2" hidden="1">{#N/A,#N/A,FALSE,"EDO. RES. INT";#N/A,#N/A,FALSE,"EDO. RES. CNB";#N/A,#N/A,FALSE,"EDO. RES. CONT."}</definedName>
    <definedName name="pp_1_3" hidden="1">{#N/A,#N/A,FALSE,"EDO. RES. INT";#N/A,#N/A,FALSE,"EDO. RES. CNB";#N/A,#N/A,FALSE,"EDO. RES. CONT."}</definedName>
    <definedName name="pp_2" hidden="1">{#N/A,#N/A,FALSE,"EDO. RES. INT";#N/A,#N/A,FALSE,"EDO. RES. CNB";#N/A,#N/A,FALSE,"EDO. RES. CONT."}</definedName>
    <definedName name="pp_2_1" hidden="1">{#N/A,#N/A,FALSE,"EDO. RES. INT";#N/A,#N/A,FALSE,"EDO. RES. CNB";#N/A,#N/A,FALSE,"EDO. RES. CONT."}</definedName>
    <definedName name="pp_2_2" hidden="1">{#N/A,#N/A,FALSE,"EDO. RES. INT";#N/A,#N/A,FALSE,"EDO. RES. CNB";#N/A,#N/A,FALSE,"EDO. RES. CONT."}</definedName>
    <definedName name="pp_3" hidden="1">{#N/A,#N/A,FALSE,"EDO. RES. INT";#N/A,#N/A,FALSE,"EDO. RES. CNB";#N/A,#N/A,FALSE,"EDO. RES. CONT."}</definedName>
    <definedName name="pp_4" hidden="1">{#N/A,#N/A,FALSE,"EDO. RES. INT";#N/A,#N/A,FALSE,"EDO. RES. CNB";#N/A,#N/A,FALSE,"EDO. RES. CONT."}</definedName>
    <definedName name="PRico" hidden="1">{"'REVALORA'!$B$3:$K$72"}</definedName>
    <definedName name="PRico_1" hidden="1">{"'REVALORA'!$B$3:$K$72"}</definedName>
    <definedName name="PRico_1_1" hidden="1">{"'REVALORA'!$B$3:$K$72"}</definedName>
    <definedName name="PRico_1_1_1" hidden="1">{"'REVALORA'!$B$3:$K$72"}</definedName>
    <definedName name="PRico_1_1_2" hidden="1">{"'REVALORA'!$B$3:$K$72"}</definedName>
    <definedName name="PRico_1_2" hidden="1">{"'REVALORA'!$B$3:$K$72"}</definedName>
    <definedName name="PRico_1_3" hidden="1">{"'REVALORA'!$B$3:$K$72"}</definedName>
    <definedName name="PRico_2" hidden="1">{"'REVALORA'!$B$3:$K$72"}</definedName>
    <definedName name="PRico_2_1" hidden="1">{"'REVALORA'!$B$3:$K$72"}</definedName>
    <definedName name="PRico_2_2" hidden="1">{"'REVALORA'!$B$3:$K$72"}</definedName>
    <definedName name="PRico_3" hidden="1">{"'REVALORA'!$B$3:$K$72"}</definedName>
    <definedName name="PRico_4" hidden="1">{"'REVALORA'!$B$3:$K$72"}</definedName>
    <definedName name="san" hidden="1">{#N/A,#N/A,FALSE,"SUBSIDIARIAS"}</definedName>
    <definedName name="san_1" hidden="1">{#N/A,#N/A,FALSE,"SUBSIDIARIAS"}</definedName>
    <definedName name="san_1_1" hidden="1">{#N/A,#N/A,FALSE,"SUBSIDIARIAS"}</definedName>
    <definedName name="san_1_1_1" hidden="1">{#N/A,#N/A,FALSE,"SUBSIDIARIAS"}</definedName>
    <definedName name="san_1_1_2" hidden="1">{#N/A,#N/A,FALSE,"SUBSIDIARIAS"}</definedName>
    <definedName name="san_1_2" hidden="1">{#N/A,#N/A,FALSE,"SUBSIDIARIAS"}</definedName>
    <definedName name="san_1_3" hidden="1">{#N/A,#N/A,FALSE,"SUBSIDIARIAS"}</definedName>
    <definedName name="san_2" hidden="1">{#N/A,#N/A,FALSE,"SUBSIDIARIAS"}</definedName>
    <definedName name="san_2_1" hidden="1">{#N/A,#N/A,FALSE,"SUBSIDIARIAS"}</definedName>
    <definedName name="san_2_2" hidden="1">{#N/A,#N/A,FALSE,"SUBSIDIARIAS"}</definedName>
    <definedName name="san_3" hidden="1">{#N/A,#N/A,FALSE,"SUBSIDIARIAS"}</definedName>
    <definedName name="san_4" hidden="1">{#N/A,#N/A,FALSE,"SUBSIDIARIAS"}</definedName>
    <definedName name="SDSD" hidden="1">#N/A</definedName>
    <definedName name="ser" hidden="1">#N/A</definedName>
    <definedName name="serfgy" hidden="1">#N/A</definedName>
    <definedName name="serft" hidden="1">#N/A</definedName>
    <definedName name="ss" hidden="1">{#N/A,#N/A,FALSE,"EDO. DE RESULTADOS";#N/A,#N/A,FALSE,"CAMBIOS";#N/A,#N/A,FALSE,"COM - VTA";#N/A,#N/A,FALSE,"DIVIDENDOS";#N/A,#N/A,FALSE,"OTROS ING. DE OP.";#N/A,#N/A,FALSE,"GASTOS DE PERSONAL";#N/A,#N/A,FALSE,"RENTAS";#N/A,#N/A,FALSE,"OTROS GASTOS";#N/A,#N/A,FALSE,"DEP. Y AMO.";#N/A,#N/A,FALSE,"OTROS PROD."}</definedName>
    <definedName name="ss_1" hidden="1">{#N/A,#N/A,FALSE,"EDO. DE RESULTADOS";#N/A,#N/A,FALSE,"CAMBIOS";#N/A,#N/A,FALSE,"COM - VTA";#N/A,#N/A,FALSE,"DIVIDENDOS";#N/A,#N/A,FALSE,"OTROS ING. DE OP.";#N/A,#N/A,FALSE,"GASTOS DE PERSONAL";#N/A,#N/A,FALSE,"RENTAS";#N/A,#N/A,FALSE,"OTROS GASTOS";#N/A,#N/A,FALSE,"DEP. Y AMO.";#N/A,#N/A,FALSE,"OTROS PROD."}</definedName>
    <definedName name="ss_1_1" hidden="1">{#N/A,#N/A,FALSE,"EDO. DE RESULTADOS";#N/A,#N/A,FALSE,"CAMBIOS";#N/A,#N/A,FALSE,"COM - VTA";#N/A,#N/A,FALSE,"DIVIDENDOS";#N/A,#N/A,FALSE,"OTROS ING. DE OP.";#N/A,#N/A,FALSE,"GASTOS DE PERSONAL";#N/A,#N/A,FALSE,"RENTAS";#N/A,#N/A,FALSE,"OTROS GASTOS";#N/A,#N/A,FALSE,"DEP. Y AMO.";#N/A,#N/A,FALSE,"OTROS PROD."}</definedName>
    <definedName name="ss_1_1_1" hidden="1">{#N/A,#N/A,FALSE,"EDO. DE RESULTADOS";#N/A,#N/A,FALSE,"CAMBIOS";#N/A,#N/A,FALSE,"COM - VTA";#N/A,#N/A,FALSE,"DIVIDENDOS";#N/A,#N/A,FALSE,"OTROS ING. DE OP.";#N/A,#N/A,FALSE,"GASTOS DE PERSONAL";#N/A,#N/A,FALSE,"RENTAS";#N/A,#N/A,FALSE,"OTROS GASTOS";#N/A,#N/A,FALSE,"DEP. Y AMO.";#N/A,#N/A,FALSE,"OTROS PROD."}</definedName>
    <definedName name="ss_1_1_2" hidden="1">{#N/A,#N/A,FALSE,"EDO. DE RESULTADOS";#N/A,#N/A,FALSE,"CAMBIOS";#N/A,#N/A,FALSE,"COM - VTA";#N/A,#N/A,FALSE,"DIVIDENDOS";#N/A,#N/A,FALSE,"OTROS ING. DE OP.";#N/A,#N/A,FALSE,"GASTOS DE PERSONAL";#N/A,#N/A,FALSE,"RENTAS";#N/A,#N/A,FALSE,"OTROS GASTOS";#N/A,#N/A,FALSE,"DEP. Y AMO.";#N/A,#N/A,FALSE,"OTROS PROD."}</definedName>
    <definedName name="ss_1_2" hidden="1">{#N/A,#N/A,FALSE,"EDO. DE RESULTADOS";#N/A,#N/A,FALSE,"CAMBIOS";#N/A,#N/A,FALSE,"COM - VTA";#N/A,#N/A,FALSE,"DIVIDENDOS";#N/A,#N/A,FALSE,"OTROS ING. DE OP.";#N/A,#N/A,FALSE,"GASTOS DE PERSONAL";#N/A,#N/A,FALSE,"RENTAS";#N/A,#N/A,FALSE,"OTROS GASTOS";#N/A,#N/A,FALSE,"DEP. Y AMO.";#N/A,#N/A,FALSE,"OTROS PROD."}</definedName>
    <definedName name="ss_1_3" hidden="1">{#N/A,#N/A,FALSE,"EDO. DE RESULTADOS";#N/A,#N/A,FALSE,"CAMBIOS";#N/A,#N/A,FALSE,"COM - VTA";#N/A,#N/A,FALSE,"DIVIDENDOS";#N/A,#N/A,FALSE,"OTROS ING. DE OP.";#N/A,#N/A,FALSE,"GASTOS DE PERSONAL";#N/A,#N/A,FALSE,"RENTAS";#N/A,#N/A,FALSE,"OTROS GASTOS";#N/A,#N/A,FALSE,"DEP. Y AMO.";#N/A,#N/A,FALSE,"OTROS PROD."}</definedName>
    <definedName name="ss_2" hidden="1">{#N/A,#N/A,FALSE,"EDO. DE RESULTADOS";#N/A,#N/A,FALSE,"CAMBIOS";#N/A,#N/A,FALSE,"COM - VTA";#N/A,#N/A,FALSE,"DIVIDENDOS";#N/A,#N/A,FALSE,"OTROS ING. DE OP.";#N/A,#N/A,FALSE,"GASTOS DE PERSONAL";#N/A,#N/A,FALSE,"RENTAS";#N/A,#N/A,FALSE,"OTROS GASTOS";#N/A,#N/A,FALSE,"DEP. Y AMO.";#N/A,#N/A,FALSE,"OTROS PROD."}</definedName>
    <definedName name="ss_2_1" hidden="1">{#N/A,#N/A,FALSE,"EDO. DE RESULTADOS";#N/A,#N/A,FALSE,"CAMBIOS";#N/A,#N/A,FALSE,"COM - VTA";#N/A,#N/A,FALSE,"DIVIDENDOS";#N/A,#N/A,FALSE,"OTROS ING. DE OP.";#N/A,#N/A,FALSE,"GASTOS DE PERSONAL";#N/A,#N/A,FALSE,"RENTAS";#N/A,#N/A,FALSE,"OTROS GASTOS";#N/A,#N/A,FALSE,"DEP. Y AMO.";#N/A,#N/A,FALSE,"OTROS PROD."}</definedName>
    <definedName name="ss_2_2" hidden="1">{#N/A,#N/A,FALSE,"EDO. DE RESULTADOS";#N/A,#N/A,FALSE,"CAMBIOS";#N/A,#N/A,FALSE,"COM - VTA";#N/A,#N/A,FALSE,"DIVIDENDOS";#N/A,#N/A,FALSE,"OTROS ING. DE OP.";#N/A,#N/A,FALSE,"GASTOS DE PERSONAL";#N/A,#N/A,FALSE,"RENTAS";#N/A,#N/A,FALSE,"OTROS GASTOS";#N/A,#N/A,FALSE,"DEP. Y AMO.";#N/A,#N/A,FALSE,"OTROS PROD."}</definedName>
    <definedName name="ss_3" hidden="1">{#N/A,#N/A,FALSE,"EDO. DE RESULTADOS";#N/A,#N/A,FALSE,"CAMBIOS";#N/A,#N/A,FALSE,"COM - VTA";#N/A,#N/A,FALSE,"DIVIDENDOS";#N/A,#N/A,FALSE,"OTROS ING. DE OP.";#N/A,#N/A,FALSE,"GASTOS DE PERSONAL";#N/A,#N/A,FALSE,"RENTAS";#N/A,#N/A,FALSE,"OTROS GASTOS";#N/A,#N/A,FALSE,"DEP. Y AMO.";#N/A,#N/A,FALSE,"OTROS PROD."}</definedName>
    <definedName name="ss_4" hidden="1">{#N/A,#N/A,FALSE,"EDO. DE RESULTADOS";#N/A,#N/A,FALSE,"CAMBIOS";#N/A,#N/A,FALSE,"COM - VTA";#N/A,#N/A,FALSE,"DIVIDENDOS";#N/A,#N/A,FALSE,"OTROS ING. DE OP.";#N/A,#N/A,FALSE,"GASTOS DE PERSONAL";#N/A,#N/A,FALSE,"RENTAS";#N/A,#N/A,FALSE,"OTROS GASTOS";#N/A,#N/A,FALSE,"DEP. Y AMO.";#N/A,#N/A,FALSE,"OTROS PROD."}</definedName>
    <definedName name="sun" hidden="1">{#N/A,#N/A,FALSE,"SUBSIDIARIAS"}</definedName>
    <definedName name="sun_1" hidden="1">{#N/A,#N/A,FALSE,"SUBSIDIARIAS"}</definedName>
    <definedName name="sun_1_1" hidden="1">{#N/A,#N/A,FALSE,"SUBSIDIARIAS"}</definedName>
    <definedName name="sun_1_1_1" hidden="1">{#N/A,#N/A,FALSE,"SUBSIDIARIAS"}</definedName>
    <definedName name="sun_1_1_2" hidden="1">{#N/A,#N/A,FALSE,"SUBSIDIARIAS"}</definedName>
    <definedName name="sun_1_2" hidden="1">{#N/A,#N/A,FALSE,"SUBSIDIARIAS"}</definedName>
    <definedName name="sun_1_3" hidden="1">{#N/A,#N/A,FALSE,"SUBSIDIARIAS"}</definedName>
    <definedName name="sun_2" hidden="1">{#N/A,#N/A,FALSE,"SUBSIDIARIAS"}</definedName>
    <definedName name="sun_2_1" hidden="1">{#N/A,#N/A,FALSE,"SUBSIDIARIAS"}</definedName>
    <definedName name="sun_2_2" hidden="1">{#N/A,#N/A,FALSE,"SUBSIDIARIAS"}</definedName>
    <definedName name="sun_3" hidden="1">{#N/A,#N/A,FALSE,"SUBSIDIARIAS"}</definedName>
    <definedName name="sun_4" hidden="1">{#N/A,#N/A,FALSE,"SUBSIDIARIAS"}</definedName>
    <definedName name="tam" hidden="1">{#N/A,#N/A,FALSE,"OBLIG.S-CAPITAL"}</definedName>
    <definedName name="tam_1" hidden="1">{#N/A,#N/A,FALSE,"OBLIG.S-CAPITAL"}</definedName>
    <definedName name="tam_1_1" hidden="1">{#N/A,#N/A,FALSE,"OBLIG.S-CAPITAL"}</definedName>
    <definedName name="tam_1_1_1" hidden="1">{#N/A,#N/A,FALSE,"OBLIG.S-CAPITAL"}</definedName>
    <definedName name="tam_1_1_2" hidden="1">{#N/A,#N/A,FALSE,"OBLIG.S-CAPITAL"}</definedName>
    <definedName name="tam_1_2" hidden="1">{#N/A,#N/A,FALSE,"OBLIG.S-CAPITAL"}</definedName>
    <definedName name="tam_1_3" hidden="1">{#N/A,#N/A,FALSE,"OBLIG.S-CAPITAL"}</definedName>
    <definedName name="tam_2" hidden="1">{#N/A,#N/A,FALSE,"OBLIG.S-CAPITAL"}</definedName>
    <definedName name="tam_2_1" hidden="1">{#N/A,#N/A,FALSE,"OBLIG.S-CAPITAL"}</definedName>
    <definedName name="tam_2_2" hidden="1">{#N/A,#N/A,FALSE,"OBLIG.S-CAPITAL"}</definedName>
    <definedName name="tam_3" hidden="1">{#N/A,#N/A,FALSE,"OBLIG.S-CAPITAL"}</definedName>
    <definedName name="tam_4" hidden="1">{#N/A,#N/A,FALSE,"OBLIG.S-CAPITAL"}</definedName>
    <definedName name="TextRefCopyRangeCount" hidden="1">34</definedName>
    <definedName name="tm1\\_0_H">"{ ""server"" : ""https://paw-ho-gold.live-03.nextgen.igrupobbva"", ""cube"" : ""{ \""server\"" : \""gold\"", \""cube\"" : \""03 SPG\""}""}"</definedName>
    <definedName name="tm1\\_1_H">"{ ""server"" : ""https://paw-ho-gold.live-03.nextgen.igrupobbva"", ""cube"" : ""{ \""server\"" : \""gold\"", \""cube\"" : \""03 SPG\""}""}"</definedName>
    <definedName name="tm1\\_10_H">"{ ""server"" : ""https://paw-ho-gold.live-03.nextgen.igrupobbva"", ""cube"" : ""{ \""server\"" : \""gold\"", \""cube\"" : \""03 SPG\""}""}"</definedName>
    <definedName name="tm1\\_2_H">"{ ""server"" : ""https://paw-ho-gold.live-03.nextgen.igrupobbva"", ""cube"" : ""{ \""server\"" : \""gold\"", \""cube\"" : \""03 SPG\""}""}"</definedName>
    <definedName name="tm1\\_3_H">"{ ""server"" : ""https://paw-ho-gold.live-03.nextgen.igrupobbva"", ""cube"" : ""{ \""server\"" : \""gold\"", \""cube\"" : \""03 SPG\""}""}"</definedName>
    <definedName name="tm1\\_4_H">"{ ""server"" : ""https://paw-ho-gold.live-03.nextgen.igrupobbva"", ""cube"" : ""{ \""server\"" : \""gold\"", \""cube\"" : \""03 SPG\""}""}"</definedName>
    <definedName name="tm1\\_5_H">"{ ""server"" : ""https://paw-ho-gold.live-03.nextgen.igrupobbva"", ""cube"" : ""{ \""server\"" : \""gold\"", \""cube\"" : \""03 SPG\""}""}"</definedName>
    <definedName name="tm1\\_6_H">"{ ""server"" : ""https://paw-ho-gold.live-03.nextgen.igrupobbva"", ""cube"" : ""{ \""server\"" : \""gold\"", \""cube\"" : \""03 SPG\""}""}"</definedName>
    <definedName name="tm1\\_7_H">"{ ""server"" : ""https://paw-ho-gold.live-03.nextgen.igrupobbva"", ""cube"" : ""{ \""server\"" : \""gold\"", \""cube\"" : \""03 SPG\""}""}"</definedName>
    <definedName name="tm1\\_8_H">"{ ""server"" : ""https://paw-ho-gold.live-03.nextgen.igrupobbva"", ""cube"" : ""{ \""server\"" : \""gold\"", \""cube\"" : \""03 SPG\""}""}"</definedName>
    <definedName name="tt" hidden="1">{#N/A,#N/A,FALSE,"ING. EXT."}</definedName>
    <definedName name="tt_1" hidden="1">{#N/A,#N/A,FALSE,"ING. EXT."}</definedName>
    <definedName name="tt_1_1" hidden="1">{#N/A,#N/A,FALSE,"ING. EXT."}</definedName>
    <definedName name="tt_1_1_1" hidden="1">{#N/A,#N/A,FALSE,"ING. EXT."}</definedName>
    <definedName name="tt_1_1_2" hidden="1">{#N/A,#N/A,FALSE,"ING. EXT."}</definedName>
    <definedName name="tt_1_2" hidden="1">{#N/A,#N/A,FALSE,"ING. EXT."}</definedName>
    <definedName name="tt_1_3" hidden="1">{#N/A,#N/A,FALSE,"ING. EXT."}</definedName>
    <definedName name="tt_2" hidden="1">{#N/A,#N/A,FALSE,"ING. EXT."}</definedName>
    <definedName name="tt_2_1" hidden="1">{#N/A,#N/A,FALSE,"ING. EXT."}</definedName>
    <definedName name="tt_2_2" hidden="1">{#N/A,#N/A,FALSE,"ING. EXT."}</definedName>
    <definedName name="tt_3" hidden="1">{#N/A,#N/A,FALSE,"ING. EXT."}</definedName>
    <definedName name="tt_4" hidden="1">{#N/A,#N/A,FALSE,"ING. EXT."}</definedName>
    <definedName name="uu" hidden="1">{#N/A,#N/A,FALSE,"EDO. RES. INT";#N/A,#N/A,FALSE,"EDO. RES. CNB";#N/A,#N/A,FALSE,"EDO. RES. CONT."}</definedName>
    <definedName name="uu_1" hidden="1">{#N/A,#N/A,FALSE,"EDO. RES. INT";#N/A,#N/A,FALSE,"EDO. RES. CNB";#N/A,#N/A,FALSE,"EDO. RES. CONT."}</definedName>
    <definedName name="uu_1_1" hidden="1">{#N/A,#N/A,FALSE,"EDO. RES. INT";#N/A,#N/A,FALSE,"EDO. RES. CNB";#N/A,#N/A,FALSE,"EDO. RES. CONT."}</definedName>
    <definedName name="uu_1_1_1" hidden="1">{#N/A,#N/A,FALSE,"EDO. RES. INT";#N/A,#N/A,FALSE,"EDO. RES. CNB";#N/A,#N/A,FALSE,"EDO. RES. CONT."}</definedName>
    <definedName name="uu_1_1_2" hidden="1">{#N/A,#N/A,FALSE,"EDO. RES. INT";#N/A,#N/A,FALSE,"EDO. RES. CNB";#N/A,#N/A,FALSE,"EDO. RES. CONT."}</definedName>
    <definedName name="uu_1_2" hidden="1">{#N/A,#N/A,FALSE,"EDO. RES. INT";#N/A,#N/A,FALSE,"EDO. RES. CNB";#N/A,#N/A,FALSE,"EDO. RES. CONT."}</definedName>
    <definedName name="uu_1_3" hidden="1">{#N/A,#N/A,FALSE,"EDO. RES. INT";#N/A,#N/A,FALSE,"EDO. RES. CNB";#N/A,#N/A,FALSE,"EDO. RES. CONT."}</definedName>
    <definedName name="uu_2" hidden="1">{#N/A,#N/A,FALSE,"EDO. RES. INT";#N/A,#N/A,FALSE,"EDO. RES. CNB";#N/A,#N/A,FALSE,"EDO. RES. CONT."}</definedName>
    <definedName name="uu_2_1" hidden="1">{#N/A,#N/A,FALSE,"EDO. RES. INT";#N/A,#N/A,FALSE,"EDO. RES. CNB";#N/A,#N/A,FALSE,"EDO. RES. CONT."}</definedName>
    <definedName name="uu_2_2" hidden="1">{#N/A,#N/A,FALSE,"EDO. RES. INT";#N/A,#N/A,FALSE,"EDO. RES. CNB";#N/A,#N/A,FALSE,"EDO. RES. CONT."}</definedName>
    <definedName name="uu_3" hidden="1">{#N/A,#N/A,FALSE,"EDO. RES. INT";#N/A,#N/A,FALSE,"EDO. RES. CNB";#N/A,#N/A,FALSE,"EDO. RES. CONT."}</definedName>
    <definedName name="uu_4" hidden="1">{#N/A,#N/A,FALSE,"EDO. RES. INT";#N/A,#N/A,FALSE,"EDO. RES. CNB";#N/A,#N/A,FALSE,"EDO. RES. CONT."}</definedName>
    <definedName name="v" hidden="1">{#N/A,#N/A,FALSE,"SUBSIDIARIAS"}</definedName>
    <definedName name="v_1" hidden="1">{#N/A,#N/A,FALSE,"SUBSIDIARIAS"}</definedName>
    <definedName name="v_1_1" hidden="1">{#N/A,#N/A,FALSE,"SUBSIDIARIAS"}</definedName>
    <definedName name="v_1_1_1" hidden="1">{#N/A,#N/A,FALSE,"SUBSIDIARIAS"}</definedName>
    <definedName name="v_1_1_2" hidden="1">{#N/A,#N/A,FALSE,"SUBSIDIARIAS"}</definedName>
    <definedName name="v_1_2" hidden="1">{#N/A,#N/A,FALSE,"SUBSIDIARIAS"}</definedName>
    <definedName name="v_1_3" hidden="1">{#N/A,#N/A,FALSE,"SUBSIDIARIAS"}</definedName>
    <definedName name="v_2" hidden="1">{#N/A,#N/A,FALSE,"SUBSIDIARIAS"}</definedName>
    <definedName name="v_2_1" hidden="1">{#N/A,#N/A,FALSE,"SUBSIDIARIAS"}</definedName>
    <definedName name="v_2_2" hidden="1">{#N/A,#N/A,FALSE,"SUBSIDIARIAS"}</definedName>
    <definedName name="v_3" hidden="1">{#N/A,#N/A,FALSE,"SUBSIDIARIAS"}</definedName>
    <definedName name="v_4" hidden="1">{#N/A,#N/A,FALSE,"SUBSIDIARIAS"}</definedName>
    <definedName name="vv" hidden="1">{#N/A,#N/A,FALSE,"EDO. RES. CNB";#N/A,#N/A,FALSE,"TRIMESTRAL"}</definedName>
    <definedName name="vv_1" hidden="1">{#N/A,#N/A,FALSE,"EDO. RES. CNB";#N/A,#N/A,FALSE,"TRIMESTRAL"}</definedName>
    <definedName name="vv_1_1" hidden="1">{#N/A,#N/A,FALSE,"EDO. RES. CNB";#N/A,#N/A,FALSE,"TRIMESTRAL"}</definedName>
    <definedName name="vv_1_1_1" hidden="1">{#N/A,#N/A,FALSE,"EDO. RES. CNB";#N/A,#N/A,FALSE,"TRIMESTRAL"}</definedName>
    <definedName name="vv_1_1_2" hidden="1">{#N/A,#N/A,FALSE,"EDO. RES. CNB";#N/A,#N/A,FALSE,"TRIMESTRAL"}</definedName>
    <definedName name="vv_1_2" hidden="1">{#N/A,#N/A,FALSE,"EDO. RES. CNB";#N/A,#N/A,FALSE,"TRIMESTRAL"}</definedName>
    <definedName name="vv_1_3" hidden="1">{#N/A,#N/A,FALSE,"EDO. RES. CNB";#N/A,#N/A,FALSE,"TRIMESTRAL"}</definedName>
    <definedName name="vv_2" hidden="1">{#N/A,#N/A,FALSE,"EDO. RES. CNB";#N/A,#N/A,FALSE,"TRIMESTRAL"}</definedName>
    <definedName name="vv_2_1" hidden="1">{#N/A,#N/A,FALSE,"EDO. RES. CNB";#N/A,#N/A,FALSE,"TRIMESTRAL"}</definedName>
    <definedName name="vv_2_2" hidden="1">{#N/A,#N/A,FALSE,"EDO. RES. CNB";#N/A,#N/A,FALSE,"TRIMESTRAL"}</definedName>
    <definedName name="vv_3" hidden="1">{#N/A,#N/A,FALSE,"EDO. RES. CNB";#N/A,#N/A,FALSE,"TRIMESTRAL"}</definedName>
    <definedName name="vv_4" hidden="1">{#N/A,#N/A,FALSE,"EDO. RES. CNB";#N/A,#N/A,FALSE,"TRIMESTRAL"}</definedName>
    <definedName name="w" hidden="1">{#N/A,#N/A,FALSE,"EDO. DE RESULTADOS";#N/A,#N/A,FALSE,"CAMBIOS";#N/A,#N/A,FALSE,"COM - VTA";#N/A,#N/A,FALSE,"DIVIDENDOS";#N/A,#N/A,FALSE,"OTROS ING. DE OP.";#N/A,#N/A,FALSE,"GASTOS DE PERSONAL";#N/A,#N/A,FALSE,"RENTAS";#N/A,#N/A,FALSE,"OTROS GASTOS";#N/A,#N/A,FALSE,"DEP. Y AMO.";#N/A,#N/A,FALSE,"OTROS PROD."}</definedName>
    <definedName name="w_1" hidden="1">{#N/A,#N/A,FALSE,"EDO. DE RESULTADOS";#N/A,#N/A,FALSE,"CAMBIOS";#N/A,#N/A,FALSE,"COM - VTA";#N/A,#N/A,FALSE,"DIVIDENDOS";#N/A,#N/A,FALSE,"OTROS ING. DE OP.";#N/A,#N/A,FALSE,"GASTOS DE PERSONAL";#N/A,#N/A,FALSE,"RENTAS";#N/A,#N/A,FALSE,"OTROS GASTOS";#N/A,#N/A,FALSE,"DEP. Y AMO.";#N/A,#N/A,FALSE,"OTROS PROD."}</definedName>
    <definedName name="w_1_1" hidden="1">{#N/A,#N/A,FALSE,"EDO. DE RESULTADOS";#N/A,#N/A,FALSE,"CAMBIOS";#N/A,#N/A,FALSE,"COM - VTA";#N/A,#N/A,FALSE,"DIVIDENDOS";#N/A,#N/A,FALSE,"OTROS ING. DE OP.";#N/A,#N/A,FALSE,"GASTOS DE PERSONAL";#N/A,#N/A,FALSE,"RENTAS";#N/A,#N/A,FALSE,"OTROS GASTOS";#N/A,#N/A,FALSE,"DEP. Y AMO.";#N/A,#N/A,FALSE,"OTROS PROD."}</definedName>
    <definedName name="w_1_1_1" hidden="1">{#N/A,#N/A,FALSE,"EDO. DE RESULTADOS";#N/A,#N/A,FALSE,"CAMBIOS";#N/A,#N/A,FALSE,"COM - VTA";#N/A,#N/A,FALSE,"DIVIDENDOS";#N/A,#N/A,FALSE,"OTROS ING. DE OP.";#N/A,#N/A,FALSE,"GASTOS DE PERSONAL";#N/A,#N/A,FALSE,"RENTAS";#N/A,#N/A,FALSE,"OTROS GASTOS";#N/A,#N/A,FALSE,"DEP. Y AMO.";#N/A,#N/A,FALSE,"OTROS PROD."}</definedName>
    <definedName name="w_1_1_2" hidden="1">{#N/A,#N/A,FALSE,"EDO. DE RESULTADOS";#N/A,#N/A,FALSE,"CAMBIOS";#N/A,#N/A,FALSE,"COM - VTA";#N/A,#N/A,FALSE,"DIVIDENDOS";#N/A,#N/A,FALSE,"OTROS ING. DE OP.";#N/A,#N/A,FALSE,"GASTOS DE PERSONAL";#N/A,#N/A,FALSE,"RENTAS";#N/A,#N/A,FALSE,"OTROS GASTOS";#N/A,#N/A,FALSE,"DEP. Y AMO.";#N/A,#N/A,FALSE,"OTROS PROD."}</definedName>
    <definedName name="w_1_2" hidden="1">{#N/A,#N/A,FALSE,"EDO. DE RESULTADOS";#N/A,#N/A,FALSE,"CAMBIOS";#N/A,#N/A,FALSE,"COM - VTA";#N/A,#N/A,FALSE,"DIVIDENDOS";#N/A,#N/A,FALSE,"OTROS ING. DE OP.";#N/A,#N/A,FALSE,"GASTOS DE PERSONAL";#N/A,#N/A,FALSE,"RENTAS";#N/A,#N/A,FALSE,"OTROS GASTOS";#N/A,#N/A,FALSE,"DEP. Y AMO.";#N/A,#N/A,FALSE,"OTROS PROD."}</definedName>
    <definedName name="w_1_3" hidden="1">{#N/A,#N/A,FALSE,"EDO. DE RESULTADOS";#N/A,#N/A,FALSE,"CAMBIOS";#N/A,#N/A,FALSE,"COM - VTA";#N/A,#N/A,FALSE,"DIVIDENDOS";#N/A,#N/A,FALSE,"OTROS ING. DE OP.";#N/A,#N/A,FALSE,"GASTOS DE PERSONAL";#N/A,#N/A,FALSE,"RENTAS";#N/A,#N/A,FALSE,"OTROS GASTOS";#N/A,#N/A,FALSE,"DEP. Y AMO.";#N/A,#N/A,FALSE,"OTROS PROD."}</definedName>
    <definedName name="w_2" hidden="1">{#N/A,#N/A,FALSE,"EDO. DE RESULTADOS";#N/A,#N/A,FALSE,"CAMBIOS";#N/A,#N/A,FALSE,"COM - VTA";#N/A,#N/A,FALSE,"DIVIDENDOS";#N/A,#N/A,FALSE,"OTROS ING. DE OP.";#N/A,#N/A,FALSE,"GASTOS DE PERSONAL";#N/A,#N/A,FALSE,"RENTAS";#N/A,#N/A,FALSE,"OTROS GASTOS";#N/A,#N/A,FALSE,"DEP. Y AMO.";#N/A,#N/A,FALSE,"OTROS PROD."}</definedName>
    <definedName name="w_2_1" hidden="1">{#N/A,#N/A,FALSE,"EDO. DE RESULTADOS";#N/A,#N/A,FALSE,"CAMBIOS";#N/A,#N/A,FALSE,"COM - VTA";#N/A,#N/A,FALSE,"DIVIDENDOS";#N/A,#N/A,FALSE,"OTROS ING. DE OP.";#N/A,#N/A,FALSE,"GASTOS DE PERSONAL";#N/A,#N/A,FALSE,"RENTAS";#N/A,#N/A,FALSE,"OTROS GASTOS";#N/A,#N/A,FALSE,"DEP. Y AMO.";#N/A,#N/A,FALSE,"OTROS PROD."}</definedName>
    <definedName name="w_2_2" hidden="1">{#N/A,#N/A,FALSE,"EDO. DE RESULTADOS";#N/A,#N/A,FALSE,"CAMBIOS";#N/A,#N/A,FALSE,"COM - VTA";#N/A,#N/A,FALSE,"DIVIDENDOS";#N/A,#N/A,FALSE,"OTROS ING. DE OP.";#N/A,#N/A,FALSE,"GASTOS DE PERSONAL";#N/A,#N/A,FALSE,"RENTAS";#N/A,#N/A,FALSE,"OTROS GASTOS";#N/A,#N/A,FALSE,"DEP. Y AMO.";#N/A,#N/A,FALSE,"OTROS PROD."}</definedName>
    <definedName name="w_3" hidden="1">{#N/A,#N/A,FALSE,"EDO. DE RESULTADOS";#N/A,#N/A,FALSE,"CAMBIOS";#N/A,#N/A,FALSE,"COM - VTA";#N/A,#N/A,FALSE,"DIVIDENDOS";#N/A,#N/A,FALSE,"OTROS ING. DE OP.";#N/A,#N/A,FALSE,"GASTOS DE PERSONAL";#N/A,#N/A,FALSE,"RENTAS";#N/A,#N/A,FALSE,"OTROS GASTOS";#N/A,#N/A,FALSE,"DEP. Y AMO.";#N/A,#N/A,FALSE,"OTROS PROD."}</definedName>
    <definedName name="w_4" hidden="1">{#N/A,#N/A,FALSE,"EDO. DE RESULTADOS";#N/A,#N/A,FALSE,"CAMBIOS";#N/A,#N/A,FALSE,"COM - VTA";#N/A,#N/A,FALSE,"DIVIDENDOS";#N/A,#N/A,FALSE,"OTROS ING. DE OP.";#N/A,#N/A,FALSE,"GASTOS DE PERSONAL";#N/A,#N/A,FALSE,"RENTAS";#N/A,#N/A,FALSE,"OTROS GASTOS";#N/A,#N/A,FALSE,"DEP. Y AMO.";#N/A,#N/A,FALSE,"OTROS PROD."}</definedName>
    <definedName name="wrn.actbill." localSheetId="21" hidden="1">{"actbill",#N/A,FALSE,"ACTUAL BILL"}</definedName>
    <definedName name="wrn.actbill." localSheetId="20" hidden="1">{"actbill",#N/A,FALSE,"ACTUAL BILL"}</definedName>
    <definedName name="wrn.actbill." localSheetId="15" hidden="1">{"actbill",#N/A,FALSE,"ACTUAL BILL"}</definedName>
    <definedName name="wrn.actbill." localSheetId="1" hidden="1">{"actbill",#N/A,FALSE,"ACTUAL BILL"}</definedName>
    <definedName name="wrn.actbill." localSheetId="22" hidden="1">{"actbill",#N/A,FALSE,"ACTUAL BILL"}</definedName>
    <definedName name="wrn.actbill." localSheetId="17" hidden="1">{"actbill",#N/A,FALSE,"ACTUAL BILL"}</definedName>
    <definedName name="wrn.actbill." localSheetId="23" hidden="1">{"actbill",#N/A,FALSE,"ACTUAL BILL"}</definedName>
    <definedName name="wrn.actbill." localSheetId="16" hidden="1">{"actbill",#N/A,FALSE,"ACTUAL BILL"}</definedName>
    <definedName name="wrn.actbill." hidden="1">{"actbill",#N/A,FALSE,"ACTUAL BILL"}</definedName>
    <definedName name="wrn.actbill._1" hidden="1">{"actbill",#N/A,FALSE,"ACTUAL BILL"}</definedName>
    <definedName name="wrn.actbill._1_1" hidden="1">{"actbill",#N/A,FALSE,"ACTUAL BILL"}</definedName>
    <definedName name="wrn.actbill._1_1_1" hidden="1">{"actbill",#N/A,FALSE,"ACTUAL BILL"}</definedName>
    <definedName name="wrn.actbill._1_1_2" hidden="1">{"actbill",#N/A,FALSE,"ACTUAL BILL"}</definedName>
    <definedName name="wrn.actbill._1_2" hidden="1">{"actbill",#N/A,FALSE,"ACTUAL BILL"}</definedName>
    <definedName name="wrn.actbill._1_3" hidden="1">{"actbill",#N/A,FALSE,"ACTUAL BILL"}</definedName>
    <definedName name="wrn.actbill._2" hidden="1">{"actbill",#N/A,FALSE,"ACTUAL BILL"}</definedName>
    <definedName name="wrn.actbill._2_1" hidden="1">{"actbill",#N/A,FALSE,"ACTUAL BILL"}</definedName>
    <definedName name="wrn.actbill._2_2" hidden="1">{"actbill",#N/A,FALSE,"ACTUAL BILL"}</definedName>
    <definedName name="wrn.actbill._3" hidden="1">{"actbill",#N/A,FALSE,"ACTUAL BILL"}</definedName>
    <definedName name="wrn.actbill._4" hidden="1">{"actbill",#N/A,FALSE,"ACTUAL BILL"}</definedName>
    <definedName name="wrn.ACTIVO."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1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1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2_1"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2_2"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3"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CTIVO._4" hidden="1">{#N/A,#N/A,FALSE,"CAJA Y BANCOS";#N/A,#N/A,FALSE,"RENTA FIJA";#N/A,#N/A,FALSE,"PRESTAMOS DLLS.";#N/A,#N/A,FALSE,"ARREN. FINAN.";#N/A,#N/A,FALSE,"CONSUMO";#N/A,#N/A,FALSE,"T.D.C.";#N/A,#N/A,FALSE,"HIPOTECARIOS";#N/A,#N/A,FALSE,"OTROS PRESTAMOS";#N/A,#N/A,FALSE,"INMOB. Y ACTIVO FIJO";#N/A,#N/A,FALSE,"REPORTOS ";#N/A,#N/A,FALSE,"ACCIONES";#N/A,#N/A,FALSE,"FIDEIC Y CART. VAL.";#N/A,#N/A,FALSE,"ADJUDICADOS";#N/A,#N/A,FALSE,"PAGOS ANT. Y OTROS";#N/A,#N/A,FALSE,"CARGOS DIFERIDOS";#N/A,#N/A,FALSE,"DEUDORES DIVERSOS"}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1_1" hidden="1">{#N/A,#N/A,FALSE,"Aging Summary";#N/A,#N/A,FALSE,"Ratio Analysis";#N/A,#N/A,FALSE,"Test 120 Day Accts";#N/A,#N/A,FALSE,"Tickmarks"}</definedName>
    <definedName name="wrn.Aging._.and._.Trend._.Analysis._1_1_2"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1_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2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BALANCE." hidden="1">{#N/A,#N/A,FALSE,"BAN3Q96"}</definedName>
    <definedName name="wrn.BALANCE._1" hidden="1">{#N/A,#N/A,FALSE,"BAN3Q96"}</definedName>
    <definedName name="wrn.BALANCE._1_1" hidden="1">{#N/A,#N/A,FALSE,"BAN3Q96"}</definedName>
    <definedName name="wrn.BALANCE._1_1_1" hidden="1">{#N/A,#N/A,FALSE,"BAN3Q96"}</definedName>
    <definedName name="wrn.BALANCE._1_1_2" hidden="1">{#N/A,#N/A,FALSE,"BAN3Q96"}</definedName>
    <definedName name="wrn.BALANCE._1_2" hidden="1">{#N/A,#N/A,FALSE,"BAN3Q96"}</definedName>
    <definedName name="wrn.BALANCE._1_3" hidden="1">{#N/A,#N/A,FALSE,"BAN3Q96"}</definedName>
    <definedName name="wrn.BALANCE._2" hidden="1">{#N/A,#N/A,FALSE,"BAN3Q96"}</definedName>
    <definedName name="wrn.BALANCE._2_1" hidden="1">{#N/A,#N/A,FALSE,"BAN3Q96"}</definedName>
    <definedName name="wrn.BALANCE._2_2" hidden="1">{#N/A,#N/A,FALSE,"BAN3Q96"}</definedName>
    <definedName name="wrn.BALANCE._3" hidden="1">{#N/A,#N/A,FALSE,"BAN3Q96"}</definedName>
    <definedName name="wrn.BALANCE._4" hidden="1">{#N/A,#N/A,FALSE,"BAN3Q96"}</definedName>
    <definedName name="wrn.CAPITAL." hidden="1">{#N/A,#N/A,FALSE,"RES. CAPITAL";#N/A,#N/A,FALSE,"SUPERAVIT"}</definedName>
    <definedName name="wrn.CAPITAL._1" hidden="1">{#N/A,#N/A,FALSE,"RES. CAPITAL";#N/A,#N/A,FALSE,"SUPERAVIT"}</definedName>
    <definedName name="wrn.CAPITAL._1_1" hidden="1">{#N/A,#N/A,FALSE,"RES. CAPITAL";#N/A,#N/A,FALSE,"SUPERAVIT"}</definedName>
    <definedName name="wrn.CAPITAL._1_1_1" hidden="1">{#N/A,#N/A,FALSE,"RES. CAPITAL";#N/A,#N/A,FALSE,"SUPERAVIT"}</definedName>
    <definedName name="wrn.CAPITAL._1_1_2" hidden="1">{#N/A,#N/A,FALSE,"RES. CAPITAL";#N/A,#N/A,FALSE,"SUPERAVIT"}</definedName>
    <definedName name="wrn.CAPITAL._1_2" hidden="1">{#N/A,#N/A,FALSE,"RES. CAPITAL";#N/A,#N/A,FALSE,"SUPERAVIT"}</definedName>
    <definedName name="wrn.CAPITAL._1_3" hidden="1">{#N/A,#N/A,FALSE,"RES. CAPITAL";#N/A,#N/A,FALSE,"SUPERAVIT"}</definedName>
    <definedName name="wrn.CAPITAL._2" hidden="1">{#N/A,#N/A,FALSE,"RES. CAPITAL";#N/A,#N/A,FALSE,"SUPERAVIT"}</definedName>
    <definedName name="wrn.CAPITAL._2_1" hidden="1">{#N/A,#N/A,FALSE,"RES. CAPITAL";#N/A,#N/A,FALSE,"SUPERAVIT"}</definedName>
    <definedName name="wrn.CAPITAL._2_2" hidden="1">{#N/A,#N/A,FALSE,"RES. CAPITAL";#N/A,#N/A,FALSE,"SUPERAVIT"}</definedName>
    <definedName name="wrn.CAPITAL._3" hidden="1">{#N/A,#N/A,FALSE,"RES. CAPITAL";#N/A,#N/A,FALSE,"SUPERAVIT"}</definedName>
    <definedName name="wrn.CAPITAL._4" hidden="1">{#N/A,#N/A,FALSE,"RES. CAPITAL";#N/A,#N/A,FALSE,"SUPERAVIT"}</definedName>
    <definedName name="wrn.EDOMASAPOYOS." hidden="1">{#N/A,#N/A,FALSE,"EDO. DE RESULTADOS";#N/A,#N/A,FALSE,"CAMBIOS";#N/A,#N/A,FALSE,"COM - VTA";#N/A,#N/A,FALSE,"DIVIDENDOS";#N/A,#N/A,FALSE,"OTROS ING. DE OP.";#N/A,#N/A,FALSE,"GASTOS DE PERSONAL";#N/A,#N/A,FALSE,"RENTAS";#N/A,#N/A,FALSE,"OTROS GASTOS";#N/A,#N/A,FALSE,"DEP. Y AMO.";#N/A,#N/A,FALSE,"OTROS PROD."}</definedName>
    <definedName name="wrn.EDOMASAPOYOS._1" hidden="1">{#N/A,#N/A,FALSE,"EDO. DE RESULTADOS";#N/A,#N/A,FALSE,"CAMBIOS";#N/A,#N/A,FALSE,"COM - VTA";#N/A,#N/A,FALSE,"DIVIDENDOS";#N/A,#N/A,FALSE,"OTROS ING. DE OP.";#N/A,#N/A,FALSE,"GASTOS DE PERSONAL";#N/A,#N/A,FALSE,"RENTAS";#N/A,#N/A,FALSE,"OTROS GASTOS";#N/A,#N/A,FALSE,"DEP. Y AMO.";#N/A,#N/A,FALSE,"OTROS PROD."}</definedName>
    <definedName name="wrn.EDOMASAPOYOS._1_1" hidden="1">{#N/A,#N/A,FALSE,"EDO. DE RESULTADOS";#N/A,#N/A,FALSE,"CAMBIOS";#N/A,#N/A,FALSE,"COM - VTA";#N/A,#N/A,FALSE,"DIVIDENDOS";#N/A,#N/A,FALSE,"OTROS ING. DE OP.";#N/A,#N/A,FALSE,"GASTOS DE PERSONAL";#N/A,#N/A,FALSE,"RENTAS";#N/A,#N/A,FALSE,"OTROS GASTOS";#N/A,#N/A,FALSE,"DEP. Y AMO.";#N/A,#N/A,FALSE,"OTROS PROD."}</definedName>
    <definedName name="wrn.EDOMASAPOYOS._1_1_1" hidden="1">{#N/A,#N/A,FALSE,"EDO. DE RESULTADOS";#N/A,#N/A,FALSE,"CAMBIOS";#N/A,#N/A,FALSE,"COM - VTA";#N/A,#N/A,FALSE,"DIVIDENDOS";#N/A,#N/A,FALSE,"OTROS ING. DE OP.";#N/A,#N/A,FALSE,"GASTOS DE PERSONAL";#N/A,#N/A,FALSE,"RENTAS";#N/A,#N/A,FALSE,"OTROS GASTOS";#N/A,#N/A,FALSE,"DEP. Y AMO.";#N/A,#N/A,FALSE,"OTROS PROD."}</definedName>
    <definedName name="wrn.EDOMASAPOYOS._1_1_2" hidden="1">{#N/A,#N/A,FALSE,"EDO. DE RESULTADOS";#N/A,#N/A,FALSE,"CAMBIOS";#N/A,#N/A,FALSE,"COM - VTA";#N/A,#N/A,FALSE,"DIVIDENDOS";#N/A,#N/A,FALSE,"OTROS ING. DE OP.";#N/A,#N/A,FALSE,"GASTOS DE PERSONAL";#N/A,#N/A,FALSE,"RENTAS";#N/A,#N/A,FALSE,"OTROS GASTOS";#N/A,#N/A,FALSE,"DEP. Y AMO.";#N/A,#N/A,FALSE,"OTROS PROD."}</definedName>
    <definedName name="wrn.EDOMASAPOYOS._1_2" hidden="1">{#N/A,#N/A,FALSE,"EDO. DE RESULTADOS";#N/A,#N/A,FALSE,"CAMBIOS";#N/A,#N/A,FALSE,"COM - VTA";#N/A,#N/A,FALSE,"DIVIDENDOS";#N/A,#N/A,FALSE,"OTROS ING. DE OP.";#N/A,#N/A,FALSE,"GASTOS DE PERSONAL";#N/A,#N/A,FALSE,"RENTAS";#N/A,#N/A,FALSE,"OTROS GASTOS";#N/A,#N/A,FALSE,"DEP. Y AMO.";#N/A,#N/A,FALSE,"OTROS PROD."}</definedName>
    <definedName name="wrn.EDOMASAPOYOS._1_3" hidden="1">{#N/A,#N/A,FALSE,"EDO. DE RESULTADOS";#N/A,#N/A,FALSE,"CAMBIOS";#N/A,#N/A,FALSE,"COM - VTA";#N/A,#N/A,FALSE,"DIVIDENDOS";#N/A,#N/A,FALSE,"OTROS ING. DE OP.";#N/A,#N/A,FALSE,"GASTOS DE PERSONAL";#N/A,#N/A,FALSE,"RENTAS";#N/A,#N/A,FALSE,"OTROS GASTOS";#N/A,#N/A,FALSE,"DEP. Y AMO.";#N/A,#N/A,FALSE,"OTROS PROD."}</definedName>
    <definedName name="wrn.EDOMASAPOYOS._2" hidden="1">{#N/A,#N/A,FALSE,"EDO. DE RESULTADOS";#N/A,#N/A,FALSE,"CAMBIOS";#N/A,#N/A,FALSE,"COM - VTA";#N/A,#N/A,FALSE,"DIVIDENDOS";#N/A,#N/A,FALSE,"OTROS ING. DE OP.";#N/A,#N/A,FALSE,"GASTOS DE PERSONAL";#N/A,#N/A,FALSE,"RENTAS";#N/A,#N/A,FALSE,"OTROS GASTOS";#N/A,#N/A,FALSE,"DEP. Y AMO.";#N/A,#N/A,FALSE,"OTROS PROD."}</definedName>
    <definedName name="wrn.EDOMASAPOYOS._2_1" hidden="1">{#N/A,#N/A,FALSE,"EDO. DE RESULTADOS";#N/A,#N/A,FALSE,"CAMBIOS";#N/A,#N/A,FALSE,"COM - VTA";#N/A,#N/A,FALSE,"DIVIDENDOS";#N/A,#N/A,FALSE,"OTROS ING. DE OP.";#N/A,#N/A,FALSE,"GASTOS DE PERSONAL";#N/A,#N/A,FALSE,"RENTAS";#N/A,#N/A,FALSE,"OTROS GASTOS";#N/A,#N/A,FALSE,"DEP. Y AMO.";#N/A,#N/A,FALSE,"OTROS PROD."}</definedName>
    <definedName name="wrn.EDOMASAPOYOS._2_2" hidden="1">{#N/A,#N/A,FALSE,"EDO. DE RESULTADOS";#N/A,#N/A,FALSE,"CAMBIOS";#N/A,#N/A,FALSE,"COM - VTA";#N/A,#N/A,FALSE,"DIVIDENDOS";#N/A,#N/A,FALSE,"OTROS ING. DE OP.";#N/A,#N/A,FALSE,"GASTOS DE PERSONAL";#N/A,#N/A,FALSE,"RENTAS";#N/A,#N/A,FALSE,"OTROS GASTOS";#N/A,#N/A,FALSE,"DEP. Y AMO.";#N/A,#N/A,FALSE,"OTROS PROD."}</definedName>
    <definedName name="wrn.EDOMASAPOYOS._3" hidden="1">{#N/A,#N/A,FALSE,"EDO. DE RESULTADOS";#N/A,#N/A,FALSE,"CAMBIOS";#N/A,#N/A,FALSE,"COM - VTA";#N/A,#N/A,FALSE,"DIVIDENDOS";#N/A,#N/A,FALSE,"OTROS ING. DE OP.";#N/A,#N/A,FALSE,"GASTOS DE PERSONAL";#N/A,#N/A,FALSE,"RENTAS";#N/A,#N/A,FALSE,"OTROS GASTOS";#N/A,#N/A,FALSE,"DEP. Y AMO.";#N/A,#N/A,FALSE,"OTROS PROD."}</definedName>
    <definedName name="wrn.EDOMASAPOYOS._4" hidden="1">{#N/A,#N/A,FALSE,"EDO. DE RESULTADOS";#N/A,#N/A,FALSE,"CAMBIOS";#N/A,#N/A,FALSE,"COM - VTA";#N/A,#N/A,FALSE,"DIVIDENDOS";#N/A,#N/A,FALSE,"OTROS ING. DE OP.";#N/A,#N/A,FALSE,"GASTOS DE PERSONAL";#N/A,#N/A,FALSE,"RENTAS";#N/A,#N/A,FALSE,"OTROS GASTOS";#N/A,#N/A,FALSE,"DEP. Y AMO.";#N/A,#N/A,FALSE,"OTROS PROD."}</definedName>
    <definedName name="wrn.EXTRAORDINARIOS." hidden="1">{#N/A,#N/A,FALSE,"ING. EXT."}</definedName>
    <definedName name="wrn.EXTRAORDINARIOS._1" hidden="1">{#N/A,#N/A,FALSE,"ING. EXT."}</definedName>
    <definedName name="wrn.EXTRAORDINARIOS._1_1" hidden="1">{#N/A,#N/A,FALSE,"ING. EXT."}</definedName>
    <definedName name="wrn.EXTRAORDINARIOS._1_1_1" hidden="1">{#N/A,#N/A,FALSE,"ING. EXT."}</definedName>
    <definedName name="wrn.EXTRAORDINARIOS._1_1_2" hidden="1">{#N/A,#N/A,FALSE,"ING. EXT."}</definedName>
    <definedName name="wrn.EXTRAORDINARIOS._1_2" hidden="1">{#N/A,#N/A,FALSE,"ING. EXT."}</definedName>
    <definedName name="wrn.EXTRAORDINARIOS._1_3" hidden="1">{#N/A,#N/A,FALSE,"ING. EXT."}</definedName>
    <definedName name="wrn.EXTRAORDINARIOS._2" hidden="1">{#N/A,#N/A,FALSE,"ING. EXT."}</definedName>
    <definedName name="wrn.EXTRAORDINARIOS._2_1" hidden="1">{#N/A,#N/A,FALSE,"ING. EXT."}</definedName>
    <definedName name="wrn.EXTRAORDINARIOS._2_2" hidden="1">{#N/A,#N/A,FALSE,"ING. EXT."}</definedName>
    <definedName name="wrn.EXTRAORDINARIOS._3" hidden="1">{#N/A,#N/A,FALSE,"ING. EXT."}</definedName>
    <definedName name="wrn.EXTRAORDINARIOS._4" hidden="1">{#N/A,#N/A,FALSE,"ING. EXT."}</definedName>
    <definedName name="wrn.INTERNA._.CNB._.Y._.CONTABLE." hidden="1">{#N/A,#N/A,FALSE,"EDO. RES. INT";#N/A,#N/A,FALSE,"EDO. RES. CNB";#N/A,#N/A,FALSE,"EDO. RES. CONT."}</definedName>
    <definedName name="wrn.INTERNA._.CNB._.Y._.CONTABLE._1" hidden="1">{#N/A,#N/A,FALSE,"EDO. RES. INT";#N/A,#N/A,FALSE,"EDO. RES. CNB";#N/A,#N/A,FALSE,"EDO. RES. CONT."}</definedName>
    <definedName name="wrn.INTERNA._.CNB._.Y._.CONTABLE._1_1" hidden="1">{#N/A,#N/A,FALSE,"EDO. RES. INT";#N/A,#N/A,FALSE,"EDO. RES. CNB";#N/A,#N/A,FALSE,"EDO. RES. CONT."}</definedName>
    <definedName name="wrn.INTERNA._.CNB._.Y._.CONTABLE._1_1_1" hidden="1">{#N/A,#N/A,FALSE,"EDO. RES. INT";#N/A,#N/A,FALSE,"EDO. RES. CNB";#N/A,#N/A,FALSE,"EDO. RES. CONT."}</definedName>
    <definedName name="wrn.INTERNA._.CNB._.Y._.CONTABLE._1_1_2" hidden="1">{#N/A,#N/A,FALSE,"EDO. RES. INT";#N/A,#N/A,FALSE,"EDO. RES. CNB";#N/A,#N/A,FALSE,"EDO. RES. CONT."}</definedName>
    <definedName name="wrn.INTERNA._.CNB._.Y._.CONTABLE._1_2" hidden="1">{#N/A,#N/A,FALSE,"EDO. RES. INT";#N/A,#N/A,FALSE,"EDO. RES. CNB";#N/A,#N/A,FALSE,"EDO. RES. CONT."}</definedName>
    <definedName name="wrn.INTERNA._.CNB._.Y._.CONTABLE._1_3" hidden="1">{#N/A,#N/A,FALSE,"EDO. RES. INT";#N/A,#N/A,FALSE,"EDO. RES. CNB";#N/A,#N/A,FALSE,"EDO. RES. CONT."}</definedName>
    <definedName name="wrn.INTERNA._.CNB._.Y._.CONTABLE._2" hidden="1">{#N/A,#N/A,FALSE,"EDO. RES. INT";#N/A,#N/A,FALSE,"EDO. RES. CNB";#N/A,#N/A,FALSE,"EDO. RES. CONT."}</definedName>
    <definedName name="wrn.INTERNA._.CNB._.Y._.CONTABLE._2_1" hidden="1">{#N/A,#N/A,FALSE,"EDO. RES. INT";#N/A,#N/A,FALSE,"EDO. RES. CNB";#N/A,#N/A,FALSE,"EDO. RES. CONT."}</definedName>
    <definedName name="wrn.INTERNA._.CNB._.Y._.CONTABLE._2_2" hidden="1">{#N/A,#N/A,FALSE,"EDO. RES. INT";#N/A,#N/A,FALSE,"EDO. RES. CNB";#N/A,#N/A,FALSE,"EDO. RES. CONT."}</definedName>
    <definedName name="wrn.INTERNA._.CNB._.Y._.CONTABLE._3" hidden="1">{#N/A,#N/A,FALSE,"EDO. RES. INT";#N/A,#N/A,FALSE,"EDO. RES. CNB";#N/A,#N/A,FALSE,"EDO. RES. CONT."}</definedName>
    <definedName name="wrn.INTERNA._.CNB._.Y._.CONTABLE._4" hidden="1">{#N/A,#N/A,FALSE,"EDO. RES. INT";#N/A,#N/A,FALSE,"EDO. RES. CNB";#N/A,#N/A,FALSE,"EDO. RES. CONT."}</definedName>
    <definedName name="wrn.MENSUAL._.Y._.TRIMESTRAL." hidden="1">{#N/A,#N/A,FALSE,"EDO. RES. CNB";#N/A,#N/A,FALSE,"TRIMESTRAL"}</definedName>
    <definedName name="wrn.MENSUAL._.Y._.TRIMESTRAL._1" hidden="1">{#N/A,#N/A,FALSE,"EDO. RES. CNB";#N/A,#N/A,FALSE,"TRIMESTRAL"}</definedName>
    <definedName name="wrn.MENSUAL._.Y._.TRIMESTRAL._1_1" hidden="1">{#N/A,#N/A,FALSE,"EDO. RES. CNB";#N/A,#N/A,FALSE,"TRIMESTRAL"}</definedName>
    <definedName name="wrn.MENSUAL._.Y._.TRIMESTRAL._1_1_1" hidden="1">{#N/A,#N/A,FALSE,"EDO. RES. CNB";#N/A,#N/A,FALSE,"TRIMESTRAL"}</definedName>
    <definedName name="wrn.MENSUAL._.Y._.TRIMESTRAL._1_1_2" hidden="1">{#N/A,#N/A,FALSE,"EDO. RES. CNB";#N/A,#N/A,FALSE,"TRIMESTRAL"}</definedName>
    <definedName name="wrn.MENSUAL._.Y._.TRIMESTRAL._1_2" hidden="1">{#N/A,#N/A,FALSE,"EDO. RES. CNB";#N/A,#N/A,FALSE,"TRIMESTRAL"}</definedName>
    <definedName name="wrn.MENSUAL._.Y._.TRIMESTRAL._1_3" hidden="1">{#N/A,#N/A,FALSE,"EDO. RES. CNB";#N/A,#N/A,FALSE,"TRIMESTRAL"}</definedName>
    <definedName name="wrn.MENSUAL._.Y._.TRIMESTRAL._2" hidden="1">{#N/A,#N/A,FALSE,"EDO. RES. CNB";#N/A,#N/A,FALSE,"TRIMESTRAL"}</definedName>
    <definedName name="wrn.MENSUAL._.Y._.TRIMESTRAL._2_1" hidden="1">{#N/A,#N/A,FALSE,"EDO. RES. CNB";#N/A,#N/A,FALSE,"TRIMESTRAL"}</definedName>
    <definedName name="wrn.MENSUAL._.Y._.TRIMESTRAL._2_2" hidden="1">{#N/A,#N/A,FALSE,"EDO. RES. CNB";#N/A,#N/A,FALSE,"TRIMESTRAL"}</definedName>
    <definedName name="wrn.MENSUAL._.Y._.TRIMESTRAL._3" hidden="1">{#N/A,#N/A,FALSE,"EDO. RES. CNB";#N/A,#N/A,FALSE,"TRIMESTRAL"}</definedName>
    <definedName name="wrn.MENSUAL._.Y._.TRIMESTRAL._4" hidden="1">{#N/A,#N/A,FALSE,"EDO. RES. CNB";#N/A,#N/A,FALSE,"TRIMESTRAL"}</definedName>
    <definedName name="wrn.OBLIGACIONES." hidden="1">{#N/A,#N/A,FALSE,"OBLIG.S-CAPITAL"}</definedName>
    <definedName name="wrn.OBLIGACIONES._1" hidden="1">{#N/A,#N/A,FALSE,"OBLIG.S-CAPITAL"}</definedName>
    <definedName name="wrn.OBLIGACIONES._1_1" hidden="1">{#N/A,#N/A,FALSE,"OBLIG.S-CAPITAL"}</definedName>
    <definedName name="wrn.OBLIGACIONES._1_1_1" hidden="1">{#N/A,#N/A,FALSE,"OBLIG.S-CAPITAL"}</definedName>
    <definedName name="wrn.OBLIGACIONES._1_1_2" hidden="1">{#N/A,#N/A,FALSE,"OBLIG.S-CAPITAL"}</definedName>
    <definedName name="wrn.OBLIGACIONES._1_2" hidden="1">{#N/A,#N/A,FALSE,"OBLIG.S-CAPITAL"}</definedName>
    <definedName name="wrn.OBLIGACIONES._1_3" hidden="1">{#N/A,#N/A,FALSE,"OBLIG.S-CAPITAL"}</definedName>
    <definedName name="wrn.OBLIGACIONES._2" hidden="1">{#N/A,#N/A,FALSE,"OBLIG.S-CAPITAL"}</definedName>
    <definedName name="wrn.OBLIGACIONES._2_1" hidden="1">{#N/A,#N/A,FALSE,"OBLIG.S-CAPITAL"}</definedName>
    <definedName name="wrn.OBLIGACIONES._2_2" hidden="1">{#N/A,#N/A,FALSE,"OBLIG.S-CAPITAL"}</definedName>
    <definedName name="wrn.OBLIGACIONES._3" hidden="1">{#N/A,#N/A,FALSE,"OBLIG.S-CAPITAL"}</definedName>
    <definedName name="wrn.OBLIGACIONES._4" hidden="1">{#N/A,#N/A,FALSE,"OBLIG.S-CAPITAL"}</definedName>
    <definedName name="wrn.OLD." hidden="1">{"GAY",#N/A,FALSE,"ART";"GIL",#N/A,FALSE,"consolidado"}</definedName>
    <definedName name="wrn.OLD._1" hidden="1">{"GAY",#N/A,FALSE,"ART";"GIL",#N/A,FALSE,"consolidado"}</definedName>
    <definedName name="wrn.OLD._1_1" hidden="1">{"GAY",#N/A,FALSE,"ART";"GIL",#N/A,FALSE,"consolidado"}</definedName>
    <definedName name="wrn.OLD._1_1_1" hidden="1">{"GAY",#N/A,FALSE,"ART";"GIL",#N/A,FALSE,"consolidado"}</definedName>
    <definedName name="wrn.OLD._1_1_2" hidden="1">{"GAY",#N/A,FALSE,"ART";"GIL",#N/A,FALSE,"consolidado"}</definedName>
    <definedName name="wrn.OLD._1_2" hidden="1">{"GAY",#N/A,FALSE,"ART";"GIL",#N/A,FALSE,"consolidado"}</definedName>
    <definedName name="wrn.OLD._1_3" hidden="1">{"GAY",#N/A,FALSE,"ART";"GIL",#N/A,FALSE,"consolidado"}</definedName>
    <definedName name="wrn.OLD._2" hidden="1">{"GAY",#N/A,FALSE,"ART";"GIL",#N/A,FALSE,"consolidado"}</definedName>
    <definedName name="wrn.OLD._2_1" hidden="1">{"GAY",#N/A,FALSE,"ART";"GIL",#N/A,FALSE,"consolidado"}</definedName>
    <definedName name="wrn.OLD._2_2" hidden="1">{"GAY",#N/A,FALSE,"ART";"GIL",#N/A,FALSE,"consolidado"}</definedName>
    <definedName name="wrn.OLD._3" hidden="1">{"GAY",#N/A,FALSE,"ART";"GIL",#N/A,FALSE,"consolidado"}</definedName>
    <definedName name="wrn.OLD._4" hidden="1">{"GAY",#N/A,FALSE,"ART";"GIL",#N/A,FALSE,"consolidado"}</definedName>
    <definedName name="wrn.Package." localSheetId="2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20"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5"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2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7"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2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localSheetId="16"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1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1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2_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2_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3"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ckage._4"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SIVO." hidden="1">{#N/A,#N/A,FALSE,"DEP. VISTA CON INT.";#N/A,#N/A,FALSE,"CTA. MAESTRA";#N/A,#N/A,FALSE,"DEP. PLAZO MENUDEO";#N/A,#N/A,FALSE,"FONDOS";#N/A,#N/A,FALSE,"DEP. EN DLLS.";#N/A,#N/A,FALSE,"DEUDA EN DLLS";#N/A,#N/A,FALSE,"PREST. INT.";#N/A,#N/A,FALSE,"REPORTOS";#N/A,#N/A,FALSE,"OTROS DEP.";#N/A,#N/A,FALSE,"ACREEDORES DIVERSOS"}</definedName>
    <definedName name="wrn.PASIVO._1" hidden="1">{#N/A,#N/A,FALSE,"DEP. VISTA CON INT.";#N/A,#N/A,FALSE,"CTA. MAESTRA";#N/A,#N/A,FALSE,"DEP. PLAZO MENUDEO";#N/A,#N/A,FALSE,"FONDOS";#N/A,#N/A,FALSE,"DEP. EN DLLS.";#N/A,#N/A,FALSE,"DEUDA EN DLLS";#N/A,#N/A,FALSE,"PREST. INT.";#N/A,#N/A,FALSE,"REPORTOS";#N/A,#N/A,FALSE,"OTROS DEP.";#N/A,#N/A,FALSE,"ACREEDORES DIVERSOS"}</definedName>
    <definedName name="wrn.PASIVO._1_1" hidden="1">{#N/A,#N/A,FALSE,"DEP. VISTA CON INT.";#N/A,#N/A,FALSE,"CTA. MAESTRA";#N/A,#N/A,FALSE,"DEP. PLAZO MENUDEO";#N/A,#N/A,FALSE,"FONDOS";#N/A,#N/A,FALSE,"DEP. EN DLLS.";#N/A,#N/A,FALSE,"DEUDA EN DLLS";#N/A,#N/A,FALSE,"PREST. INT.";#N/A,#N/A,FALSE,"REPORTOS";#N/A,#N/A,FALSE,"OTROS DEP.";#N/A,#N/A,FALSE,"ACREEDORES DIVERSOS"}</definedName>
    <definedName name="wrn.PASIVO._1_1_1" hidden="1">{#N/A,#N/A,FALSE,"DEP. VISTA CON INT.";#N/A,#N/A,FALSE,"CTA. MAESTRA";#N/A,#N/A,FALSE,"DEP. PLAZO MENUDEO";#N/A,#N/A,FALSE,"FONDOS";#N/A,#N/A,FALSE,"DEP. EN DLLS.";#N/A,#N/A,FALSE,"DEUDA EN DLLS";#N/A,#N/A,FALSE,"PREST. INT.";#N/A,#N/A,FALSE,"REPORTOS";#N/A,#N/A,FALSE,"OTROS DEP.";#N/A,#N/A,FALSE,"ACREEDORES DIVERSOS"}</definedName>
    <definedName name="wrn.PASIVO._1_1_2" hidden="1">{#N/A,#N/A,FALSE,"DEP. VISTA CON INT.";#N/A,#N/A,FALSE,"CTA. MAESTRA";#N/A,#N/A,FALSE,"DEP. PLAZO MENUDEO";#N/A,#N/A,FALSE,"FONDOS";#N/A,#N/A,FALSE,"DEP. EN DLLS.";#N/A,#N/A,FALSE,"DEUDA EN DLLS";#N/A,#N/A,FALSE,"PREST. INT.";#N/A,#N/A,FALSE,"REPORTOS";#N/A,#N/A,FALSE,"OTROS DEP.";#N/A,#N/A,FALSE,"ACREEDORES DIVERSOS"}</definedName>
    <definedName name="wrn.PASIVO._1_2" hidden="1">{#N/A,#N/A,FALSE,"DEP. VISTA CON INT.";#N/A,#N/A,FALSE,"CTA. MAESTRA";#N/A,#N/A,FALSE,"DEP. PLAZO MENUDEO";#N/A,#N/A,FALSE,"FONDOS";#N/A,#N/A,FALSE,"DEP. EN DLLS.";#N/A,#N/A,FALSE,"DEUDA EN DLLS";#N/A,#N/A,FALSE,"PREST. INT.";#N/A,#N/A,FALSE,"REPORTOS";#N/A,#N/A,FALSE,"OTROS DEP.";#N/A,#N/A,FALSE,"ACREEDORES DIVERSOS"}</definedName>
    <definedName name="wrn.PASIVO._1_3" hidden="1">{#N/A,#N/A,FALSE,"DEP. VISTA CON INT.";#N/A,#N/A,FALSE,"CTA. MAESTRA";#N/A,#N/A,FALSE,"DEP. PLAZO MENUDEO";#N/A,#N/A,FALSE,"FONDOS";#N/A,#N/A,FALSE,"DEP. EN DLLS.";#N/A,#N/A,FALSE,"DEUDA EN DLLS";#N/A,#N/A,FALSE,"PREST. INT.";#N/A,#N/A,FALSE,"REPORTOS";#N/A,#N/A,FALSE,"OTROS DEP.";#N/A,#N/A,FALSE,"ACREEDORES DIVERSOS"}</definedName>
    <definedName name="wrn.PASIVO._2" hidden="1">{#N/A,#N/A,FALSE,"DEP. VISTA CON INT.";#N/A,#N/A,FALSE,"CTA. MAESTRA";#N/A,#N/A,FALSE,"DEP. PLAZO MENUDEO";#N/A,#N/A,FALSE,"FONDOS";#N/A,#N/A,FALSE,"DEP. EN DLLS.";#N/A,#N/A,FALSE,"DEUDA EN DLLS";#N/A,#N/A,FALSE,"PREST. INT.";#N/A,#N/A,FALSE,"REPORTOS";#N/A,#N/A,FALSE,"OTROS DEP.";#N/A,#N/A,FALSE,"ACREEDORES DIVERSOS"}</definedName>
    <definedName name="wrn.PASIVO._2_1" hidden="1">{#N/A,#N/A,FALSE,"DEP. VISTA CON INT.";#N/A,#N/A,FALSE,"CTA. MAESTRA";#N/A,#N/A,FALSE,"DEP. PLAZO MENUDEO";#N/A,#N/A,FALSE,"FONDOS";#N/A,#N/A,FALSE,"DEP. EN DLLS.";#N/A,#N/A,FALSE,"DEUDA EN DLLS";#N/A,#N/A,FALSE,"PREST. INT.";#N/A,#N/A,FALSE,"REPORTOS";#N/A,#N/A,FALSE,"OTROS DEP.";#N/A,#N/A,FALSE,"ACREEDORES DIVERSOS"}</definedName>
    <definedName name="wrn.PASIVO._2_2" hidden="1">{#N/A,#N/A,FALSE,"DEP. VISTA CON INT.";#N/A,#N/A,FALSE,"CTA. MAESTRA";#N/A,#N/A,FALSE,"DEP. PLAZO MENUDEO";#N/A,#N/A,FALSE,"FONDOS";#N/A,#N/A,FALSE,"DEP. EN DLLS.";#N/A,#N/A,FALSE,"DEUDA EN DLLS";#N/A,#N/A,FALSE,"PREST. INT.";#N/A,#N/A,FALSE,"REPORTOS";#N/A,#N/A,FALSE,"OTROS DEP.";#N/A,#N/A,FALSE,"ACREEDORES DIVERSOS"}</definedName>
    <definedName name="wrn.PASIVO._3" hidden="1">{#N/A,#N/A,FALSE,"DEP. VISTA CON INT.";#N/A,#N/A,FALSE,"CTA. MAESTRA";#N/A,#N/A,FALSE,"DEP. PLAZO MENUDEO";#N/A,#N/A,FALSE,"FONDOS";#N/A,#N/A,FALSE,"DEP. EN DLLS.";#N/A,#N/A,FALSE,"DEUDA EN DLLS";#N/A,#N/A,FALSE,"PREST. INT.";#N/A,#N/A,FALSE,"REPORTOS";#N/A,#N/A,FALSE,"OTROS DEP.";#N/A,#N/A,FALSE,"ACREEDORES DIVERSOS"}</definedName>
    <definedName name="wrn.PASIVO._4" hidden="1">{#N/A,#N/A,FALSE,"DEP. VISTA CON INT.";#N/A,#N/A,FALSE,"CTA. MAESTRA";#N/A,#N/A,FALSE,"DEP. PLAZO MENUDEO";#N/A,#N/A,FALSE,"FONDOS";#N/A,#N/A,FALSE,"DEP. EN DLLS.";#N/A,#N/A,FALSE,"DEUDA EN DLLS";#N/A,#N/A,FALSE,"PREST. INT.";#N/A,#N/A,FALSE,"REPORTOS";#N/A,#N/A,FALSE,"OTROS DEP.";#N/A,#N/A,FALSE,"ACREEDORES DIVERSOS"}</definedName>
    <definedName name="wrn.Process._.Graphs." localSheetId="21" hidden="1">{"process graphs",#N/A,FALSE,"graphs&amp;data"}</definedName>
    <definedName name="wrn.Process._.Graphs." localSheetId="20" hidden="1">{"process graphs",#N/A,FALSE,"graphs&amp;data"}</definedName>
    <definedName name="wrn.Process._.Graphs." localSheetId="15" hidden="1">{"process graphs",#N/A,FALSE,"graphs&amp;data"}</definedName>
    <definedName name="wrn.Process._.Graphs." localSheetId="1" hidden="1">{"process graphs",#N/A,FALSE,"graphs&amp;data"}</definedName>
    <definedName name="wrn.Process._.Graphs." localSheetId="22" hidden="1">{"process graphs",#N/A,FALSE,"graphs&amp;data"}</definedName>
    <definedName name="wrn.Process._.Graphs." localSheetId="17" hidden="1">{"process graphs",#N/A,FALSE,"graphs&amp;data"}</definedName>
    <definedName name="wrn.Process._.Graphs." localSheetId="23" hidden="1">{"process graphs",#N/A,FALSE,"graphs&amp;data"}</definedName>
    <definedName name="wrn.Process._.Graphs." localSheetId="16" hidden="1">{"process graphs",#N/A,FALSE,"graphs&amp;data"}</definedName>
    <definedName name="wrn.Process._.Graphs." hidden="1">{"process graphs",#N/A,FALSE,"graphs&amp;data"}</definedName>
    <definedName name="wrn.Process._.Graphs._1" hidden="1">{"process graphs",#N/A,FALSE,"graphs&amp;data"}</definedName>
    <definedName name="wrn.Process._.Graphs._1_1" hidden="1">{"process graphs",#N/A,FALSE,"graphs&amp;data"}</definedName>
    <definedName name="wrn.Process._.Graphs._1_1_1" hidden="1">{"process graphs",#N/A,FALSE,"graphs&amp;data"}</definedName>
    <definedName name="wrn.Process._.Graphs._1_1_2" hidden="1">{"process graphs",#N/A,FALSE,"graphs&amp;data"}</definedName>
    <definedName name="wrn.Process._.Graphs._1_2" hidden="1">{"process graphs",#N/A,FALSE,"graphs&amp;data"}</definedName>
    <definedName name="wrn.Process._.Graphs._1_3" hidden="1">{"process graphs",#N/A,FALSE,"graphs&amp;data"}</definedName>
    <definedName name="wrn.Process._.Graphs._2" hidden="1">{"process graphs",#N/A,FALSE,"graphs&amp;data"}</definedName>
    <definedName name="wrn.Process._.Graphs._2_1" hidden="1">{"process graphs",#N/A,FALSE,"graphs&amp;data"}</definedName>
    <definedName name="wrn.Process._.Graphs._2_2" hidden="1">{"process graphs",#N/A,FALSE,"graphs&amp;data"}</definedName>
    <definedName name="wrn.Process._.Graphs._3" hidden="1">{"process graphs",#N/A,FALSE,"graphs&amp;data"}</definedName>
    <definedName name="wrn.Process._.Graphs._4" hidden="1">{"process graphs",#N/A,FALSE,"graphs&amp;data"}</definedName>
    <definedName name="wrn.Project._.Graphs." localSheetId="21" hidden="1">{"project graphs",#N/A,FALSE,"graphs&amp;data"}</definedName>
    <definedName name="wrn.Project._.Graphs." localSheetId="20" hidden="1">{"project graphs",#N/A,FALSE,"graphs&amp;data"}</definedName>
    <definedName name="wrn.Project._.Graphs." localSheetId="15" hidden="1">{"project graphs",#N/A,FALSE,"graphs&amp;data"}</definedName>
    <definedName name="wrn.Project._.Graphs." localSheetId="1" hidden="1">{"project graphs",#N/A,FALSE,"graphs&amp;data"}</definedName>
    <definedName name="wrn.Project._.Graphs." localSheetId="22" hidden="1">{"project graphs",#N/A,FALSE,"graphs&amp;data"}</definedName>
    <definedName name="wrn.Project._.Graphs." localSheetId="17" hidden="1">{"project graphs",#N/A,FALSE,"graphs&amp;data"}</definedName>
    <definedName name="wrn.Project._.Graphs." localSheetId="23" hidden="1">{"project graphs",#N/A,FALSE,"graphs&amp;data"}</definedName>
    <definedName name="wrn.Project._.Graphs." localSheetId="16" hidden="1">{"project graphs",#N/A,FALSE,"graphs&amp;data"}</definedName>
    <definedName name="wrn.Project._.Graphs." hidden="1">{"project graphs",#N/A,FALSE,"graphs&amp;data"}</definedName>
    <definedName name="wrn.Project._.Graphs._1" hidden="1">{"project graphs",#N/A,FALSE,"graphs&amp;data"}</definedName>
    <definedName name="wrn.Project._.Graphs._1_1" hidden="1">{"project graphs",#N/A,FALSE,"graphs&amp;data"}</definedName>
    <definedName name="wrn.Project._.Graphs._1_1_1" hidden="1">{"project graphs",#N/A,FALSE,"graphs&amp;data"}</definedName>
    <definedName name="wrn.Project._.Graphs._1_1_2" hidden="1">{"project graphs",#N/A,FALSE,"graphs&amp;data"}</definedName>
    <definedName name="wrn.Project._.Graphs._1_2" hidden="1">{"project graphs",#N/A,FALSE,"graphs&amp;data"}</definedName>
    <definedName name="wrn.Project._.Graphs._1_3" hidden="1">{"project graphs",#N/A,FALSE,"graphs&amp;data"}</definedName>
    <definedName name="wrn.Project._.Graphs._2" hidden="1">{"project graphs",#N/A,FALSE,"graphs&amp;data"}</definedName>
    <definedName name="wrn.Project._.Graphs._2_1" hidden="1">{"project graphs",#N/A,FALSE,"graphs&amp;data"}</definedName>
    <definedName name="wrn.Project._.Graphs._2_2" hidden="1">{"project graphs",#N/A,FALSE,"graphs&amp;data"}</definedName>
    <definedName name="wrn.Project._.Graphs._3" hidden="1">{"project graphs",#N/A,FALSE,"graphs&amp;data"}</definedName>
    <definedName name="wrn.Project._.Graphs._4" hidden="1">{"project graphs",#N/A,FALSE,"graphs&amp;data"}</definedName>
    <definedName name="wrn.SUBSIDIARIAS." hidden="1">{#N/A,#N/A,FALSE,"SUBSIDIARIAS"}</definedName>
    <definedName name="wrn.SUBSIDIARIAS._1" hidden="1">{#N/A,#N/A,FALSE,"SUBSIDIARIAS"}</definedName>
    <definedName name="wrn.SUBSIDIARIAS._1_1" hidden="1">{#N/A,#N/A,FALSE,"SUBSIDIARIAS"}</definedName>
    <definedName name="wrn.SUBSIDIARIAS._1_1_1" hidden="1">{#N/A,#N/A,FALSE,"SUBSIDIARIAS"}</definedName>
    <definedName name="wrn.SUBSIDIARIAS._1_1_2" hidden="1">{#N/A,#N/A,FALSE,"SUBSIDIARIAS"}</definedName>
    <definedName name="wrn.SUBSIDIARIAS._1_2" hidden="1">{#N/A,#N/A,FALSE,"SUBSIDIARIAS"}</definedName>
    <definedName name="wrn.SUBSIDIARIAS._1_3" hidden="1">{#N/A,#N/A,FALSE,"SUBSIDIARIAS"}</definedName>
    <definedName name="wrn.SUBSIDIARIAS._2" hidden="1">{#N/A,#N/A,FALSE,"SUBSIDIARIAS"}</definedName>
    <definedName name="wrn.SUBSIDIARIAS._2_1" hidden="1">{#N/A,#N/A,FALSE,"SUBSIDIARIAS"}</definedName>
    <definedName name="wrn.SUBSIDIARIAS._2_2" hidden="1">{#N/A,#N/A,FALSE,"SUBSIDIARIAS"}</definedName>
    <definedName name="wrn.SUBSIDIARIAS._3" hidden="1">{#N/A,#N/A,FALSE,"SUBSIDIARIAS"}</definedName>
    <definedName name="wrn.SUBSIDIARIAS._4" hidden="1">{#N/A,#N/A,FALSE,"SUBSIDIARIAS"}</definedName>
    <definedName name="wrn.testprint." localSheetId="21" hidden="1">{"test",#N/A,FALSE,"VAR BILL"}</definedName>
    <definedName name="wrn.testprint." localSheetId="20" hidden="1">{"test",#N/A,FALSE,"VAR BILL"}</definedName>
    <definedName name="wrn.testprint." localSheetId="15" hidden="1">{"test",#N/A,FALSE,"VAR BILL"}</definedName>
    <definedName name="wrn.testprint." localSheetId="1" hidden="1">{"test",#N/A,FALSE,"VAR BILL"}</definedName>
    <definedName name="wrn.testprint." localSheetId="22" hidden="1">{"test",#N/A,FALSE,"VAR BILL"}</definedName>
    <definedName name="wrn.testprint." localSheetId="17" hidden="1">{"test",#N/A,FALSE,"VAR BILL"}</definedName>
    <definedName name="wrn.testprint." localSheetId="23" hidden="1">{"test",#N/A,FALSE,"VAR BILL"}</definedName>
    <definedName name="wrn.testprint." localSheetId="16" hidden="1">{"test",#N/A,FALSE,"VAR BILL"}</definedName>
    <definedName name="wrn.testprint." hidden="1">{"test",#N/A,FALSE,"VAR BILL"}</definedName>
    <definedName name="wrn.testprint._1" hidden="1">{"test",#N/A,FALSE,"VAR BILL"}</definedName>
    <definedName name="wrn.testprint._1_1" hidden="1">{"test",#N/A,FALSE,"VAR BILL"}</definedName>
    <definedName name="wrn.testprint._1_1_1" hidden="1">{"test",#N/A,FALSE,"VAR BILL"}</definedName>
    <definedName name="wrn.testprint._1_1_2" hidden="1">{"test",#N/A,FALSE,"VAR BILL"}</definedName>
    <definedName name="wrn.testprint._1_2" hidden="1">{"test",#N/A,FALSE,"VAR BILL"}</definedName>
    <definedName name="wrn.testprint._1_3" hidden="1">{"test",#N/A,FALSE,"VAR BILL"}</definedName>
    <definedName name="wrn.testprint._2" hidden="1">{"test",#N/A,FALSE,"VAR BILL"}</definedName>
    <definedName name="wrn.testprint._2_1" hidden="1">{"test",#N/A,FALSE,"VAR BILL"}</definedName>
    <definedName name="wrn.testprint._2_2" hidden="1">{"test",#N/A,FALSE,"VAR BILL"}</definedName>
    <definedName name="wrn.testprint._3" hidden="1">{"test",#N/A,FALSE,"VAR BILL"}</definedName>
    <definedName name="wrn.testprint._4" hidden="1">{"test",#N/A,FALSE,"VAR BILL"}</definedName>
    <definedName name="wrn.UDIS." hidden="1">{#N/A,#N/A,FALSE,"UDIS SEPT 96"}</definedName>
    <definedName name="wrn.UDIS._1" hidden="1">{#N/A,#N/A,FALSE,"UDIS SEPT 96"}</definedName>
    <definedName name="wrn.UDIS._1_1" hidden="1">{#N/A,#N/A,FALSE,"UDIS SEPT 96"}</definedName>
    <definedName name="wrn.UDIS._1_1_1" hidden="1">{#N/A,#N/A,FALSE,"UDIS SEPT 96"}</definedName>
    <definedName name="wrn.UDIS._1_1_2" hidden="1">{#N/A,#N/A,FALSE,"UDIS SEPT 96"}</definedName>
    <definedName name="wrn.UDIS._1_2" hidden="1">{#N/A,#N/A,FALSE,"UDIS SEPT 96"}</definedName>
    <definedName name="wrn.UDIS._1_3" hidden="1">{#N/A,#N/A,FALSE,"UDIS SEPT 96"}</definedName>
    <definedName name="wrn.UDIS._2" hidden="1">{#N/A,#N/A,FALSE,"UDIS SEPT 96"}</definedName>
    <definedName name="wrn.UDIS._2_1" hidden="1">{#N/A,#N/A,FALSE,"UDIS SEPT 96"}</definedName>
    <definedName name="wrn.UDIS._2_2" hidden="1">{#N/A,#N/A,FALSE,"UDIS SEPT 96"}</definedName>
    <definedName name="wrn.UDIS._3" hidden="1">{#N/A,#N/A,FALSE,"UDIS SEPT 96"}</definedName>
    <definedName name="wrn.UDIS._4" hidden="1">{#N/A,#N/A,FALSE,"UDIS SEPT 96"}</definedName>
    <definedName name="wwww" localSheetId="3" hidden="1">#REF!</definedName>
    <definedName name="wwww" localSheetId="13" hidden="1">#REF!</definedName>
    <definedName name="wwww" localSheetId="14" hidden="1">#REF!</definedName>
    <definedName name="wwww" localSheetId="22" hidden="1">#REF!</definedName>
    <definedName name="wwww" localSheetId="23" hidden="1">#REF!</definedName>
    <definedName name="wwww" localSheetId="16" hidden="1">#REF!</definedName>
    <definedName name="wwww" hidden="1">#REF!</definedName>
    <definedName name="XREF_COLUMN_3" localSheetId="3" hidden="1">'[14]G 5.4 diciembre 2007'!#REF!</definedName>
    <definedName name="XREF_COLUMN_3" localSheetId="13" hidden="1">'[14]G 5.4 diciembre 2007'!#REF!</definedName>
    <definedName name="XREF_COLUMN_3" localSheetId="14" hidden="1">'[14]G 5.4 diciembre 2007'!#REF!</definedName>
    <definedName name="XREF_COLUMN_3" localSheetId="22" hidden="1">'[14]G 5.4 diciembre 2007'!#REF!</definedName>
    <definedName name="XREF_COLUMN_3" localSheetId="23" hidden="1">'[14]G 5.4 diciembre 2007'!#REF!</definedName>
    <definedName name="XREF_COLUMN_3" localSheetId="16" hidden="1">'[14]G 5.4 diciembre 2007'!#REF!</definedName>
    <definedName name="XREF_COLUMN_3" hidden="1">'[14]G 5.4 diciembre 2007'!#REF!</definedName>
    <definedName name="XREF_COLUMN_4" localSheetId="3" hidden="1">#REF!</definedName>
    <definedName name="XREF_COLUMN_4" localSheetId="13" hidden="1">#REF!</definedName>
    <definedName name="XREF_COLUMN_4" localSheetId="14" hidden="1">#REF!</definedName>
    <definedName name="XREF_COLUMN_4" localSheetId="22" hidden="1">#REF!</definedName>
    <definedName name="XREF_COLUMN_4" localSheetId="23" hidden="1">#REF!</definedName>
    <definedName name="XREF_COLUMN_4" localSheetId="16" hidden="1">#REF!</definedName>
    <definedName name="XREF_COLUMN_4" hidden="1">#REF!</definedName>
    <definedName name="XRefActiveRow" localSheetId="3" hidden="1">#REF!</definedName>
    <definedName name="XRefActiveRow" localSheetId="13" hidden="1">#REF!</definedName>
    <definedName name="XRefActiveRow" localSheetId="14" hidden="1">#REF!</definedName>
    <definedName name="XRefActiveRow" localSheetId="22" hidden="1">#REF!</definedName>
    <definedName name="XRefActiveRow" localSheetId="23" hidden="1">#REF!</definedName>
    <definedName name="XRefActiveRow" localSheetId="16" hidden="1">#REF!</definedName>
    <definedName name="XRefActiveRow" hidden="1">#REF!</definedName>
    <definedName name="XRefColumnsCount" hidden="1">4</definedName>
    <definedName name="XRefCopy1" localSheetId="3" hidden="1">'[15]CONC MARZO'!#REF!</definedName>
    <definedName name="XRefCopy1" localSheetId="13" hidden="1">'[15]CONC MARZO'!#REF!</definedName>
    <definedName name="XRefCopy1" localSheetId="14" hidden="1">'[15]CONC MARZO'!#REF!</definedName>
    <definedName name="XRefCopy1" localSheetId="22" hidden="1">'[15]CONC MARZO'!#REF!</definedName>
    <definedName name="XRefCopy1" localSheetId="23" hidden="1">'[15]CONC MARZO'!#REF!</definedName>
    <definedName name="XRefCopy1" localSheetId="16" hidden="1">'[15]CONC MARZO'!#REF!</definedName>
    <definedName name="XRefCopy1" hidden="1">'[15]CONC MARZO'!#REF!</definedName>
    <definedName name="XRefCopy1Row" localSheetId="3" hidden="1">#REF!</definedName>
    <definedName name="XRefCopy1Row" localSheetId="13" hidden="1">#REF!</definedName>
    <definedName name="XRefCopy1Row" localSheetId="14" hidden="1">#REF!</definedName>
    <definedName name="XRefCopy1Row" localSheetId="22" hidden="1">#REF!</definedName>
    <definedName name="XRefCopy1Row" localSheetId="23" hidden="1">#REF!</definedName>
    <definedName name="XRefCopy1Row" localSheetId="16" hidden="1">#REF!</definedName>
    <definedName name="XRefCopy1Row" hidden="1">#REF!</definedName>
    <definedName name="XRefCopy2Row" localSheetId="3" hidden="1">#REF!</definedName>
    <definedName name="XRefCopy2Row" localSheetId="13" hidden="1">#REF!</definedName>
    <definedName name="XRefCopy2Row" localSheetId="14" hidden="1">#REF!</definedName>
    <definedName name="XRefCopy2Row" localSheetId="22" hidden="1">#REF!</definedName>
    <definedName name="XRefCopy2Row" localSheetId="23" hidden="1">#REF!</definedName>
    <definedName name="XRefCopy2Row" localSheetId="16" hidden="1">#REF!</definedName>
    <definedName name="XRefCopy2Row" hidden="1">#REF!</definedName>
    <definedName name="XRefCopy3Row" localSheetId="3" hidden="1">#REF!</definedName>
    <definedName name="XRefCopy3Row" localSheetId="13" hidden="1">#REF!</definedName>
    <definedName name="XRefCopy3Row" localSheetId="14" hidden="1">#REF!</definedName>
    <definedName name="XRefCopy3Row" localSheetId="22" hidden="1">#REF!</definedName>
    <definedName name="XRefCopy3Row" localSheetId="23" hidden="1">#REF!</definedName>
    <definedName name="XRefCopy3Row" localSheetId="16" hidden="1">#REF!</definedName>
    <definedName name="XRefCopy3Row" hidden="1">#REF!</definedName>
    <definedName name="XRefCopy4" localSheetId="3" hidden="1">'[15]CONC MARZO'!#REF!</definedName>
    <definedName name="XRefCopy4" localSheetId="13" hidden="1">'[15]CONC MARZO'!#REF!</definedName>
    <definedName name="XRefCopy4" localSheetId="14" hidden="1">'[15]CONC MARZO'!#REF!</definedName>
    <definedName name="XRefCopy4" localSheetId="22" hidden="1">'[15]CONC MARZO'!#REF!</definedName>
    <definedName name="XRefCopy4" localSheetId="23" hidden="1">'[15]CONC MARZO'!#REF!</definedName>
    <definedName name="XRefCopy4" localSheetId="16" hidden="1">'[15]CONC MARZO'!#REF!</definedName>
    <definedName name="XRefCopy4" hidden="1">'[15]CONC MARZO'!#REF!</definedName>
    <definedName name="XRefCopy5" localSheetId="3" hidden="1">#REF!</definedName>
    <definedName name="XRefCopy5" localSheetId="13" hidden="1">#REF!</definedName>
    <definedName name="XRefCopy5" localSheetId="14" hidden="1">#REF!</definedName>
    <definedName name="XRefCopy5" localSheetId="22" hidden="1">#REF!</definedName>
    <definedName name="XRefCopy5" localSheetId="23" hidden="1">#REF!</definedName>
    <definedName name="XRefCopy5" localSheetId="16" hidden="1">#REF!</definedName>
    <definedName name="XRefCopy5" hidden="1">#REF!</definedName>
    <definedName name="XRefCopy5Row" localSheetId="3" hidden="1">[16]XREF!#REF!</definedName>
    <definedName name="XRefCopy5Row" localSheetId="13" hidden="1">[16]XREF!#REF!</definedName>
    <definedName name="XRefCopy5Row" localSheetId="14" hidden="1">[16]XREF!#REF!</definedName>
    <definedName name="XRefCopy5Row" localSheetId="22" hidden="1">[16]XREF!#REF!</definedName>
    <definedName name="XRefCopy5Row" localSheetId="23" hidden="1">[16]XREF!#REF!</definedName>
    <definedName name="XRefCopy5Row" localSheetId="16" hidden="1">[16]XREF!#REF!</definedName>
    <definedName name="XRefCopy5Row" hidden="1">[16]XREF!#REF!</definedName>
    <definedName name="XRefCopy6Row" localSheetId="3" hidden="1">#REF!</definedName>
    <definedName name="XRefCopy6Row" localSheetId="13" hidden="1">#REF!</definedName>
    <definedName name="XRefCopy6Row" localSheetId="14" hidden="1">#REF!</definedName>
    <definedName name="XRefCopy6Row" localSheetId="22" hidden="1">#REF!</definedName>
    <definedName name="XRefCopy6Row" localSheetId="23" hidden="1">#REF!</definedName>
    <definedName name="XRefCopy6Row" localSheetId="16" hidden="1">#REF!</definedName>
    <definedName name="XRefCopy6Row" hidden="1">#REF!</definedName>
    <definedName name="XRefCopyRangeCount" hidden="1">6</definedName>
    <definedName name="XRefPaste1Row" localSheetId="3" hidden="1">#REF!</definedName>
    <definedName name="XRefPaste1Row" localSheetId="13" hidden="1">#REF!</definedName>
    <definedName name="XRefPaste1Row" localSheetId="14" hidden="1">#REF!</definedName>
    <definedName name="XRefPaste1Row" localSheetId="22" hidden="1">#REF!</definedName>
    <definedName name="XRefPaste1Row" localSheetId="23" hidden="1">#REF!</definedName>
    <definedName name="XRefPaste1Row" localSheetId="16" hidden="1">#REF!</definedName>
    <definedName name="XRefPaste1Row" hidden="1">#REF!</definedName>
    <definedName name="XRefPaste2Row" localSheetId="3" hidden="1">#REF!</definedName>
    <definedName name="XRefPaste2Row" localSheetId="13" hidden="1">#REF!</definedName>
    <definedName name="XRefPaste2Row" localSheetId="14" hidden="1">#REF!</definedName>
    <definedName name="XRefPaste2Row" localSheetId="22" hidden="1">#REF!</definedName>
    <definedName name="XRefPaste2Row" localSheetId="23" hidden="1">#REF!</definedName>
    <definedName name="XRefPaste2Row" localSheetId="16" hidden="1">#REF!</definedName>
    <definedName name="XRefPaste2Row" hidden="1">#REF!</definedName>
    <definedName name="XRefPaste3Row" localSheetId="3" hidden="1">#REF!</definedName>
    <definedName name="XRefPaste3Row" localSheetId="13" hidden="1">#REF!</definedName>
    <definedName name="XRefPaste3Row" localSheetId="14" hidden="1">#REF!</definedName>
    <definedName name="XRefPaste3Row" localSheetId="22" hidden="1">#REF!</definedName>
    <definedName name="XRefPaste3Row" localSheetId="23" hidden="1">#REF!</definedName>
    <definedName name="XRefPaste3Row" localSheetId="16" hidden="1">#REF!</definedName>
    <definedName name="XRefPaste3Row" hidden="1">#REF!</definedName>
    <definedName name="XRefPaste4" localSheetId="3" hidden="1">#REF!</definedName>
    <definedName name="XRefPaste4" localSheetId="13" hidden="1">#REF!</definedName>
    <definedName name="XRefPaste4" localSheetId="14" hidden="1">#REF!</definedName>
    <definedName name="XRefPaste4" localSheetId="22" hidden="1">#REF!</definedName>
    <definedName name="XRefPaste4" localSheetId="23" hidden="1">#REF!</definedName>
    <definedName name="XRefPaste4" localSheetId="16" hidden="1">#REF!</definedName>
    <definedName name="XRefPaste4" hidden="1">#REF!</definedName>
    <definedName name="XRefPaste4Row" localSheetId="3" hidden="1">#REF!</definedName>
    <definedName name="XRefPaste4Row" localSheetId="13" hidden="1">#REF!</definedName>
    <definedName name="XRefPaste4Row" localSheetId="14" hidden="1">#REF!</definedName>
    <definedName name="XRefPaste4Row" localSheetId="22" hidden="1">#REF!</definedName>
    <definedName name="XRefPaste4Row" localSheetId="23" hidden="1">#REF!</definedName>
    <definedName name="XRefPaste4Row" localSheetId="16" hidden="1">#REF!</definedName>
    <definedName name="XRefPaste4Row" hidden="1">#REF!</definedName>
    <definedName name="XRefPasteRangeCount" hidden="1">4</definedName>
    <definedName name="YO" hidden="1">{#N/A,#N/A,FALSE,"EDO. RES. INT";#N/A,#N/A,FALSE,"EDO. RES. CNB";#N/A,#N/A,FALSE,"EDO. RES. CONT."}</definedName>
    <definedName name="YO_1" hidden="1">{#N/A,#N/A,FALSE,"EDO. RES. INT";#N/A,#N/A,FALSE,"EDO. RES. CNB";#N/A,#N/A,FALSE,"EDO. RES. CONT."}</definedName>
    <definedName name="YO_1_1" hidden="1">{#N/A,#N/A,FALSE,"EDO. RES. INT";#N/A,#N/A,FALSE,"EDO. RES. CNB";#N/A,#N/A,FALSE,"EDO. RES. CONT."}</definedName>
    <definedName name="YO_1_1_1" hidden="1">{#N/A,#N/A,FALSE,"EDO. RES. INT";#N/A,#N/A,FALSE,"EDO. RES. CNB";#N/A,#N/A,FALSE,"EDO. RES. CONT."}</definedName>
    <definedName name="YO_1_1_2" hidden="1">{#N/A,#N/A,FALSE,"EDO. RES. INT";#N/A,#N/A,FALSE,"EDO. RES. CNB";#N/A,#N/A,FALSE,"EDO. RES. CONT."}</definedName>
    <definedName name="YO_1_2" hidden="1">{#N/A,#N/A,FALSE,"EDO. RES. INT";#N/A,#N/A,FALSE,"EDO. RES. CNB";#N/A,#N/A,FALSE,"EDO. RES. CONT."}</definedName>
    <definedName name="YO_1_3" hidden="1">{#N/A,#N/A,FALSE,"EDO. RES. INT";#N/A,#N/A,FALSE,"EDO. RES. CNB";#N/A,#N/A,FALSE,"EDO. RES. CONT."}</definedName>
    <definedName name="YO_2" hidden="1">{#N/A,#N/A,FALSE,"EDO. RES. INT";#N/A,#N/A,FALSE,"EDO. RES. CNB";#N/A,#N/A,FALSE,"EDO. RES. CONT."}</definedName>
    <definedName name="YO_2_1" hidden="1">{#N/A,#N/A,FALSE,"EDO. RES. INT";#N/A,#N/A,FALSE,"EDO. RES. CNB";#N/A,#N/A,FALSE,"EDO. RES. CONT."}</definedName>
    <definedName name="YO_2_2" hidden="1">{#N/A,#N/A,FALSE,"EDO. RES. INT";#N/A,#N/A,FALSE,"EDO. RES. CNB";#N/A,#N/A,FALSE,"EDO. RES. CONT."}</definedName>
    <definedName name="YO_3" hidden="1">{#N/A,#N/A,FALSE,"EDO. RES. INT";#N/A,#N/A,FALSE,"EDO. RES. CNB";#N/A,#N/A,FALSE,"EDO. RES. CONT."}</definedName>
    <definedName name="YO_4" hidden="1">{#N/A,#N/A,FALSE,"EDO. RES. INT";#N/A,#N/A,FALSE,"EDO. RES. CNB";#N/A,#N/A,FALSE,"EDO. RES. CONT."}</definedName>
    <definedName name="yy" hidden="1">{#N/A,#N/A,FALSE,"SUBSIDIARIAS"}</definedName>
    <definedName name="yy_1" hidden="1">{#N/A,#N/A,FALSE,"SUBSIDIARIAS"}</definedName>
    <definedName name="yy_1_1" hidden="1">{#N/A,#N/A,FALSE,"SUBSIDIARIAS"}</definedName>
    <definedName name="yy_1_1_1" hidden="1">{#N/A,#N/A,FALSE,"SUBSIDIARIAS"}</definedName>
    <definedName name="yy_1_1_2" hidden="1">{#N/A,#N/A,FALSE,"SUBSIDIARIAS"}</definedName>
    <definedName name="yy_1_2" hidden="1">{#N/A,#N/A,FALSE,"SUBSIDIARIAS"}</definedName>
    <definedName name="yy_1_3" hidden="1">{#N/A,#N/A,FALSE,"SUBSIDIARIAS"}</definedName>
    <definedName name="yy_2" hidden="1">{#N/A,#N/A,FALSE,"SUBSIDIARIAS"}</definedName>
    <definedName name="yy_2_1" hidden="1">{#N/A,#N/A,FALSE,"SUBSIDIARIAS"}</definedName>
    <definedName name="yy_2_2" hidden="1">{#N/A,#N/A,FALSE,"SUBSIDIARIAS"}</definedName>
    <definedName name="yy_3" hidden="1">{#N/A,#N/A,FALSE,"SUBSIDIARIAS"}</definedName>
    <definedName name="yy_4" hidden="1">{#N/A,#N/A,FALSE,"SUBSIDIARIAS"}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2" i="2" l="1"/>
  <c r="C31" i="2"/>
  <c r="C30" i="2"/>
  <c r="C29" i="2"/>
  <c r="C28" i="2"/>
  <c r="C27" i="2"/>
  <c r="C26" i="2"/>
  <c r="C25" i="2"/>
  <c r="C24" i="2"/>
  <c r="C23" i="2"/>
  <c r="C22" i="2"/>
  <c r="C21" i="2"/>
  <c r="C20" i="2"/>
  <c r="C18" i="2"/>
  <c r="C17" i="2"/>
  <c r="C16" i="2"/>
  <c r="C15" i="2"/>
  <c r="C14" i="2"/>
  <c r="C13" i="2"/>
  <c r="C12" i="2"/>
  <c r="C11" i="2"/>
  <c r="C10" i="2"/>
  <c r="C9" i="2"/>
  <c r="C8" i="2"/>
  <c r="C7" i="2"/>
  <c r="C5" i="2"/>
  <c r="C4" i="2"/>
  <c r="C2" i="2"/>
  <c r="D10" i="22" l="1"/>
  <c r="C10" i="22"/>
  <c r="B10" i="22"/>
  <c r="F10" i="22"/>
  <c r="E10" i="22"/>
  <c r="F17" i="22"/>
  <c r="E17" i="22"/>
  <c r="D17" i="22"/>
  <c r="C17" i="22"/>
  <c r="B17" i="22"/>
  <c r="F35" i="2" l="1"/>
  <c r="F34" i="2"/>
  <c r="F33" i="2"/>
  <c r="F32" i="2"/>
  <c r="F31" i="2"/>
  <c r="F30" i="2"/>
  <c r="F29" i="2"/>
  <c r="F28" i="2"/>
  <c r="F22" i="2"/>
  <c r="F19" i="2"/>
  <c r="F18" i="2"/>
  <c r="F17" i="2"/>
  <c r="F16" i="2"/>
  <c r="F15" i="2"/>
  <c r="F14" i="2"/>
  <c r="F13" i="2"/>
  <c r="F12" i="2"/>
  <c r="F11" i="2"/>
  <c r="F10" i="2"/>
  <c r="F9" i="2"/>
  <c r="F6" i="2"/>
  <c r="F5" i="2"/>
  <c r="A39" i="25" l="1"/>
  <c r="A38" i="25"/>
  <c r="A37" i="25"/>
  <c r="A36" i="25"/>
  <c r="A35" i="25"/>
  <c r="G40" i="25"/>
  <c r="B40" i="25"/>
  <c r="A34" i="25"/>
  <c r="A33" i="25"/>
  <c r="E40" i="25"/>
  <c r="D40" i="25"/>
  <c r="A32" i="25"/>
  <c r="B30" i="25"/>
  <c r="G27" i="25"/>
  <c r="E27" i="25"/>
  <c r="A26" i="25"/>
  <c r="A25" i="25"/>
  <c r="A24" i="25"/>
  <c r="A23" i="25"/>
  <c r="H27" i="25"/>
  <c r="F27" i="25"/>
  <c r="A22" i="25"/>
  <c r="I27" i="25"/>
  <c r="A21" i="25"/>
  <c r="A20" i="25"/>
  <c r="C27" i="25"/>
  <c r="A19" i="25"/>
  <c r="H18" i="25"/>
  <c r="B17" i="25"/>
  <c r="F14" i="25"/>
  <c r="C14" i="25"/>
  <c r="A13" i="25"/>
  <c r="E14" i="25"/>
  <c r="A12" i="25"/>
  <c r="A11" i="25"/>
  <c r="G14" i="25"/>
  <c r="D14" i="25"/>
  <c r="A10" i="25"/>
  <c r="A9" i="25"/>
  <c r="I14" i="25"/>
  <c r="B14" i="25"/>
  <c r="A8" i="25"/>
  <c r="A7" i="25"/>
  <c r="A6" i="25"/>
  <c r="I5" i="25"/>
  <c r="H5" i="25"/>
  <c r="H31" i="25" s="1"/>
  <c r="G5" i="25"/>
  <c r="F5" i="25"/>
  <c r="E5" i="25"/>
  <c r="D5" i="25"/>
  <c r="C5" i="25"/>
  <c r="B5" i="25"/>
  <c r="B18" i="25" s="1"/>
  <c r="B4" i="25"/>
  <c r="A2" i="25"/>
  <c r="A1" i="25"/>
  <c r="D67" i="24"/>
  <c r="A61" i="24"/>
  <c r="A60" i="24"/>
  <c r="I56" i="24"/>
  <c r="F56" i="24"/>
  <c r="E56" i="24"/>
  <c r="D56" i="24"/>
  <c r="A56" i="24"/>
  <c r="A55" i="24"/>
  <c r="A54" i="24"/>
  <c r="C56" i="24"/>
  <c r="A53" i="24"/>
  <c r="H56" i="24"/>
  <c r="G56" i="24"/>
  <c r="B56" i="24"/>
  <c r="A52" i="24"/>
  <c r="B50" i="24"/>
  <c r="A47" i="24"/>
  <c r="C46" i="24"/>
  <c r="B46" i="24"/>
  <c r="E41" i="24"/>
  <c r="D41" i="24"/>
  <c r="B40" i="24"/>
  <c r="A38" i="24"/>
  <c r="A37" i="24"/>
  <c r="A36" i="24"/>
  <c r="A35" i="24"/>
  <c r="A34" i="24"/>
  <c r="A33" i="24"/>
  <c r="A32" i="24"/>
  <c r="I31" i="24"/>
  <c r="E31" i="24"/>
  <c r="D31" i="24"/>
  <c r="B30" i="24"/>
  <c r="F28" i="24"/>
  <c r="D28" i="24"/>
  <c r="F27" i="24"/>
  <c r="D27" i="24"/>
  <c r="C27" i="24"/>
  <c r="B27" i="24"/>
  <c r="A27" i="24"/>
  <c r="A26" i="24"/>
  <c r="E28" i="24"/>
  <c r="C28" i="24"/>
  <c r="A25" i="24"/>
  <c r="I27" i="24"/>
  <c r="A24" i="24"/>
  <c r="E27" i="24"/>
  <c r="A23" i="24"/>
  <c r="B21" i="24"/>
  <c r="I20" i="24"/>
  <c r="H20" i="24"/>
  <c r="G20" i="24"/>
  <c r="G19" i="24"/>
  <c r="E19" i="24"/>
  <c r="A19" i="24"/>
  <c r="E18" i="24"/>
  <c r="A18" i="24"/>
  <c r="F19" i="24"/>
  <c r="A17" i="24"/>
  <c r="A16" i="24"/>
  <c r="I19" i="24"/>
  <c r="A15" i="24"/>
  <c r="G18" i="24"/>
  <c r="F18" i="24"/>
  <c r="A14" i="24"/>
  <c r="E13" i="24"/>
  <c r="B12" i="24"/>
  <c r="C11" i="24"/>
  <c r="D10" i="24"/>
  <c r="F9" i="24"/>
  <c r="C9" i="24"/>
  <c r="A9" i="24"/>
  <c r="C10" i="24"/>
  <c r="B10" i="24"/>
  <c r="A8" i="24"/>
  <c r="A7" i="24"/>
  <c r="E9" i="24"/>
  <c r="D9" i="24"/>
  <c r="A6" i="24"/>
  <c r="H10" i="24"/>
  <c r="B9" i="24"/>
  <c r="A5" i="24"/>
  <c r="I4" i="24"/>
  <c r="H4" i="24"/>
  <c r="H41" i="24" s="1"/>
  <c r="G4" i="24"/>
  <c r="F4" i="24"/>
  <c r="F51" i="24" s="1"/>
  <c r="E4" i="24"/>
  <c r="E22" i="24" s="1"/>
  <c r="D4" i="24"/>
  <c r="D22" i="24" s="1"/>
  <c r="C4" i="24"/>
  <c r="C41" i="24" s="1"/>
  <c r="B4" i="24"/>
  <c r="B3" i="24"/>
  <c r="A2" i="24"/>
  <c r="A1" i="24"/>
  <c r="A73" i="23"/>
  <c r="A70" i="23"/>
  <c r="A69" i="23"/>
  <c r="A68" i="23"/>
  <c r="A67" i="23"/>
  <c r="A66" i="23"/>
  <c r="A65" i="23"/>
  <c r="A64" i="23"/>
  <c r="B63" i="23"/>
  <c r="B62" i="23"/>
  <c r="A58" i="23"/>
  <c r="B51" i="23"/>
  <c r="D48" i="23"/>
  <c r="A48" i="23"/>
  <c r="A47" i="23"/>
  <c r="A46" i="23"/>
  <c r="A45" i="23"/>
  <c r="A44" i="23"/>
  <c r="D43" i="23"/>
  <c r="C43" i="23"/>
  <c r="B42" i="23"/>
  <c r="H48" i="23"/>
  <c r="F48" i="23"/>
  <c r="E48" i="23"/>
  <c r="A38" i="23"/>
  <c r="A37" i="23"/>
  <c r="A36" i="23"/>
  <c r="A35" i="23"/>
  <c r="I48" i="23"/>
  <c r="A34" i="23"/>
  <c r="A33" i="23"/>
  <c r="A32" i="23"/>
  <c r="E31" i="23"/>
  <c r="D31" i="23"/>
  <c r="B30" i="23"/>
  <c r="A27" i="23"/>
  <c r="A26" i="23"/>
  <c r="C27" i="23"/>
  <c r="A25" i="23"/>
  <c r="A24" i="23"/>
  <c r="A23" i="23"/>
  <c r="A22" i="23"/>
  <c r="A21" i="23"/>
  <c r="B27" i="23"/>
  <c r="A20" i="23"/>
  <c r="A19" i="23"/>
  <c r="E18" i="23"/>
  <c r="D18" i="23"/>
  <c r="B17" i="23"/>
  <c r="E14" i="23"/>
  <c r="D14" i="23"/>
  <c r="C14" i="23"/>
  <c r="B14" i="23"/>
  <c r="A13" i="23"/>
  <c r="A12" i="23"/>
  <c r="A11" i="23"/>
  <c r="A10" i="23"/>
  <c r="G14" i="23"/>
  <c r="A9" i="23"/>
  <c r="A8" i="23"/>
  <c r="I14" i="23"/>
  <c r="A7" i="23"/>
  <c r="A6" i="23"/>
  <c r="I5" i="23"/>
  <c r="H5" i="23"/>
  <c r="G5" i="23"/>
  <c r="F5" i="23"/>
  <c r="F18" i="23" s="1"/>
  <c r="E5" i="23"/>
  <c r="E63" i="23" s="1"/>
  <c r="D5" i="23"/>
  <c r="D52" i="23" s="1"/>
  <c r="C5" i="23"/>
  <c r="C31" i="23" s="1"/>
  <c r="B5" i="23"/>
  <c r="B52" i="23" s="1"/>
  <c r="B4" i="23"/>
  <c r="A2" i="23"/>
  <c r="A1" i="23"/>
  <c r="A21" i="22"/>
  <c r="A17" i="22"/>
  <c r="A16" i="22"/>
  <c r="I10" i="22"/>
  <c r="A15" i="22"/>
  <c r="A14" i="22"/>
  <c r="A13" i="22"/>
  <c r="H10" i="22"/>
  <c r="A12" i="22"/>
  <c r="A11" i="22"/>
  <c r="G10" i="22"/>
  <c r="A10" i="22"/>
  <c r="A9" i="22"/>
  <c r="A8" i="22"/>
  <c r="G17" i="22"/>
  <c r="A7" i="22"/>
  <c r="A6" i="22"/>
  <c r="I5" i="22"/>
  <c r="H5" i="22"/>
  <c r="G5" i="22"/>
  <c r="F5" i="22"/>
  <c r="E5" i="22"/>
  <c r="D5" i="22"/>
  <c r="C5" i="22"/>
  <c r="B5" i="22"/>
  <c r="B4" i="22"/>
  <c r="A2" i="22"/>
  <c r="A1" i="22"/>
  <c r="A38" i="21"/>
  <c r="A36" i="21"/>
  <c r="A35" i="21"/>
  <c r="A34" i="21"/>
  <c r="A32" i="21"/>
  <c r="A31" i="21"/>
  <c r="A30" i="21"/>
  <c r="A28" i="21"/>
  <c r="A27" i="21"/>
  <c r="A26" i="21"/>
  <c r="A24" i="21"/>
  <c r="A23" i="21"/>
  <c r="A22" i="21"/>
  <c r="A20" i="21"/>
  <c r="A19" i="21"/>
  <c r="A18" i="21"/>
  <c r="A16" i="21"/>
  <c r="A15" i="21"/>
  <c r="A14" i="21"/>
  <c r="A12" i="21"/>
  <c r="A11" i="21"/>
  <c r="A10" i="21"/>
  <c r="A8" i="21"/>
  <c r="A7" i="21"/>
  <c r="A6" i="21"/>
  <c r="I4" i="21"/>
  <c r="H4" i="21"/>
  <c r="G4" i="21"/>
  <c r="F4" i="21"/>
  <c r="E4" i="21"/>
  <c r="D4" i="21"/>
  <c r="C4" i="21"/>
  <c r="B4" i="21"/>
  <c r="F3" i="21"/>
  <c r="B3" i="21"/>
  <c r="A2" i="21"/>
  <c r="A1" i="21"/>
  <c r="A17" i="20"/>
  <c r="A16" i="20"/>
  <c r="A15" i="20"/>
  <c r="A12" i="20"/>
  <c r="A11" i="20"/>
  <c r="A10" i="20"/>
  <c r="A9" i="20"/>
  <c r="A8" i="20"/>
  <c r="A7" i="20"/>
  <c r="A6" i="20"/>
  <c r="H5" i="20"/>
  <c r="D5" i="20"/>
  <c r="I5" i="20" s="1"/>
  <c r="I4" i="20"/>
  <c r="E4" i="20"/>
  <c r="D4" i="20"/>
  <c r="H3" i="20"/>
  <c r="C3" i="20"/>
  <c r="A2" i="20"/>
  <c r="A1" i="20"/>
  <c r="A42" i="19"/>
  <c r="A41" i="19"/>
  <c r="A40" i="19"/>
  <c r="E43" i="19"/>
  <c r="A39" i="19"/>
  <c r="A38" i="19"/>
  <c r="A37" i="19"/>
  <c r="A36" i="19"/>
  <c r="A35" i="19"/>
  <c r="B43" i="19"/>
  <c r="A34" i="19"/>
  <c r="A33" i="19"/>
  <c r="B32" i="19"/>
  <c r="A31" i="19"/>
  <c r="F28" i="19"/>
  <c r="C28" i="19"/>
  <c r="A27" i="19"/>
  <c r="A26" i="19"/>
  <c r="H28" i="19"/>
  <c r="A25" i="19"/>
  <c r="A24" i="19"/>
  <c r="A23" i="19"/>
  <c r="A22" i="19"/>
  <c r="A21" i="19"/>
  <c r="A20" i="19"/>
  <c r="E28" i="19"/>
  <c r="D28" i="19"/>
  <c r="B28" i="19"/>
  <c r="A19" i="19"/>
  <c r="A18" i="19"/>
  <c r="A16" i="19"/>
  <c r="A12" i="19"/>
  <c r="A11" i="19"/>
  <c r="A10" i="19"/>
  <c r="A9" i="19"/>
  <c r="A8" i="19"/>
  <c r="A7" i="19"/>
  <c r="A6" i="19"/>
  <c r="I13" i="19"/>
  <c r="A5" i="19"/>
  <c r="C13" i="19"/>
  <c r="B13" i="19"/>
  <c r="A4" i="19"/>
  <c r="A3" i="19"/>
  <c r="I2" i="19"/>
  <c r="H2" i="19"/>
  <c r="H32" i="19" s="1"/>
  <c r="G2" i="19"/>
  <c r="G32" i="19" s="1"/>
  <c r="F2" i="19"/>
  <c r="F32" i="19" s="1"/>
  <c r="E2" i="19"/>
  <c r="D2" i="19"/>
  <c r="C2" i="19"/>
  <c r="C17" i="19" s="1"/>
  <c r="B2" i="19"/>
  <c r="B17" i="19" s="1"/>
  <c r="A1" i="19"/>
  <c r="A49" i="18"/>
  <c r="A47" i="18"/>
  <c r="A45" i="18"/>
  <c r="A43" i="18"/>
  <c r="A41" i="18"/>
  <c r="A39" i="18"/>
  <c r="B37" i="18"/>
  <c r="A36" i="18"/>
  <c r="A35" i="18"/>
  <c r="A32" i="18"/>
  <c r="A30" i="18"/>
  <c r="A28" i="18"/>
  <c r="A26" i="18"/>
  <c r="A24" i="18"/>
  <c r="A22" i="18"/>
  <c r="F20" i="18"/>
  <c r="A19" i="18"/>
  <c r="A18" i="18"/>
  <c r="A15" i="18"/>
  <c r="A13" i="18"/>
  <c r="A11" i="18"/>
  <c r="A9" i="18"/>
  <c r="A7" i="18"/>
  <c r="A5" i="18"/>
  <c r="I3" i="18"/>
  <c r="H3" i="18"/>
  <c r="H37" i="18" s="1"/>
  <c r="G3" i="18"/>
  <c r="F3" i="18"/>
  <c r="F37" i="18" s="1"/>
  <c r="E3" i="18"/>
  <c r="E37" i="18" s="1"/>
  <c r="D3" i="18"/>
  <c r="D20" i="18" s="1"/>
  <c r="C3" i="18"/>
  <c r="C20" i="18" s="1"/>
  <c r="B3" i="18"/>
  <c r="B20" i="18" s="1"/>
  <c r="A2" i="18"/>
  <c r="A1" i="18"/>
  <c r="A15" i="17"/>
  <c r="A13" i="17"/>
  <c r="A11" i="17"/>
  <c r="A9" i="17"/>
  <c r="A7" i="17"/>
  <c r="A5" i="17"/>
  <c r="I3" i="17"/>
  <c r="H3" i="17"/>
  <c r="G3" i="17"/>
  <c r="F3" i="17"/>
  <c r="E3" i="17"/>
  <c r="D3" i="17"/>
  <c r="C3" i="17"/>
  <c r="B3" i="17"/>
  <c r="A2" i="17"/>
  <c r="A1" i="17"/>
  <c r="A17" i="16"/>
  <c r="A15" i="16"/>
  <c r="A13" i="16"/>
  <c r="A11" i="16"/>
  <c r="A9" i="16"/>
  <c r="A7" i="16"/>
  <c r="A5" i="16"/>
  <c r="I3" i="16"/>
  <c r="H3" i="16"/>
  <c r="G3" i="16"/>
  <c r="F3" i="16"/>
  <c r="E3" i="16"/>
  <c r="D3" i="16"/>
  <c r="C3" i="16"/>
  <c r="B3" i="16"/>
  <c r="A2" i="16"/>
  <c r="A1" i="16"/>
  <c r="A113" i="15"/>
  <c r="A112" i="15"/>
  <c r="A111" i="15"/>
  <c r="A110" i="15"/>
  <c r="A109" i="15"/>
  <c r="A108" i="15"/>
  <c r="A107" i="15"/>
  <c r="C106" i="15"/>
  <c r="B106" i="15"/>
  <c r="A105" i="15"/>
  <c r="A104" i="15"/>
  <c r="A101" i="15"/>
  <c r="A100" i="15"/>
  <c r="A99" i="15"/>
  <c r="A98" i="15"/>
  <c r="A97" i="15"/>
  <c r="A96" i="15"/>
  <c r="D100" i="15"/>
  <c r="A95" i="15"/>
  <c r="I93" i="15"/>
  <c r="A94" i="15"/>
  <c r="H93" i="15"/>
  <c r="A93" i="15"/>
  <c r="A92" i="15"/>
  <c r="A91" i="15"/>
  <c r="A90" i="15"/>
  <c r="B93" i="15"/>
  <c r="A89" i="15"/>
  <c r="A88" i="15"/>
  <c r="A87" i="15"/>
  <c r="B86" i="15"/>
  <c r="A85" i="15"/>
  <c r="A84" i="15"/>
  <c r="A81" i="15"/>
  <c r="A80" i="15"/>
  <c r="A79" i="15"/>
  <c r="A78" i="15"/>
  <c r="A77" i="15"/>
  <c r="A76" i="15"/>
  <c r="A75" i="15"/>
  <c r="C74" i="15"/>
  <c r="C77" i="15" s="1"/>
  <c r="C79" i="15" s="1"/>
  <c r="C81" i="15" s="1"/>
  <c r="A74" i="15"/>
  <c r="A73" i="15"/>
  <c r="A72" i="15"/>
  <c r="A71" i="15"/>
  <c r="A70" i="15"/>
  <c r="A69" i="15"/>
  <c r="A68" i="15"/>
  <c r="E68" i="15"/>
  <c r="E74" i="15" s="1"/>
  <c r="E77" i="15" s="1"/>
  <c r="E79" i="15" s="1"/>
  <c r="A67" i="15"/>
  <c r="A66" i="15"/>
  <c r="F68" i="15"/>
  <c r="F74" i="15" s="1"/>
  <c r="F77" i="15" s="1"/>
  <c r="F79" i="15" s="1"/>
  <c r="F81" i="15" s="1"/>
  <c r="C68" i="15"/>
  <c r="A65" i="15"/>
  <c r="I68" i="15"/>
  <c r="I74" i="15" s="1"/>
  <c r="I77" i="15" s="1"/>
  <c r="I79" i="15" s="1"/>
  <c r="I81" i="15" s="1"/>
  <c r="H68" i="15"/>
  <c r="H74" i="15" s="1"/>
  <c r="H77" i="15" s="1"/>
  <c r="H79" i="15" s="1"/>
  <c r="H81" i="15" s="1"/>
  <c r="A64" i="15"/>
  <c r="F62" i="15"/>
  <c r="A60" i="15"/>
  <c r="A59" i="15"/>
  <c r="A57" i="15"/>
  <c r="A56" i="15"/>
  <c r="A55" i="15"/>
  <c r="A54" i="15"/>
  <c r="A53" i="15"/>
  <c r="A52" i="15"/>
  <c r="A51" i="15"/>
  <c r="C50" i="15"/>
  <c r="B50" i="15"/>
  <c r="A49" i="15"/>
  <c r="A48" i="15"/>
  <c r="A45" i="15"/>
  <c r="E44" i="15"/>
  <c r="D44" i="15"/>
  <c r="C44" i="15"/>
  <c r="A44" i="15"/>
  <c r="A43" i="15"/>
  <c r="A42" i="15"/>
  <c r="A41" i="15"/>
  <c r="A40" i="15"/>
  <c r="A39" i="15"/>
  <c r="A38" i="15"/>
  <c r="A37" i="15"/>
  <c r="A36" i="15"/>
  <c r="A35" i="15"/>
  <c r="A34" i="15"/>
  <c r="A33" i="15"/>
  <c r="A32" i="15"/>
  <c r="A31" i="15"/>
  <c r="I30" i="15"/>
  <c r="I86" i="15" s="1"/>
  <c r="H30" i="15"/>
  <c r="H106" i="15" s="1"/>
  <c r="G30" i="15"/>
  <c r="F30" i="15"/>
  <c r="F86" i="15" s="1"/>
  <c r="E30" i="15"/>
  <c r="D30" i="15"/>
  <c r="D86" i="15" s="1"/>
  <c r="C30" i="15"/>
  <c r="C86" i="15" s="1"/>
  <c r="B30" i="15"/>
  <c r="A29" i="15"/>
  <c r="A28" i="15"/>
  <c r="A25" i="15"/>
  <c r="A24" i="15"/>
  <c r="A23" i="15"/>
  <c r="A22" i="15"/>
  <c r="I21" i="15"/>
  <c r="I23" i="15" s="1"/>
  <c r="I25" i="15" s="1"/>
  <c r="A21" i="15"/>
  <c r="A20" i="15"/>
  <c r="A19" i="15"/>
  <c r="A18" i="15"/>
  <c r="A17" i="15"/>
  <c r="A16" i="15"/>
  <c r="A15" i="15"/>
  <c r="A14" i="15"/>
  <c r="A13" i="15"/>
  <c r="I12" i="15"/>
  <c r="I18" i="15" s="1"/>
  <c r="A12" i="15"/>
  <c r="A11" i="15"/>
  <c r="A10" i="15"/>
  <c r="F12" i="15"/>
  <c r="F18" i="15" s="1"/>
  <c r="D12" i="15"/>
  <c r="D18" i="15" s="1"/>
  <c r="D21" i="15" s="1"/>
  <c r="D23" i="15" s="1"/>
  <c r="D25" i="15" s="1"/>
  <c r="C12" i="15"/>
  <c r="C18" i="15" s="1"/>
  <c r="C21" i="15" s="1"/>
  <c r="C23" i="15" s="1"/>
  <c r="C25" i="15" s="1"/>
  <c r="A9" i="15"/>
  <c r="A8" i="15"/>
  <c r="F6" i="15"/>
  <c r="B6" i="15"/>
  <c r="B62" i="15" s="1"/>
  <c r="A4" i="15"/>
  <c r="A3" i="15"/>
  <c r="A1" i="15"/>
  <c r="A49" i="14"/>
  <c r="A48" i="14"/>
  <c r="A47" i="14"/>
  <c r="A46" i="14"/>
  <c r="A45" i="14"/>
  <c r="A44" i="14"/>
  <c r="A43" i="14"/>
  <c r="A42" i="14"/>
  <c r="A41" i="14"/>
  <c r="A40" i="14"/>
  <c r="A39" i="14"/>
  <c r="E41" i="14"/>
  <c r="A38" i="14"/>
  <c r="A37" i="14"/>
  <c r="G41" i="14"/>
  <c r="A36" i="14"/>
  <c r="C41" i="14"/>
  <c r="A35" i="14"/>
  <c r="I41" i="14"/>
  <c r="A34" i="14"/>
  <c r="I33" i="14"/>
  <c r="H33" i="14"/>
  <c r="G33" i="14"/>
  <c r="F33" i="14"/>
  <c r="E33" i="14"/>
  <c r="D33" i="14"/>
  <c r="C33" i="14"/>
  <c r="B33" i="14"/>
  <c r="A32" i="14"/>
  <c r="A31" i="14"/>
  <c r="B25" i="14"/>
  <c r="A25" i="14"/>
  <c r="A24" i="14"/>
  <c r="A23" i="14"/>
  <c r="A22" i="14"/>
  <c r="A21" i="14"/>
  <c r="A20" i="14"/>
  <c r="A19" i="14"/>
  <c r="A18" i="14"/>
  <c r="A17" i="14"/>
  <c r="A16" i="14"/>
  <c r="A15" i="14"/>
  <c r="A14" i="14"/>
  <c r="A13" i="14"/>
  <c r="D12" i="14"/>
  <c r="D18" i="14" s="1"/>
  <c r="D21" i="14" s="1"/>
  <c r="D23" i="14" s="1"/>
  <c r="D25" i="14" s="1"/>
  <c r="C12" i="14"/>
  <c r="C18" i="14" s="1"/>
  <c r="C21" i="14" s="1"/>
  <c r="C23" i="14" s="1"/>
  <c r="C25" i="14" s="1"/>
  <c r="B12" i="14"/>
  <c r="B18" i="14" s="1"/>
  <c r="B21" i="14" s="1"/>
  <c r="B23" i="14" s="1"/>
  <c r="A12" i="14"/>
  <c r="A11" i="14"/>
  <c r="E12" i="14"/>
  <c r="E18" i="14" s="1"/>
  <c r="E21" i="14" s="1"/>
  <c r="E23" i="14" s="1"/>
  <c r="E25" i="14" s="1"/>
  <c r="A10" i="14"/>
  <c r="A9" i="14"/>
  <c r="I12" i="14"/>
  <c r="I18" i="14" s="1"/>
  <c r="I21" i="14" s="1"/>
  <c r="I23" i="14" s="1"/>
  <c r="I25" i="14" s="1"/>
  <c r="H12" i="14"/>
  <c r="H18" i="14" s="1"/>
  <c r="H21" i="14" s="1"/>
  <c r="H23" i="14" s="1"/>
  <c r="H25" i="14" s="1"/>
  <c r="G12" i="14"/>
  <c r="G18" i="14" s="1"/>
  <c r="G21" i="14" s="1"/>
  <c r="G23" i="14" s="1"/>
  <c r="G25" i="14" s="1"/>
  <c r="A8" i="14"/>
  <c r="F6" i="14"/>
  <c r="B6" i="14"/>
  <c r="A4" i="14"/>
  <c r="A3" i="14"/>
  <c r="A1" i="14"/>
  <c r="A113" i="13"/>
  <c r="A112" i="13"/>
  <c r="A111" i="13"/>
  <c r="A110" i="13"/>
  <c r="A109" i="13"/>
  <c r="A108" i="13"/>
  <c r="A107" i="13"/>
  <c r="H106" i="13"/>
  <c r="A105" i="13"/>
  <c r="A104" i="13"/>
  <c r="A101" i="13"/>
  <c r="A100" i="13"/>
  <c r="A99" i="13"/>
  <c r="A98" i="13"/>
  <c r="A97" i="13"/>
  <c r="C100" i="13"/>
  <c r="B100" i="13"/>
  <c r="A96" i="13"/>
  <c r="A95" i="13"/>
  <c r="A94" i="13"/>
  <c r="A93" i="13"/>
  <c r="A92" i="13"/>
  <c r="A91" i="13"/>
  <c r="A90" i="13"/>
  <c r="B93" i="13"/>
  <c r="A89" i="13"/>
  <c r="A88" i="13"/>
  <c r="A87" i="13"/>
  <c r="E86" i="13"/>
  <c r="A85" i="13"/>
  <c r="A84" i="13"/>
  <c r="A81" i="13"/>
  <c r="A80" i="13"/>
  <c r="A79" i="13"/>
  <c r="A78" i="13"/>
  <c r="D77" i="13"/>
  <c r="D79" i="13" s="1"/>
  <c r="D81" i="13" s="1"/>
  <c r="A77" i="13"/>
  <c r="A76" i="13"/>
  <c r="A75" i="13"/>
  <c r="D74" i="13"/>
  <c r="A74" i="13"/>
  <c r="A73" i="13"/>
  <c r="A72" i="13"/>
  <c r="A71" i="13"/>
  <c r="A70" i="13"/>
  <c r="A69" i="13"/>
  <c r="H68" i="13"/>
  <c r="H74" i="13" s="1"/>
  <c r="H77" i="13" s="1"/>
  <c r="H79" i="13" s="1"/>
  <c r="H81" i="13" s="1"/>
  <c r="F68" i="13"/>
  <c r="F74" i="13" s="1"/>
  <c r="D68" i="13"/>
  <c r="A68" i="13"/>
  <c r="A67" i="13"/>
  <c r="G68" i="13"/>
  <c r="G74" i="13" s="1"/>
  <c r="G77" i="13" s="1"/>
  <c r="G79" i="13" s="1"/>
  <c r="G81" i="13" s="1"/>
  <c r="A66" i="13"/>
  <c r="E68" i="13"/>
  <c r="E74" i="13" s="1"/>
  <c r="E77" i="13" s="1"/>
  <c r="E79" i="13" s="1"/>
  <c r="E81" i="13" s="1"/>
  <c r="A65" i="13"/>
  <c r="I68" i="13"/>
  <c r="I74" i="13" s="1"/>
  <c r="I77" i="13" s="1"/>
  <c r="I79" i="13" s="1"/>
  <c r="I81" i="13" s="1"/>
  <c r="A64" i="13"/>
  <c r="A60" i="13"/>
  <c r="A59" i="13"/>
  <c r="A57" i="13"/>
  <c r="A56" i="13"/>
  <c r="A55" i="13"/>
  <c r="A54" i="13"/>
  <c r="A53" i="13"/>
  <c r="A52" i="13"/>
  <c r="A51" i="13"/>
  <c r="H50" i="13"/>
  <c r="E50" i="13"/>
  <c r="B50" i="13"/>
  <c r="A49" i="13"/>
  <c r="A48" i="13"/>
  <c r="H44" i="13"/>
  <c r="A45" i="13"/>
  <c r="A44" i="13"/>
  <c r="A43" i="13"/>
  <c r="I44" i="13"/>
  <c r="A42" i="13"/>
  <c r="A41" i="13"/>
  <c r="B44" i="13"/>
  <c r="A40" i="13"/>
  <c r="A39" i="13"/>
  <c r="A38" i="13"/>
  <c r="H37" i="13"/>
  <c r="F37" i="13"/>
  <c r="E37" i="13"/>
  <c r="A37" i="13"/>
  <c r="A36" i="13"/>
  <c r="A35" i="13"/>
  <c r="A34" i="13"/>
  <c r="A33" i="13"/>
  <c r="A32" i="13"/>
  <c r="A31" i="13"/>
  <c r="I30" i="13"/>
  <c r="I86" i="13" s="1"/>
  <c r="H30" i="13"/>
  <c r="H86" i="13" s="1"/>
  <c r="G30" i="13"/>
  <c r="G86" i="13" s="1"/>
  <c r="F30" i="13"/>
  <c r="E30" i="13"/>
  <c r="E106" i="13" s="1"/>
  <c r="D30" i="13"/>
  <c r="D86" i="13" s="1"/>
  <c r="C30" i="13"/>
  <c r="B30" i="13"/>
  <c r="B86" i="13" s="1"/>
  <c r="A29" i="13"/>
  <c r="A28" i="13"/>
  <c r="A25" i="13"/>
  <c r="A24" i="13"/>
  <c r="A23" i="13"/>
  <c r="A22" i="13"/>
  <c r="A21" i="13"/>
  <c r="A20" i="13"/>
  <c r="A19" i="13"/>
  <c r="A18" i="13"/>
  <c r="A17" i="13"/>
  <c r="A16" i="13"/>
  <c r="A15" i="13"/>
  <c r="A14" i="13"/>
  <c r="A13" i="13"/>
  <c r="G12" i="13"/>
  <c r="G18" i="13" s="1"/>
  <c r="G21" i="13" s="1"/>
  <c r="G23" i="13" s="1"/>
  <c r="G25" i="13" s="1"/>
  <c r="C12" i="13"/>
  <c r="C18" i="13" s="1"/>
  <c r="C21" i="13" s="1"/>
  <c r="C23" i="13" s="1"/>
  <c r="C25" i="13" s="1"/>
  <c r="A12" i="13"/>
  <c r="D12" i="13"/>
  <c r="D18" i="13" s="1"/>
  <c r="D21" i="13" s="1"/>
  <c r="A11" i="13"/>
  <c r="F12" i="13"/>
  <c r="F18" i="13" s="1"/>
  <c r="F21" i="13" s="1"/>
  <c r="F23" i="13" s="1"/>
  <c r="F25" i="13" s="1"/>
  <c r="A10" i="13"/>
  <c r="E12" i="13"/>
  <c r="E18" i="13" s="1"/>
  <c r="E21" i="13" s="1"/>
  <c r="E23" i="13" s="1"/>
  <c r="E25" i="13" s="1"/>
  <c r="A9" i="13"/>
  <c r="I12" i="13"/>
  <c r="I18" i="13" s="1"/>
  <c r="I21" i="13" s="1"/>
  <c r="I23" i="13" s="1"/>
  <c r="I25" i="13" s="1"/>
  <c r="H12" i="13"/>
  <c r="H18" i="13" s="1"/>
  <c r="H21" i="13" s="1"/>
  <c r="H23" i="13" s="1"/>
  <c r="H25" i="13" s="1"/>
  <c r="A8" i="13"/>
  <c r="F6" i="13"/>
  <c r="F62" i="13" s="1"/>
  <c r="B6" i="13"/>
  <c r="B62" i="13" s="1"/>
  <c r="A4" i="13"/>
  <c r="A3" i="13"/>
  <c r="A1" i="13"/>
  <c r="A169" i="12"/>
  <c r="A168" i="12"/>
  <c r="A167" i="12"/>
  <c r="A166" i="12"/>
  <c r="A165" i="12"/>
  <c r="A164" i="12"/>
  <c r="A163" i="12"/>
  <c r="I162" i="12"/>
  <c r="F162" i="12"/>
  <c r="A161" i="12"/>
  <c r="A160" i="12"/>
  <c r="A157" i="12"/>
  <c r="A156" i="12"/>
  <c r="A154" i="12"/>
  <c r="A153" i="12"/>
  <c r="A152" i="12"/>
  <c r="A151" i="12"/>
  <c r="A150" i="12"/>
  <c r="A149" i="12"/>
  <c r="A148" i="12"/>
  <c r="A146" i="12"/>
  <c r="A145" i="12"/>
  <c r="A144" i="12"/>
  <c r="A143" i="12"/>
  <c r="E142" i="12"/>
  <c r="D142" i="12"/>
  <c r="C142" i="12"/>
  <c r="A141" i="12"/>
  <c r="A140" i="12"/>
  <c r="A137" i="12"/>
  <c r="A136" i="12"/>
  <c r="A135" i="12"/>
  <c r="A134" i="12"/>
  <c r="A133" i="12"/>
  <c r="A132" i="12"/>
  <c r="A131" i="12"/>
  <c r="A130" i="12"/>
  <c r="A129" i="12"/>
  <c r="A128" i="12"/>
  <c r="A127" i="12"/>
  <c r="A126" i="12"/>
  <c r="A125" i="12"/>
  <c r="I124" i="12"/>
  <c r="I130" i="12" s="1"/>
  <c r="I133" i="12" s="1"/>
  <c r="I135" i="12" s="1"/>
  <c r="I137" i="12" s="1"/>
  <c r="D124" i="12"/>
  <c r="D130" i="12" s="1"/>
  <c r="D133" i="12" s="1"/>
  <c r="D135" i="12" s="1"/>
  <c r="D137" i="12" s="1"/>
  <c r="C124" i="12"/>
  <c r="C130" i="12" s="1"/>
  <c r="C133" i="12" s="1"/>
  <c r="A124" i="12"/>
  <c r="A123" i="12"/>
  <c r="E124" i="12"/>
  <c r="E130" i="12" s="1"/>
  <c r="E133" i="12" s="1"/>
  <c r="E135" i="12" s="1"/>
  <c r="E137" i="12" s="1"/>
  <c r="A122" i="12"/>
  <c r="A121" i="12"/>
  <c r="H124" i="12"/>
  <c r="H130" i="12" s="1"/>
  <c r="H133" i="12" s="1"/>
  <c r="H135" i="12" s="1"/>
  <c r="H137" i="12" s="1"/>
  <c r="G124" i="12"/>
  <c r="G130" i="12" s="1"/>
  <c r="G133" i="12" s="1"/>
  <c r="G135" i="12" s="1"/>
  <c r="G137" i="12" s="1"/>
  <c r="A120" i="12"/>
  <c r="A116" i="12"/>
  <c r="A115" i="12"/>
  <c r="A113" i="12"/>
  <c r="A112" i="12"/>
  <c r="A111" i="12"/>
  <c r="A110" i="12"/>
  <c r="A109" i="12"/>
  <c r="B67" i="24"/>
  <c r="A108" i="12"/>
  <c r="A107" i="12"/>
  <c r="E106" i="12"/>
  <c r="C106" i="12"/>
  <c r="B106" i="12"/>
  <c r="A105" i="12"/>
  <c r="A104" i="12"/>
  <c r="A101" i="12"/>
  <c r="D100" i="12"/>
  <c r="A100" i="12"/>
  <c r="A98" i="12"/>
  <c r="B100" i="12"/>
  <c r="A97" i="12"/>
  <c r="A96" i="12"/>
  <c r="H100" i="12"/>
  <c r="E100" i="12"/>
  <c r="A95" i="12"/>
  <c r="A94" i="12"/>
  <c r="G93" i="12"/>
  <c r="F93" i="12"/>
  <c r="C93" i="12"/>
  <c r="A93" i="12"/>
  <c r="A92" i="12"/>
  <c r="A90" i="12"/>
  <c r="A89" i="12"/>
  <c r="I93" i="12"/>
  <c r="H93" i="12"/>
  <c r="A88" i="12"/>
  <c r="E93" i="12"/>
  <c r="A87" i="12"/>
  <c r="F86" i="12"/>
  <c r="C86" i="12"/>
  <c r="B86" i="12"/>
  <c r="A85" i="12"/>
  <c r="A84" i="12"/>
  <c r="A81" i="12"/>
  <c r="A80" i="12"/>
  <c r="A79" i="12"/>
  <c r="A78" i="12"/>
  <c r="A77" i="12"/>
  <c r="A76" i="12"/>
  <c r="A75" i="12"/>
  <c r="A74" i="12"/>
  <c r="A73" i="12"/>
  <c r="A72" i="12"/>
  <c r="A71" i="12"/>
  <c r="A70" i="12"/>
  <c r="A69" i="12"/>
  <c r="H68" i="12"/>
  <c r="H74" i="12" s="1"/>
  <c r="H77" i="12" s="1"/>
  <c r="H79" i="12" s="1"/>
  <c r="H81" i="12" s="1"/>
  <c r="G68" i="12"/>
  <c r="G74" i="12" s="1"/>
  <c r="G77" i="12" s="1"/>
  <c r="G79" i="12" s="1"/>
  <c r="G81" i="12" s="1"/>
  <c r="F68" i="12"/>
  <c r="F74" i="12" s="1"/>
  <c r="F77" i="12" s="1"/>
  <c r="F79" i="12" s="1"/>
  <c r="F81" i="12" s="1"/>
  <c r="A68" i="12"/>
  <c r="A67" i="12"/>
  <c r="I68" i="12"/>
  <c r="I74" i="12" s="1"/>
  <c r="I77" i="12" s="1"/>
  <c r="I79" i="12" s="1"/>
  <c r="I81" i="12" s="1"/>
  <c r="A66" i="12"/>
  <c r="E68" i="12"/>
  <c r="E74" i="12" s="1"/>
  <c r="E77" i="12" s="1"/>
  <c r="E79" i="12" s="1"/>
  <c r="E81" i="12" s="1"/>
  <c r="D68" i="12"/>
  <c r="D74" i="12" s="1"/>
  <c r="D77" i="12" s="1"/>
  <c r="D79" i="12" s="1"/>
  <c r="D81" i="12" s="1"/>
  <c r="C68" i="12"/>
  <c r="C74" i="12" s="1"/>
  <c r="C77" i="12" s="1"/>
  <c r="C79" i="12" s="1"/>
  <c r="C81" i="12" s="1"/>
  <c r="B68" i="12"/>
  <c r="B74" i="12" s="1"/>
  <c r="B77" i="12" s="1"/>
  <c r="B79" i="12" s="1"/>
  <c r="B81" i="12" s="1"/>
  <c r="A65" i="12"/>
  <c r="A64" i="12"/>
  <c r="F62" i="12"/>
  <c r="B62" i="12"/>
  <c r="A60" i="12"/>
  <c r="A59" i="12"/>
  <c r="A57" i="12"/>
  <c r="A56" i="12"/>
  <c r="A55" i="12"/>
  <c r="A54" i="12"/>
  <c r="A53" i="12"/>
  <c r="A52" i="12"/>
  <c r="A51" i="12"/>
  <c r="E50" i="12"/>
  <c r="C50" i="12"/>
  <c r="A49" i="12"/>
  <c r="A48" i="12"/>
  <c r="A45" i="12"/>
  <c r="H44" i="12"/>
  <c r="A44" i="12"/>
  <c r="A42" i="12"/>
  <c r="A41" i="12"/>
  <c r="A40" i="12"/>
  <c r="A39" i="12"/>
  <c r="A38" i="12"/>
  <c r="H37" i="12"/>
  <c r="F37" i="12"/>
  <c r="A37" i="12"/>
  <c r="G37" i="12"/>
  <c r="A36" i="12"/>
  <c r="A34" i="12"/>
  <c r="C37" i="12"/>
  <c r="A33" i="12"/>
  <c r="A32" i="12"/>
  <c r="D37" i="12"/>
  <c r="A31" i="12"/>
  <c r="I30" i="12"/>
  <c r="I50" i="12" s="1"/>
  <c r="H30" i="12"/>
  <c r="H142" i="12" s="1"/>
  <c r="G30" i="12"/>
  <c r="F30" i="12"/>
  <c r="F50" i="12" s="1"/>
  <c r="E30" i="12"/>
  <c r="E86" i="12" s="1"/>
  <c r="D30" i="12"/>
  <c r="C30" i="12"/>
  <c r="C162" i="12" s="1"/>
  <c r="B30" i="12"/>
  <c r="B162" i="12" s="1"/>
  <c r="A29" i="12"/>
  <c r="A28" i="12"/>
  <c r="A25" i="12"/>
  <c r="A24" i="12"/>
  <c r="A23" i="12"/>
  <c r="A22" i="12"/>
  <c r="A21" i="12"/>
  <c r="A20" i="12"/>
  <c r="A19" i="12"/>
  <c r="A18" i="12"/>
  <c r="A17" i="12"/>
  <c r="A16" i="12"/>
  <c r="A15" i="12"/>
  <c r="A14" i="12"/>
  <c r="A13" i="12"/>
  <c r="G12" i="12"/>
  <c r="G18" i="12" s="1"/>
  <c r="G21" i="12" s="1"/>
  <c r="G23" i="12" s="1"/>
  <c r="G25" i="12" s="1"/>
  <c r="F12" i="12"/>
  <c r="F18" i="12" s="1"/>
  <c r="F21" i="12" s="1"/>
  <c r="C12" i="12"/>
  <c r="C18" i="12" s="1"/>
  <c r="C21" i="12" s="1"/>
  <c r="C23" i="12" s="1"/>
  <c r="C25" i="12" s="1"/>
  <c r="A12" i="12"/>
  <c r="A11" i="12"/>
  <c r="H12" i="12"/>
  <c r="A10" i="12"/>
  <c r="D12" i="12"/>
  <c r="D18" i="12" s="1"/>
  <c r="D21" i="12" s="1"/>
  <c r="D23" i="12" s="1"/>
  <c r="D25" i="12" s="1"/>
  <c r="B12" i="12"/>
  <c r="B18" i="12" s="1"/>
  <c r="B21" i="12" s="1"/>
  <c r="B23" i="12" s="1"/>
  <c r="A9" i="12"/>
  <c r="I12" i="12"/>
  <c r="I18" i="12" s="1"/>
  <c r="E12" i="12"/>
  <c r="E18" i="12" s="1"/>
  <c r="E21" i="12" s="1"/>
  <c r="E23" i="12" s="1"/>
  <c r="A8" i="12"/>
  <c r="F6" i="12"/>
  <c r="F118" i="12" s="1"/>
  <c r="B6" i="12"/>
  <c r="B118" i="12" s="1"/>
  <c r="A4" i="12"/>
  <c r="A3" i="12"/>
  <c r="A1" i="12"/>
  <c r="A169" i="11"/>
  <c r="A168" i="11"/>
  <c r="A167" i="11"/>
  <c r="A166" i="11"/>
  <c r="A165" i="11"/>
  <c r="A164" i="11"/>
  <c r="A163" i="11"/>
  <c r="A161" i="11"/>
  <c r="A160" i="11"/>
  <c r="A157" i="11"/>
  <c r="A156" i="11"/>
  <c r="A154" i="11"/>
  <c r="A153" i="11"/>
  <c r="E156" i="11"/>
  <c r="A152" i="11"/>
  <c r="A151" i="11"/>
  <c r="A150" i="11"/>
  <c r="B149" i="11"/>
  <c r="A149" i="11"/>
  <c r="D149" i="11"/>
  <c r="A148" i="11"/>
  <c r="A146" i="11"/>
  <c r="F149" i="11"/>
  <c r="A145" i="11"/>
  <c r="E149" i="11"/>
  <c r="A144" i="11"/>
  <c r="C149" i="11"/>
  <c r="A143" i="11"/>
  <c r="A141" i="11"/>
  <c r="A140" i="11"/>
  <c r="A137" i="11"/>
  <c r="A136" i="11"/>
  <c r="A135" i="11"/>
  <c r="A134" i="11"/>
  <c r="A133" i="11"/>
  <c r="A132" i="11"/>
  <c r="A131" i="11"/>
  <c r="A130" i="11"/>
  <c r="A129" i="11"/>
  <c r="A128" i="11"/>
  <c r="A127" i="11"/>
  <c r="A126" i="11"/>
  <c r="A125" i="11"/>
  <c r="A124" i="11"/>
  <c r="A123" i="11"/>
  <c r="B124" i="11"/>
  <c r="B130" i="11" s="1"/>
  <c r="B133" i="11" s="1"/>
  <c r="B135" i="11" s="1"/>
  <c r="B137" i="11" s="1"/>
  <c r="A122" i="11"/>
  <c r="A121" i="11"/>
  <c r="F124" i="11"/>
  <c r="F130" i="11" s="1"/>
  <c r="E124" i="11"/>
  <c r="E130" i="11" s="1"/>
  <c r="E133" i="11" s="1"/>
  <c r="E135" i="11" s="1"/>
  <c r="E137" i="11" s="1"/>
  <c r="D124" i="11"/>
  <c r="D130" i="11" s="1"/>
  <c r="D133" i="11" s="1"/>
  <c r="D135" i="11" s="1"/>
  <c r="D137" i="11" s="1"/>
  <c r="C124" i="11"/>
  <c r="C130" i="11" s="1"/>
  <c r="C133" i="11" s="1"/>
  <c r="C135" i="11" s="1"/>
  <c r="C137" i="11" s="1"/>
  <c r="A120" i="11"/>
  <c r="A116" i="11"/>
  <c r="A115" i="11"/>
  <c r="A113" i="11"/>
  <c r="A112" i="11"/>
  <c r="I66" i="24"/>
  <c r="A111" i="11"/>
  <c r="A110" i="11"/>
  <c r="A109" i="11"/>
  <c r="A108" i="11"/>
  <c r="A107" i="11"/>
  <c r="E106" i="11"/>
  <c r="A105" i="11"/>
  <c r="A104" i="11"/>
  <c r="A101" i="11"/>
  <c r="C100" i="11"/>
  <c r="A100" i="11"/>
  <c r="A98" i="11"/>
  <c r="A97" i="11"/>
  <c r="A96" i="11"/>
  <c r="I100" i="11"/>
  <c r="B100" i="11"/>
  <c r="A95" i="11"/>
  <c r="A94" i="11"/>
  <c r="I93" i="11"/>
  <c r="F93" i="11"/>
  <c r="D93" i="11"/>
  <c r="A93" i="11"/>
  <c r="A92" i="11"/>
  <c r="A90" i="11"/>
  <c r="C93" i="11"/>
  <c r="A89" i="11"/>
  <c r="H93" i="11"/>
  <c r="G93" i="11"/>
  <c r="A88" i="11"/>
  <c r="E93" i="11"/>
  <c r="A87" i="11"/>
  <c r="A85" i="11"/>
  <c r="A84" i="11"/>
  <c r="A81" i="11"/>
  <c r="A80" i="11"/>
  <c r="A79" i="11"/>
  <c r="A78" i="11"/>
  <c r="A77" i="11"/>
  <c r="A76" i="11"/>
  <c r="A75" i="11"/>
  <c r="A74" i="11"/>
  <c r="A73" i="11"/>
  <c r="A72" i="11"/>
  <c r="A71" i="11"/>
  <c r="A70" i="11"/>
  <c r="A69" i="11"/>
  <c r="C68" i="11"/>
  <c r="C74" i="11" s="1"/>
  <c r="C77" i="11" s="1"/>
  <c r="C79" i="11" s="1"/>
  <c r="C81" i="11" s="1"/>
  <c r="B68" i="11"/>
  <c r="B74" i="11" s="1"/>
  <c r="B77" i="11" s="1"/>
  <c r="B79" i="11" s="1"/>
  <c r="B81" i="11" s="1"/>
  <c r="A68" i="11"/>
  <c r="A67" i="11"/>
  <c r="E68" i="11"/>
  <c r="E74" i="11" s="1"/>
  <c r="D68" i="11"/>
  <c r="D74" i="11" s="1"/>
  <c r="D77" i="11" s="1"/>
  <c r="D79" i="11" s="1"/>
  <c r="D81" i="11" s="1"/>
  <c r="A66" i="11"/>
  <c r="A65" i="11"/>
  <c r="I68" i="11"/>
  <c r="I74" i="11" s="1"/>
  <c r="I77" i="11" s="1"/>
  <c r="H68" i="11"/>
  <c r="H74" i="11" s="1"/>
  <c r="G68" i="11"/>
  <c r="G74" i="11" s="1"/>
  <c r="G77" i="11" s="1"/>
  <c r="G79" i="11" s="1"/>
  <c r="G81" i="11" s="1"/>
  <c r="F68" i="11"/>
  <c r="F74" i="11" s="1"/>
  <c r="F77" i="11" s="1"/>
  <c r="F79" i="11" s="1"/>
  <c r="F81" i="11" s="1"/>
  <c r="A64" i="11"/>
  <c r="A60" i="11"/>
  <c r="A59" i="11"/>
  <c r="A57" i="11"/>
  <c r="A56" i="11"/>
  <c r="A55" i="11"/>
  <c r="A54" i="11"/>
  <c r="A53" i="11"/>
  <c r="A52" i="11"/>
  <c r="A51" i="11"/>
  <c r="G50" i="11"/>
  <c r="F50" i="11"/>
  <c r="A49" i="11"/>
  <c r="A48" i="11"/>
  <c r="A45" i="11"/>
  <c r="A44" i="11"/>
  <c r="H44" i="11"/>
  <c r="A42" i="11"/>
  <c r="A41" i="11"/>
  <c r="A40" i="11"/>
  <c r="A39" i="11"/>
  <c r="A38" i="11"/>
  <c r="C37" i="11"/>
  <c r="B37" i="11"/>
  <c r="A37" i="11"/>
  <c r="E37" i="11"/>
  <c r="A36" i="11"/>
  <c r="A34" i="11"/>
  <c r="A33" i="11"/>
  <c r="A32" i="11"/>
  <c r="A31" i="11"/>
  <c r="I30" i="11"/>
  <c r="I86" i="11" s="1"/>
  <c r="H30" i="11"/>
  <c r="G30" i="11"/>
  <c r="F30" i="11"/>
  <c r="E30" i="11"/>
  <c r="D30" i="11"/>
  <c r="C30" i="11"/>
  <c r="C142" i="11" s="1"/>
  <c r="B30" i="11"/>
  <c r="A29" i="11"/>
  <c r="A28" i="11"/>
  <c r="A25" i="11"/>
  <c r="A24" i="11"/>
  <c r="A23" i="11"/>
  <c r="A22" i="11"/>
  <c r="A21" i="11"/>
  <c r="A20" i="11"/>
  <c r="G21" i="11"/>
  <c r="G23" i="11" s="1"/>
  <c r="G25" i="11" s="1"/>
  <c r="A19" i="11"/>
  <c r="A18" i="11"/>
  <c r="A17" i="11"/>
  <c r="A16" i="11"/>
  <c r="A15" i="11"/>
  <c r="A14" i="11"/>
  <c r="A13" i="11"/>
  <c r="I12" i="11"/>
  <c r="D12" i="11"/>
  <c r="D18" i="11" s="1"/>
  <c r="D21" i="11" s="1"/>
  <c r="D23" i="11" s="1"/>
  <c r="D25" i="11" s="1"/>
  <c r="C12" i="11"/>
  <c r="C18" i="11" s="1"/>
  <c r="C21" i="11" s="1"/>
  <c r="C23" i="11" s="1"/>
  <c r="B12" i="11"/>
  <c r="B18" i="11" s="1"/>
  <c r="B21" i="11" s="1"/>
  <c r="B23" i="11" s="1"/>
  <c r="B25" i="11" s="1"/>
  <c r="A12" i="11"/>
  <c r="A11" i="11"/>
  <c r="A10" i="11"/>
  <c r="A9" i="11"/>
  <c r="H12" i="11"/>
  <c r="G12" i="11"/>
  <c r="G18" i="11" s="1"/>
  <c r="A8" i="11"/>
  <c r="F6" i="11"/>
  <c r="B6" i="11"/>
  <c r="A4" i="11"/>
  <c r="A3" i="11"/>
  <c r="A1" i="11"/>
  <c r="A169" i="10"/>
  <c r="A168" i="10"/>
  <c r="A167" i="10"/>
  <c r="A166" i="10"/>
  <c r="A165" i="10"/>
  <c r="A164" i="10"/>
  <c r="A163" i="10"/>
  <c r="E162" i="10"/>
  <c r="D162" i="10"/>
  <c r="A161" i="10"/>
  <c r="A160" i="10"/>
  <c r="H156" i="10"/>
  <c r="A157" i="10"/>
  <c r="G156" i="10"/>
  <c r="E156" i="10"/>
  <c r="B156" i="10"/>
  <c r="A156" i="10"/>
  <c r="A154" i="10"/>
  <c r="A153" i="10"/>
  <c r="C156" i="10"/>
  <c r="A152" i="10"/>
  <c r="I156" i="10"/>
  <c r="F156" i="10"/>
  <c r="A151" i="10"/>
  <c r="A150" i="10"/>
  <c r="H149" i="10"/>
  <c r="G149" i="10"/>
  <c r="F149" i="10"/>
  <c r="A149" i="10"/>
  <c r="A148" i="10"/>
  <c r="A146" i="10"/>
  <c r="A145" i="10"/>
  <c r="I149" i="10"/>
  <c r="A144" i="10"/>
  <c r="D149" i="10"/>
  <c r="A143" i="10"/>
  <c r="I142" i="10"/>
  <c r="D142" i="10"/>
  <c r="C142" i="10"/>
  <c r="A141" i="10"/>
  <c r="A140" i="10"/>
  <c r="A137" i="10"/>
  <c r="A136" i="10"/>
  <c r="A135" i="10"/>
  <c r="A134" i="10"/>
  <c r="G133" i="10"/>
  <c r="G135" i="10" s="1"/>
  <c r="G137" i="10" s="1"/>
  <c r="A133" i="10"/>
  <c r="A132" i="10"/>
  <c r="A131" i="10"/>
  <c r="D130" i="10"/>
  <c r="D133" i="10" s="1"/>
  <c r="D135" i="10" s="1"/>
  <c r="D137" i="10" s="1"/>
  <c r="A130" i="10"/>
  <c r="A129" i="10"/>
  <c r="A128" i="10"/>
  <c r="A127" i="10"/>
  <c r="A126" i="10"/>
  <c r="A125" i="10"/>
  <c r="H124" i="10"/>
  <c r="H130" i="10" s="1"/>
  <c r="H133" i="10" s="1"/>
  <c r="H135" i="10" s="1"/>
  <c r="H137" i="10" s="1"/>
  <c r="G124" i="10"/>
  <c r="G130" i="10" s="1"/>
  <c r="F124" i="10"/>
  <c r="F130" i="10" s="1"/>
  <c r="F133" i="10" s="1"/>
  <c r="F135" i="10" s="1"/>
  <c r="F137" i="10" s="1"/>
  <c r="A124" i="10"/>
  <c r="A123" i="10"/>
  <c r="A122" i="10"/>
  <c r="B124" i="10"/>
  <c r="B130" i="10" s="1"/>
  <c r="B133" i="10" s="1"/>
  <c r="B135" i="10" s="1"/>
  <c r="B137" i="10" s="1"/>
  <c r="A121" i="10"/>
  <c r="D124" i="10"/>
  <c r="A120" i="10"/>
  <c r="F118" i="10"/>
  <c r="B118" i="10"/>
  <c r="A116" i="10"/>
  <c r="A115" i="10"/>
  <c r="A113" i="10"/>
  <c r="A112" i="10"/>
  <c r="A111" i="10"/>
  <c r="A110" i="10"/>
  <c r="D65" i="24"/>
  <c r="A109" i="10"/>
  <c r="A108" i="10"/>
  <c r="A107" i="10"/>
  <c r="I106" i="10"/>
  <c r="A105" i="10"/>
  <c r="A104" i="10"/>
  <c r="A101" i="10"/>
  <c r="E100" i="10"/>
  <c r="A100" i="10"/>
  <c r="A98" i="10"/>
  <c r="A97" i="10"/>
  <c r="F100" i="10"/>
  <c r="A96" i="10"/>
  <c r="A95" i="10"/>
  <c r="G100" i="10"/>
  <c r="A94" i="10"/>
  <c r="E93" i="10"/>
  <c r="A93" i="10"/>
  <c r="A92" i="10"/>
  <c r="A90" i="10"/>
  <c r="G93" i="10"/>
  <c r="A89" i="10"/>
  <c r="I93" i="10"/>
  <c r="A88" i="10"/>
  <c r="A87" i="10"/>
  <c r="A85" i="10"/>
  <c r="A84" i="10"/>
  <c r="A81" i="10"/>
  <c r="A80" i="10"/>
  <c r="A79" i="10"/>
  <c r="A78" i="10"/>
  <c r="A77" i="10"/>
  <c r="A76" i="10"/>
  <c r="A75" i="10"/>
  <c r="A74" i="10"/>
  <c r="A73" i="10"/>
  <c r="A72" i="10"/>
  <c r="A71" i="10"/>
  <c r="A70" i="10"/>
  <c r="A69" i="10"/>
  <c r="E68" i="10"/>
  <c r="C68" i="10"/>
  <c r="C74" i="10" s="1"/>
  <c r="C77" i="10" s="1"/>
  <c r="C79" i="10" s="1"/>
  <c r="A68" i="10"/>
  <c r="A67" i="10"/>
  <c r="A66" i="10"/>
  <c r="A65" i="10"/>
  <c r="H68" i="10"/>
  <c r="H74" i="10" s="1"/>
  <c r="H77" i="10" s="1"/>
  <c r="H79" i="10" s="1"/>
  <c r="H81" i="10" s="1"/>
  <c r="F68" i="10"/>
  <c r="F74" i="10" s="1"/>
  <c r="F77" i="10" s="1"/>
  <c r="F79" i="10" s="1"/>
  <c r="F81" i="10" s="1"/>
  <c r="D68" i="10"/>
  <c r="D74" i="10" s="1"/>
  <c r="D77" i="10" s="1"/>
  <c r="D79" i="10" s="1"/>
  <c r="D81" i="10" s="1"/>
  <c r="B68" i="10"/>
  <c r="B74" i="10" s="1"/>
  <c r="B77" i="10" s="1"/>
  <c r="B79" i="10" s="1"/>
  <c r="B81" i="10" s="1"/>
  <c r="A64" i="10"/>
  <c r="A60" i="10"/>
  <c r="A59" i="10"/>
  <c r="A57" i="10"/>
  <c r="A56" i="10"/>
  <c r="A55" i="10"/>
  <c r="A54" i="10"/>
  <c r="A53" i="10"/>
  <c r="A52" i="10"/>
  <c r="A51" i="10"/>
  <c r="H50" i="10"/>
  <c r="A49" i="10"/>
  <c r="A48" i="10"/>
  <c r="A45" i="10"/>
  <c r="I44" i="10"/>
  <c r="C44" i="10"/>
  <c r="A44" i="10"/>
  <c r="A42" i="10"/>
  <c r="A41" i="10"/>
  <c r="D44" i="10"/>
  <c r="A40" i="10"/>
  <c r="A39" i="10"/>
  <c r="I37" i="10"/>
  <c r="A38" i="10"/>
  <c r="G37" i="10"/>
  <c r="A37" i="10"/>
  <c r="B37" i="10"/>
  <c r="A36" i="10"/>
  <c r="A34" i="10"/>
  <c r="D37" i="10"/>
  <c r="A33" i="10"/>
  <c r="E37" i="10"/>
  <c r="C37" i="10"/>
  <c r="A32" i="10"/>
  <c r="A31" i="10"/>
  <c r="I30" i="10"/>
  <c r="I162" i="10" s="1"/>
  <c r="H30" i="10"/>
  <c r="G30" i="10"/>
  <c r="F30" i="10"/>
  <c r="E30" i="10"/>
  <c r="D30" i="10"/>
  <c r="D50" i="10" s="1"/>
  <c r="C30" i="10"/>
  <c r="C50" i="10" s="1"/>
  <c r="B30" i="10"/>
  <c r="B86" i="10" s="1"/>
  <c r="A29" i="10"/>
  <c r="A28" i="10"/>
  <c r="A25" i="10"/>
  <c r="A24" i="10"/>
  <c r="A23" i="10"/>
  <c r="A22" i="10"/>
  <c r="A21" i="10"/>
  <c r="A20" i="10"/>
  <c r="A19" i="10"/>
  <c r="A18" i="10"/>
  <c r="A17" i="10"/>
  <c r="A16" i="10"/>
  <c r="A15" i="10"/>
  <c r="A14" i="10"/>
  <c r="A13" i="10"/>
  <c r="A12" i="10"/>
  <c r="F12" i="10"/>
  <c r="F18" i="10" s="1"/>
  <c r="F21" i="10" s="1"/>
  <c r="A11" i="10"/>
  <c r="A10" i="10"/>
  <c r="G12" i="10"/>
  <c r="G18" i="10" s="1"/>
  <c r="G21" i="10" s="1"/>
  <c r="G23" i="10" s="1"/>
  <c r="G25" i="10" s="1"/>
  <c r="A9" i="10"/>
  <c r="D12" i="10"/>
  <c r="D18" i="10" s="1"/>
  <c r="D21" i="10" s="1"/>
  <c r="D23" i="10" s="1"/>
  <c r="A8" i="10"/>
  <c r="F6" i="10"/>
  <c r="F62" i="10" s="1"/>
  <c r="B6" i="10"/>
  <c r="B62" i="10" s="1"/>
  <c r="A4" i="10"/>
  <c r="A3" i="10"/>
  <c r="A1" i="10"/>
  <c r="A169" i="9"/>
  <c r="A168" i="9"/>
  <c r="A167" i="9"/>
  <c r="A166" i="9"/>
  <c r="A165" i="9"/>
  <c r="A164" i="9"/>
  <c r="A163" i="9"/>
  <c r="A161" i="9"/>
  <c r="A160" i="9"/>
  <c r="A157" i="9"/>
  <c r="A156" i="9"/>
  <c r="A154" i="9"/>
  <c r="A153" i="9"/>
  <c r="A152" i="9"/>
  <c r="B156" i="9"/>
  <c r="A151" i="9"/>
  <c r="A150" i="9"/>
  <c r="A149" i="9"/>
  <c r="A148" i="9"/>
  <c r="A146" i="9"/>
  <c r="B149" i="9"/>
  <c r="A145" i="9"/>
  <c r="C149" i="9"/>
  <c r="A144" i="9"/>
  <c r="A143" i="9"/>
  <c r="G142" i="9"/>
  <c r="A141" i="9"/>
  <c r="A140" i="9"/>
  <c r="A137" i="9"/>
  <c r="A136" i="9"/>
  <c r="A135" i="9"/>
  <c r="A134" i="9"/>
  <c r="A133" i="9"/>
  <c r="A132" i="9"/>
  <c r="A131" i="9"/>
  <c r="A130" i="9"/>
  <c r="A129" i="9"/>
  <c r="A128" i="9"/>
  <c r="A127" i="9"/>
  <c r="A126" i="9"/>
  <c r="A125" i="9"/>
  <c r="F124" i="9"/>
  <c r="F130" i="9" s="1"/>
  <c r="F133" i="9" s="1"/>
  <c r="F135" i="9" s="1"/>
  <c r="F137" i="9" s="1"/>
  <c r="C124" i="9"/>
  <c r="A124" i="9"/>
  <c r="A123" i="9"/>
  <c r="E124" i="9"/>
  <c r="E130" i="9" s="1"/>
  <c r="E133" i="9" s="1"/>
  <c r="E135" i="9" s="1"/>
  <c r="E137" i="9" s="1"/>
  <c r="A122" i="9"/>
  <c r="A121" i="9"/>
  <c r="I124" i="9"/>
  <c r="I130" i="9" s="1"/>
  <c r="I133" i="9" s="1"/>
  <c r="I135" i="9" s="1"/>
  <c r="I137" i="9" s="1"/>
  <c r="G124" i="9"/>
  <c r="G130" i="9" s="1"/>
  <c r="G133" i="9" s="1"/>
  <c r="G135" i="9" s="1"/>
  <c r="G137" i="9" s="1"/>
  <c r="D124" i="9"/>
  <c r="A120" i="9"/>
  <c r="A116" i="9"/>
  <c r="A115" i="9"/>
  <c r="A113" i="9"/>
  <c r="A112" i="9"/>
  <c r="A111" i="9"/>
  <c r="A110" i="9"/>
  <c r="A109" i="9"/>
  <c r="A108" i="9"/>
  <c r="A107" i="9"/>
  <c r="I106" i="9"/>
  <c r="G106" i="9"/>
  <c r="E106" i="9"/>
  <c r="A105" i="9"/>
  <c r="A104" i="9"/>
  <c r="D100" i="9"/>
  <c r="A101" i="9"/>
  <c r="A100" i="9"/>
  <c r="A98" i="9"/>
  <c r="E100" i="9"/>
  <c r="A97" i="9"/>
  <c r="A96" i="9"/>
  <c r="G100" i="9"/>
  <c r="A95" i="9"/>
  <c r="I100" i="9"/>
  <c r="F100" i="9"/>
  <c r="A94" i="9"/>
  <c r="A93" i="9"/>
  <c r="G93" i="9"/>
  <c r="A92" i="9"/>
  <c r="A90" i="9"/>
  <c r="A89" i="9"/>
  <c r="A88" i="9"/>
  <c r="A87" i="9"/>
  <c r="I86" i="9"/>
  <c r="E86" i="9"/>
  <c r="D86" i="9"/>
  <c r="A85" i="9"/>
  <c r="A84" i="9"/>
  <c r="A81" i="9"/>
  <c r="A80" i="9"/>
  <c r="A79" i="9"/>
  <c r="A78" i="9"/>
  <c r="A77" i="9"/>
  <c r="A76" i="9"/>
  <c r="A75" i="9"/>
  <c r="A74" i="9"/>
  <c r="A73" i="9"/>
  <c r="A72" i="9"/>
  <c r="A71" i="9"/>
  <c r="A70" i="9"/>
  <c r="A69" i="9"/>
  <c r="I68" i="9"/>
  <c r="I74" i="9" s="1"/>
  <c r="I77" i="9" s="1"/>
  <c r="I79" i="9" s="1"/>
  <c r="I81" i="9" s="1"/>
  <c r="G68" i="9"/>
  <c r="G74" i="9" s="1"/>
  <c r="G77" i="9" s="1"/>
  <c r="G79" i="9" s="1"/>
  <c r="G81" i="9" s="1"/>
  <c r="A68" i="9"/>
  <c r="A67" i="9"/>
  <c r="A66" i="9"/>
  <c r="H68" i="9"/>
  <c r="H74" i="9" s="1"/>
  <c r="H77" i="9" s="1"/>
  <c r="F68" i="9"/>
  <c r="F74" i="9" s="1"/>
  <c r="F77" i="9" s="1"/>
  <c r="F79" i="9" s="1"/>
  <c r="F81" i="9" s="1"/>
  <c r="D68" i="9"/>
  <c r="D74" i="9" s="1"/>
  <c r="D77" i="9" s="1"/>
  <c r="D79" i="9" s="1"/>
  <c r="D81" i="9" s="1"/>
  <c r="A65" i="9"/>
  <c r="E68" i="9"/>
  <c r="E74" i="9" s="1"/>
  <c r="A64" i="9"/>
  <c r="A60" i="9"/>
  <c r="A59" i="9"/>
  <c r="A57" i="9"/>
  <c r="A56" i="9"/>
  <c r="A55" i="9"/>
  <c r="A54" i="9"/>
  <c r="A53" i="9"/>
  <c r="A52" i="9"/>
  <c r="A51" i="9"/>
  <c r="E50" i="9"/>
  <c r="A49" i="9"/>
  <c r="A48" i="9"/>
  <c r="A45" i="9"/>
  <c r="A44" i="9"/>
  <c r="A42" i="9"/>
  <c r="F44" i="9"/>
  <c r="A41" i="9"/>
  <c r="A40" i="9"/>
  <c r="E44" i="9"/>
  <c r="D44" i="9"/>
  <c r="C44" i="9"/>
  <c r="B44" i="9"/>
  <c r="A39" i="9"/>
  <c r="A38" i="9"/>
  <c r="I37" i="9"/>
  <c r="F37" i="9"/>
  <c r="E37" i="9"/>
  <c r="D37" i="9"/>
  <c r="A37" i="9"/>
  <c r="A36" i="9"/>
  <c r="A34" i="9"/>
  <c r="A33" i="9"/>
  <c r="H37" i="9"/>
  <c r="A32" i="9"/>
  <c r="G37" i="9"/>
  <c r="A31" i="9"/>
  <c r="I30" i="9"/>
  <c r="I162" i="9" s="1"/>
  <c r="H30" i="9"/>
  <c r="G30" i="9"/>
  <c r="G50" i="9" s="1"/>
  <c r="F30" i="9"/>
  <c r="F142" i="9" s="1"/>
  <c r="E30" i="9"/>
  <c r="E142" i="9" s="1"/>
  <c r="D30" i="9"/>
  <c r="D162" i="9" s="1"/>
  <c r="C30" i="9"/>
  <c r="C50" i="9" s="1"/>
  <c r="B30" i="9"/>
  <c r="B50" i="9" s="1"/>
  <c r="A29" i="9"/>
  <c r="A28" i="9"/>
  <c r="A25" i="9"/>
  <c r="A24" i="9"/>
  <c r="A23" i="9"/>
  <c r="A22" i="9"/>
  <c r="A21" i="9"/>
  <c r="A20" i="9"/>
  <c r="A19" i="9"/>
  <c r="A18" i="9"/>
  <c r="A17" i="9"/>
  <c r="A16" i="9"/>
  <c r="A15" i="9"/>
  <c r="A14" i="9"/>
  <c r="A13" i="9"/>
  <c r="E12" i="9"/>
  <c r="E18" i="9" s="1"/>
  <c r="E21" i="9" s="1"/>
  <c r="E23" i="9" s="1"/>
  <c r="E25" i="9" s="1"/>
  <c r="A12" i="9"/>
  <c r="A11" i="9"/>
  <c r="C12" i="9"/>
  <c r="C18" i="9" s="1"/>
  <c r="C21" i="9" s="1"/>
  <c r="C23" i="9" s="1"/>
  <c r="C25" i="9" s="1"/>
  <c r="B12" i="9"/>
  <c r="B18" i="9" s="1"/>
  <c r="B21" i="9" s="1"/>
  <c r="B23" i="9" s="1"/>
  <c r="B25" i="9" s="1"/>
  <c r="A10" i="9"/>
  <c r="A9" i="9"/>
  <c r="H12" i="9"/>
  <c r="H18" i="9" s="1"/>
  <c r="H21" i="9" s="1"/>
  <c r="H23" i="9" s="1"/>
  <c r="H25" i="9" s="1"/>
  <c r="G12" i="9"/>
  <c r="G18" i="9" s="1"/>
  <c r="F12" i="9"/>
  <c r="F18" i="9" s="1"/>
  <c r="F21" i="9" s="1"/>
  <c r="F23" i="9" s="1"/>
  <c r="F25" i="9" s="1"/>
  <c r="D12" i="9"/>
  <c r="D18" i="9" s="1"/>
  <c r="D21" i="9" s="1"/>
  <c r="D23" i="9" s="1"/>
  <c r="D25" i="9" s="1"/>
  <c r="A8" i="9"/>
  <c r="F6" i="9"/>
  <c r="F62" i="9" s="1"/>
  <c r="B6" i="9"/>
  <c r="B62" i="9" s="1"/>
  <c r="A4" i="9"/>
  <c r="A3" i="9"/>
  <c r="A1" i="9"/>
  <c r="A113" i="8"/>
  <c r="A112" i="8"/>
  <c r="A111" i="8"/>
  <c r="A110" i="8"/>
  <c r="A109" i="8"/>
  <c r="D68" i="24"/>
  <c r="A108" i="8"/>
  <c r="A107" i="8"/>
  <c r="A105" i="8"/>
  <c r="A104" i="8"/>
  <c r="A101" i="8"/>
  <c r="A100" i="8"/>
  <c r="E100" i="8"/>
  <c r="A98" i="8"/>
  <c r="A97" i="8"/>
  <c r="G100" i="8"/>
  <c r="A96" i="8"/>
  <c r="A95" i="8"/>
  <c r="I100" i="8"/>
  <c r="A94" i="8"/>
  <c r="A93" i="8"/>
  <c r="E93" i="8"/>
  <c r="A92" i="8"/>
  <c r="A90" i="8"/>
  <c r="G93" i="8"/>
  <c r="A89" i="8"/>
  <c r="A88" i="8"/>
  <c r="A87" i="8"/>
  <c r="I86" i="8"/>
  <c r="G86" i="8"/>
  <c r="B86" i="8"/>
  <c r="A85" i="8"/>
  <c r="A84" i="8"/>
  <c r="A81" i="8"/>
  <c r="A80" i="8"/>
  <c r="A79" i="8"/>
  <c r="A78" i="8"/>
  <c r="A77" i="8"/>
  <c r="A76" i="8"/>
  <c r="A75" i="8"/>
  <c r="H74" i="8"/>
  <c r="H77" i="8" s="1"/>
  <c r="H79" i="8" s="1"/>
  <c r="H81" i="8" s="1"/>
  <c r="A74" i="8"/>
  <c r="A73" i="8"/>
  <c r="A72" i="8"/>
  <c r="A71" i="8"/>
  <c r="A70" i="8"/>
  <c r="A69" i="8"/>
  <c r="E68" i="8"/>
  <c r="E74" i="8" s="1"/>
  <c r="A68" i="8"/>
  <c r="A67" i="8"/>
  <c r="A66" i="8"/>
  <c r="A65" i="8"/>
  <c r="H68" i="8"/>
  <c r="F68" i="8"/>
  <c r="F74" i="8" s="1"/>
  <c r="F77" i="8" s="1"/>
  <c r="F79" i="8" s="1"/>
  <c r="F81" i="8" s="1"/>
  <c r="D68" i="8"/>
  <c r="D74" i="8" s="1"/>
  <c r="D77" i="8" s="1"/>
  <c r="D79" i="8" s="1"/>
  <c r="D81" i="8" s="1"/>
  <c r="C68" i="8"/>
  <c r="A64" i="8"/>
  <c r="B62" i="8"/>
  <c r="A60" i="8"/>
  <c r="A59" i="8"/>
  <c r="A57" i="8"/>
  <c r="A56" i="8"/>
  <c r="A55" i="8"/>
  <c r="A54" i="8"/>
  <c r="A53" i="8"/>
  <c r="A52" i="8"/>
  <c r="A51" i="8"/>
  <c r="A49" i="8"/>
  <c r="A48" i="8"/>
  <c r="A45" i="8"/>
  <c r="C44" i="8"/>
  <c r="B44" i="8"/>
  <c r="A44" i="8"/>
  <c r="A42" i="8"/>
  <c r="E44" i="8"/>
  <c r="A41" i="8"/>
  <c r="A40" i="8"/>
  <c r="I44" i="8"/>
  <c r="H44" i="8"/>
  <c r="A39" i="8"/>
  <c r="D37" i="8"/>
  <c r="C37" i="8"/>
  <c r="B37" i="8"/>
  <c r="A38" i="8"/>
  <c r="I37" i="8"/>
  <c r="H37" i="8"/>
  <c r="A37" i="8"/>
  <c r="A36" i="8"/>
  <c r="A34" i="8"/>
  <c r="A33" i="8"/>
  <c r="A32" i="8"/>
  <c r="A31" i="8"/>
  <c r="I30" i="8"/>
  <c r="I106" i="8" s="1"/>
  <c r="H30" i="8"/>
  <c r="H50" i="8" s="1"/>
  <c r="G30" i="8"/>
  <c r="G106" i="8" s="1"/>
  <c r="F30" i="8"/>
  <c r="F106" i="8" s="1"/>
  <c r="E30" i="8"/>
  <c r="E106" i="8" s="1"/>
  <c r="D30" i="8"/>
  <c r="D86" i="8" s="1"/>
  <c r="C30" i="8"/>
  <c r="B30" i="8"/>
  <c r="B106" i="8" s="1"/>
  <c r="A29" i="8"/>
  <c r="A28" i="8"/>
  <c r="A25" i="8"/>
  <c r="A24" i="8"/>
  <c r="A23" i="8"/>
  <c r="A22" i="8"/>
  <c r="A21" i="8"/>
  <c r="A20" i="8"/>
  <c r="A19" i="8"/>
  <c r="A18" i="8"/>
  <c r="A17" i="8"/>
  <c r="A16" i="8"/>
  <c r="A15" i="8"/>
  <c r="A14" i="8"/>
  <c r="A13" i="8"/>
  <c r="I12" i="8"/>
  <c r="I18" i="8" s="1"/>
  <c r="I21" i="8" s="1"/>
  <c r="I23" i="8" s="1"/>
  <c r="B12" i="8"/>
  <c r="B18" i="8" s="1"/>
  <c r="B21" i="8" s="1"/>
  <c r="B23" i="8" s="1"/>
  <c r="B25" i="8" s="1"/>
  <c r="A12" i="8"/>
  <c r="A11" i="8"/>
  <c r="C12" i="8"/>
  <c r="C18" i="8" s="1"/>
  <c r="C21" i="8" s="1"/>
  <c r="C23" i="8" s="1"/>
  <c r="C25" i="8" s="1"/>
  <c r="A10" i="8"/>
  <c r="A9" i="8"/>
  <c r="H12" i="8"/>
  <c r="H18" i="8" s="1"/>
  <c r="H21" i="8" s="1"/>
  <c r="H23" i="8" s="1"/>
  <c r="H25" i="8" s="1"/>
  <c r="G12" i="8"/>
  <c r="G18" i="8" s="1"/>
  <c r="G21" i="8" s="1"/>
  <c r="G23" i="8" s="1"/>
  <c r="G25" i="8" s="1"/>
  <c r="F12" i="8"/>
  <c r="F18" i="8" s="1"/>
  <c r="F21" i="8" s="1"/>
  <c r="F23" i="8" s="1"/>
  <c r="F25" i="8" s="1"/>
  <c r="E12" i="8"/>
  <c r="E18" i="8" s="1"/>
  <c r="E21" i="8" s="1"/>
  <c r="E23" i="8" s="1"/>
  <c r="E25" i="8" s="1"/>
  <c r="A8" i="8"/>
  <c r="F6" i="8"/>
  <c r="F62" i="8" s="1"/>
  <c r="B6" i="8"/>
  <c r="A4" i="8"/>
  <c r="A3" i="8"/>
  <c r="A1" i="8"/>
  <c r="A169" i="7"/>
  <c r="A168" i="7"/>
  <c r="A167" i="7"/>
  <c r="A166" i="7"/>
  <c r="A165" i="7"/>
  <c r="A164" i="7"/>
  <c r="A163" i="7"/>
  <c r="A161" i="7"/>
  <c r="A160" i="7"/>
  <c r="A157" i="7"/>
  <c r="A156" i="7"/>
  <c r="A154" i="7"/>
  <c r="A153" i="7"/>
  <c r="A152" i="7"/>
  <c r="D156" i="7"/>
  <c r="C156" i="7"/>
  <c r="B156" i="7"/>
  <c r="A151" i="7"/>
  <c r="A150" i="7"/>
  <c r="G149" i="7"/>
  <c r="D149" i="7"/>
  <c r="B149" i="7"/>
  <c r="A149" i="7"/>
  <c r="A148" i="7"/>
  <c r="A146" i="7"/>
  <c r="A145" i="7"/>
  <c r="F149" i="7"/>
  <c r="A144" i="7"/>
  <c r="C149" i="7"/>
  <c r="A143" i="7"/>
  <c r="I142" i="7"/>
  <c r="E142" i="7"/>
  <c r="A141" i="7"/>
  <c r="A140" i="7"/>
  <c r="A137" i="7"/>
  <c r="A136" i="7"/>
  <c r="A135" i="7"/>
  <c r="A134" i="7"/>
  <c r="A133" i="7"/>
  <c r="A132" i="7"/>
  <c r="A131" i="7"/>
  <c r="D130" i="7"/>
  <c r="D133" i="7" s="1"/>
  <c r="D135" i="7" s="1"/>
  <c r="D137" i="7" s="1"/>
  <c r="A130" i="7"/>
  <c r="A129" i="7"/>
  <c r="A128" i="7"/>
  <c r="A127" i="7"/>
  <c r="A126" i="7"/>
  <c r="A125" i="7"/>
  <c r="A124" i="7"/>
  <c r="A123" i="7"/>
  <c r="A122" i="7"/>
  <c r="I124" i="7"/>
  <c r="I130" i="7" s="1"/>
  <c r="I133" i="7" s="1"/>
  <c r="I135" i="7" s="1"/>
  <c r="I137" i="7" s="1"/>
  <c r="H124" i="7"/>
  <c r="H130" i="7" s="1"/>
  <c r="H133" i="7" s="1"/>
  <c r="H135" i="7" s="1"/>
  <c r="H137" i="7" s="1"/>
  <c r="G124" i="7"/>
  <c r="G130" i="7" s="1"/>
  <c r="G133" i="7" s="1"/>
  <c r="G135" i="7" s="1"/>
  <c r="G137" i="7" s="1"/>
  <c r="A121" i="7"/>
  <c r="D124" i="7"/>
  <c r="C124" i="7"/>
  <c r="C130" i="7" s="1"/>
  <c r="C133" i="7" s="1"/>
  <c r="C135" i="7" s="1"/>
  <c r="C137" i="7" s="1"/>
  <c r="B124" i="7"/>
  <c r="B130" i="7" s="1"/>
  <c r="B133" i="7" s="1"/>
  <c r="B135" i="7" s="1"/>
  <c r="B137" i="7" s="1"/>
  <c r="A120" i="7"/>
  <c r="A116" i="7"/>
  <c r="A115" i="7"/>
  <c r="A113" i="7"/>
  <c r="A112" i="7"/>
  <c r="A111" i="7"/>
  <c r="A110" i="7"/>
  <c r="A109" i="7"/>
  <c r="B29" i="24"/>
  <c r="A108" i="7"/>
  <c r="A107" i="7"/>
  <c r="F106" i="7"/>
  <c r="E106" i="7"/>
  <c r="A105" i="7"/>
  <c r="A104" i="7"/>
  <c r="A101" i="7"/>
  <c r="E100" i="7"/>
  <c r="A100" i="7"/>
  <c r="A98" i="7"/>
  <c r="G100" i="7"/>
  <c r="F100" i="7"/>
  <c r="A97" i="7"/>
  <c r="A96" i="7"/>
  <c r="I100" i="7"/>
  <c r="H100" i="7"/>
  <c r="A95" i="7"/>
  <c r="D100" i="7"/>
  <c r="C100" i="7"/>
  <c r="A94" i="7"/>
  <c r="A93" i="7"/>
  <c r="A92" i="7"/>
  <c r="A90" i="7"/>
  <c r="A89" i="7"/>
  <c r="C93" i="7"/>
  <c r="A88" i="7"/>
  <c r="A87" i="7"/>
  <c r="F86" i="7"/>
  <c r="E86" i="7"/>
  <c r="A85" i="7"/>
  <c r="A84" i="7"/>
  <c r="A81" i="7"/>
  <c r="A80" i="7"/>
  <c r="A79" i="7"/>
  <c r="A78" i="7"/>
  <c r="A77" i="7"/>
  <c r="A76" i="7"/>
  <c r="A75" i="7"/>
  <c r="A74" i="7"/>
  <c r="A73" i="7"/>
  <c r="A72" i="7"/>
  <c r="A71" i="7"/>
  <c r="A70" i="7"/>
  <c r="A69" i="7"/>
  <c r="H68" i="7"/>
  <c r="H74" i="7" s="1"/>
  <c r="H77" i="7" s="1"/>
  <c r="H79" i="7" s="1"/>
  <c r="H81" i="7" s="1"/>
  <c r="G68" i="7"/>
  <c r="G74" i="7" s="1"/>
  <c r="G77" i="7" s="1"/>
  <c r="G79" i="7" s="1"/>
  <c r="G81" i="7" s="1"/>
  <c r="A68" i="7"/>
  <c r="A67" i="7"/>
  <c r="A66" i="7"/>
  <c r="E68" i="7"/>
  <c r="E74" i="7" s="1"/>
  <c r="E77" i="7" s="1"/>
  <c r="E79" i="7" s="1"/>
  <c r="E81" i="7" s="1"/>
  <c r="A65" i="7"/>
  <c r="I68" i="7"/>
  <c r="I74" i="7" s="1"/>
  <c r="I77" i="7" s="1"/>
  <c r="I79" i="7" s="1"/>
  <c r="I81" i="7" s="1"/>
  <c r="A64" i="7"/>
  <c r="A60" i="7"/>
  <c r="A59" i="7"/>
  <c r="A57" i="7"/>
  <c r="A56" i="7"/>
  <c r="A55" i="7"/>
  <c r="A54" i="7"/>
  <c r="A53" i="7"/>
  <c r="A52" i="7"/>
  <c r="A51" i="7"/>
  <c r="I50" i="7"/>
  <c r="H50" i="7"/>
  <c r="E50" i="7"/>
  <c r="A49" i="7"/>
  <c r="A48" i="7"/>
  <c r="A45" i="7"/>
  <c r="H44" i="7"/>
  <c r="E44" i="7"/>
  <c r="A44" i="7"/>
  <c r="A42" i="7"/>
  <c r="G44" i="7"/>
  <c r="A41" i="7"/>
  <c r="C44" i="7"/>
  <c r="A40" i="7"/>
  <c r="I44" i="7"/>
  <c r="A39" i="7"/>
  <c r="H37" i="7"/>
  <c r="G37" i="7"/>
  <c r="D37" i="7"/>
  <c r="B37" i="7"/>
  <c r="A38" i="7"/>
  <c r="I37" i="7"/>
  <c r="A37" i="7"/>
  <c r="F37" i="7"/>
  <c r="A36" i="7"/>
  <c r="A34" i="7"/>
  <c r="A33" i="7"/>
  <c r="A32" i="7"/>
  <c r="A31" i="7"/>
  <c r="I30" i="7"/>
  <c r="I106" i="7" s="1"/>
  <c r="H30" i="7"/>
  <c r="H86" i="7" s="1"/>
  <c r="G30" i="7"/>
  <c r="G106" i="7" s="1"/>
  <c r="F30" i="7"/>
  <c r="F50" i="7" s="1"/>
  <c r="E30" i="7"/>
  <c r="E162" i="7" s="1"/>
  <c r="D30" i="7"/>
  <c r="D106" i="7" s="1"/>
  <c r="C30" i="7"/>
  <c r="C86" i="7" s="1"/>
  <c r="B30" i="7"/>
  <c r="B142" i="7" s="1"/>
  <c r="A29" i="7"/>
  <c r="A28" i="7"/>
  <c r="A25" i="7"/>
  <c r="A24" i="7"/>
  <c r="A23" i="7"/>
  <c r="A22" i="7"/>
  <c r="A21" i="7"/>
  <c r="A20" i="7"/>
  <c r="A19" i="7"/>
  <c r="A18" i="7"/>
  <c r="A17" i="7"/>
  <c r="A16" i="7"/>
  <c r="A15" i="7"/>
  <c r="A14" i="7"/>
  <c r="A13" i="7"/>
  <c r="F12" i="7"/>
  <c r="F18" i="7" s="1"/>
  <c r="F21" i="7" s="1"/>
  <c r="F23" i="7" s="1"/>
  <c r="F25" i="7" s="1"/>
  <c r="E12" i="7"/>
  <c r="E18" i="7" s="1"/>
  <c r="E21" i="7" s="1"/>
  <c r="E23" i="7" s="1"/>
  <c r="E25" i="7" s="1"/>
  <c r="C12" i="7"/>
  <c r="C18" i="7" s="1"/>
  <c r="C21" i="7" s="1"/>
  <c r="C23" i="7" s="1"/>
  <c r="C25" i="7" s="1"/>
  <c r="A12" i="7"/>
  <c r="A11" i="7"/>
  <c r="H12" i="7"/>
  <c r="H18" i="7" s="1"/>
  <c r="H21" i="7" s="1"/>
  <c r="H23" i="7" s="1"/>
  <c r="H25" i="7" s="1"/>
  <c r="A10" i="7"/>
  <c r="D12" i="7"/>
  <c r="D18" i="7" s="1"/>
  <c r="D21" i="7" s="1"/>
  <c r="D23" i="7" s="1"/>
  <c r="D25" i="7" s="1"/>
  <c r="A9" i="7"/>
  <c r="I12" i="7"/>
  <c r="I18" i="7" s="1"/>
  <c r="I21" i="7" s="1"/>
  <c r="I23" i="7" s="1"/>
  <c r="I25" i="7" s="1"/>
  <c r="G12" i="7"/>
  <c r="G18" i="7" s="1"/>
  <c r="G21" i="7" s="1"/>
  <c r="G23" i="7" s="1"/>
  <c r="G25" i="7" s="1"/>
  <c r="A8" i="7"/>
  <c r="F6" i="7"/>
  <c r="F62" i="7" s="1"/>
  <c r="B6" i="7"/>
  <c r="A4" i="7"/>
  <c r="A3" i="7"/>
  <c r="A1" i="7"/>
  <c r="A169" i="6"/>
  <c r="A168" i="6"/>
  <c r="A167" i="6"/>
  <c r="A166" i="6"/>
  <c r="A165" i="6"/>
  <c r="A164" i="6"/>
  <c r="A163" i="6"/>
  <c r="F162" i="6"/>
  <c r="A161" i="6"/>
  <c r="A160" i="6"/>
  <c r="A157" i="6"/>
  <c r="G156" i="6"/>
  <c r="F156" i="6"/>
  <c r="A156" i="6"/>
  <c r="A154" i="6"/>
  <c r="A153" i="6"/>
  <c r="B156" i="6"/>
  <c r="A152" i="6"/>
  <c r="I156" i="6"/>
  <c r="A151" i="6"/>
  <c r="G149" i="6"/>
  <c r="D156" i="6"/>
  <c r="C156" i="6"/>
  <c r="A150" i="6"/>
  <c r="A149" i="6"/>
  <c r="I149" i="6"/>
  <c r="E149" i="6"/>
  <c r="A148" i="6"/>
  <c r="A146" i="6"/>
  <c r="H149" i="6"/>
  <c r="A145" i="6"/>
  <c r="A144" i="6"/>
  <c r="A143" i="6"/>
  <c r="F142" i="6"/>
  <c r="E142" i="6"/>
  <c r="A141" i="6"/>
  <c r="A140" i="6"/>
  <c r="A137" i="6"/>
  <c r="A136" i="6"/>
  <c r="A135" i="6"/>
  <c r="A134" i="6"/>
  <c r="A133" i="6"/>
  <c r="A132" i="6"/>
  <c r="A131" i="6"/>
  <c r="C130" i="6"/>
  <c r="C133" i="6" s="1"/>
  <c r="C135" i="6" s="1"/>
  <c r="C137" i="6" s="1"/>
  <c r="A130" i="6"/>
  <c r="A129" i="6"/>
  <c r="A128" i="6"/>
  <c r="A127" i="6"/>
  <c r="A126" i="6"/>
  <c r="A125" i="6"/>
  <c r="G124" i="6"/>
  <c r="G130" i="6" s="1"/>
  <c r="G133" i="6" s="1"/>
  <c r="G135" i="6" s="1"/>
  <c r="G137" i="6" s="1"/>
  <c r="E124" i="6"/>
  <c r="E130" i="6" s="1"/>
  <c r="E133" i="6" s="1"/>
  <c r="E135" i="6" s="1"/>
  <c r="E137" i="6" s="1"/>
  <c r="B124" i="6"/>
  <c r="B130" i="6" s="1"/>
  <c r="B133" i="6" s="1"/>
  <c r="B135" i="6" s="1"/>
  <c r="B137" i="6" s="1"/>
  <c r="A124" i="6"/>
  <c r="A123" i="6"/>
  <c r="D124" i="6"/>
  <c r="D130" i="6" s="1"/>
  <c r="D133" i="6" s="1"/>
  <c r="D135" i="6" s="1"/>
  <c r="D137" i="6" s="1"/>
  <c r="A122" i="6"/>
  <c r="C124" i="6"/>
  <c r="A121" i="6"/>
  <c r="I124" i="6"/>
  <c r="I130" i="6" s="1"/>
  <c r="I133" i="6" s="1"/>
  <c r="I135" i="6" s="1"/>
  <c r="I137" i="6" s="1"/>
  <c r="H124" i="6"/>
  <c r="H130" i="6" s="1"/>
  <c r="H133" i="6" s="1"/>
  <c r="H135" i="6" s="1"/>
  <c r="H137" i="6" s="1"/>
  <c r="F124" i="6"/>
  <c r="F130" i="6" s="1"/>
  <c r="F133" i="6" s="1"/>
  <c r="F135" i="6" s="1"/>
  <c r="F137" i="6" s="1"/>
  <c r="A120" i="6"/>
  <c r="A116" i="6"/>
  <c r="A115" i="6"/>
  <c r="A113" i="6"/>
  <c r="A112" i="6"/>
  <c r="A111" i="6"/>
  <c r="A110" i="6"/>
  <c r="A109" i="6"/>
  <c r="A108" i="6"/>
  <c r="A107" i="6"/>
  <c r="A105" i="6"/>
  <c r="A104" i="6"/>
  <c r="A101" i="6"/>
  <c r="B100" i="6"/>
  <c r="A100" i="6"/>
  <c r="A98" i="6"/>
  <c r="D100" i="6"/>
  <c r="A97" i="6"/>
  <c r="A96" i="6"/>
  <c r="H100" i="6"/>
  <c r="G100" i="6"/>
  <c r="F100" i="6"/>
  <c r="E100" i="6"/>
  <c r="A95" i="6"/>
  <c r="E93" i="6"/>
  <c r="C93" i="6"/>
  <c r="A94" i="6"/>
  <c r="H93" i="6"/>
  <c r="G93" i="6"/>
  <c r="F93" i="6"/>
  <c r="A93" i="6"/>
  <c r="A92" i="6"/>
  <c r="A90" i="6"/>
  <c r="A89" i="6"/>
  <c r="A88" i="6"/>
  <c r="A87" i="6"/>
  <c r="A85" i="6"/>
  <c r="A84" i="6"/>
  <c r="A81" i="6"/>
  <c r="A80" i="6"/>
  <c r="A79" i="6"/>
  <c r="A78" i="6"/>
  <c r="A77" i="6"/>
  <c r="A76" i="6"/>
  <c r="A75" i="6"/>
  <c r="A74" i="6"/>
  <c r="A73" i="6"/>
  <c r="A72" i="6"/>
  <c r="A71" i="6"/>
  <c r="A70" i="6"/>
  <c r="A69" i="6"/>
  <c r="C68" i="6"/>
  <c r="C74" i="6" s="1"/>
  <c r="C77" i="6" s="1"/>
  <c r="C79" i="6" s="1"/>
  <c r="C81" i="6" s="1"/>
  <c r="A68" i="6"/>
  <c r="A67" i="6"/>
  <c r="B68" i="6"/>
  <c r="B74" i="6" s="1"/>
  <c r="B77" i="6" s="1"/>
  <c r="B79" i="6" s="1"/>
  <c r="B81" i="6" s="1"/>
  <c r="A66" i="6"/>
  <c r="E68" i="6"/>
  <c r="E74" i="6" s="1"/>
  <c r="E77" i="6" s="1"/>
  <c r="E79" i="6" s="1"/>
  <c r="E81" i="6" s="1"/>
  <c r="A65" i="6"/>
  <c r="I68" i="6"/>
  <c r="I74" i="6" s="1"/>
  <c r="I77" i="6" s="1"/>
  <c r="I79" i="6" s="1"/>
  <c r="I81" i="6" s="1"/>
  <c r="H68" i="6"/>
  <c r="H74" i="6" s="1"/>
  <c r="H77" i="6" s="1"/>
  <c r="H79" i="6" s="1"/>
  <c r="H81" i="6" s="1"/>
  <c r="G68" i="6"/>
  <c r="G74" i="6" s="1"/>
  <c r="G77" i="6" s="1"/>
  <c r="G79" i="6" s="1"/>
  <c r="G81" i="6" s="1"/>
  <c r="F68" i="6"/>
  <c r="F74" i="6" s="1"/>
  <c r="F77" i="6" s="1"/>
  <c r="F79" i="6" s="1"/>
  <c r="F81" i="6" s="1"/>
  <c r="D68" i="6"/>
  <c r="D74" i="6" s="1"/>
  <c r="D77" i="6" s="1"/>
  <c r="D79" i="6" s="1"/>
  <c r="D81" i="6" s="1"/>
  <c r="A64" i="6"/>
  <c r="B62" i="6"/>
  <c r="A60" i="6"/>
  <c r="A59" i="6"/>
  <c r="A57" i="6"/>
  <c r="A56" i="6"/>
  <c r="A55" i="6"/>
  <c r="A54" i="6"/>
  <c r="A53" i="6"/>
  <c r="A52" i="6"/>
  <c r="A51" i="6"/>
  <c r="F50" i="6"/>
  <c r="A49" i="6"/>
  <c r="A48" i="6"/>
  <c r="A45" i="6"/>
  <c r="A44" i="6"/>
  <c r="A42" i="6"/>
  <c r="C44" i="6"/>
  <c r="B44" i="6"/>
  <c r="A41" i="6"/>
  <c r="A40" i="6"/>
  <c r="F44" i="6"/>
  <c r="E44" i="6"/>
  <c r="D44" i="6"/>
  <c r="A39" i="6"/>
  <c r="C37" i="6"/>
  <c r="A38" i="6"/>
  <c r="H37" i="6"/>
  <c r="G37" i="6"/>
  <c r="F37" i="6"/>
  <c r="A37" i="6"/>
  <c r="E37" i="6"/>
  <c r="D37" i="6"/>
  <c r="A36" i="6"/>
  <c r="A34" i="6"/>
  <c r="A33" i="6"/>
  <c r="I37" i="6"/>
  <c r="A32" i="6"/>
  <c r="A31" i="6"/>
  <c r="I30" i="6"/>
  <c r="I86" i="6" s="1"/>
  <c r="H30" i="6"/>
  <c r="H86" i="6" s="1"/>
  <c r="G30" i="6"/>
  <c r="G162" i="6" s="1"/>
  <c r="F30" i="6"/>
  <c r="F86" i="6" s="1"/>
  <c r="E30" i="6"/>
  <c r="E50" i="6" s="1"/>
  <c r="D30" i="6"/>
  <c r="D50" i="6" s="1"/>
  <c r="C30" i="6"/>
  <c r="C106" i="6" s="1"/>
  <c r="B30" i="6"/>
  <c r="B162" i="6" s="1"/>
  <c r="A29" i="6"/>
  <c r="A28" i="6"/>
  <c r="A25" i="6"/>
  <c r="A24" i="6"/>
  <c r="A23" i="6"/>
  <c r="A22" i="6"/>
  <c r="A21" i="6"/>
  <c r="A20" i="6"/>
  <c r="A19" i="6"/>
  <c r="A18" i="6"/>
  <c r="A17" i="6"/>
  <c r="A16" i="6"/>
  <c r="A15" i="6"/>
  <c r="A14" i="6"/>
  <c r="A13" i="6"/>
  <c r="G12" i="6"/>
  <c r="G18" i="6" s="1"/>
  <c r="G21" i="6" s="1"/>
  <c r="G23" i="6" s="1"/>
  <c r="G25" i="6" s="1"/>
  <c r="F12" i="6"/>
  <c r="F18" i="6" s="1"/>
  <c r="F21" i="6" s="1"/>
  <c r="F23" i="6" s="1"/>
  <c r="F25" i="6" s="1"/>
  <c r="E12" i="6"/>
  <c r="E18" i="6" s="1"/>
  <c r="E21" i="6" s="1"/>
  <c r="E23" i="6" s="1"/>
  <c r="E25" i="6" s="1"/>
  <c r="A12" i="6"/>
  <c r="A11" i="6"/>
  <c r="I12" i="6"/>
  <c r="I18" i="6" s="1"/>
  <c r="I21" i="6" s="1"/>
  <c r="I23" i="6" s="1"/>
  <c r="I25" i="6" s="1"/>
  <c r="H12" i="6"/>
  <c r="H18" i="6" s="1"/>
  <c r="H21" i="6" s="1"/>
  <c r="H23" i="6" s="1"/>
  <c r="H25" i="6" s="1"/>
  <c r="A10" i="6"/>
  <c r="D12" i="6"/>
  <c r="D18" i="6" s="1"/>
  <c r="D21" i="6" s="1"/>
  <c r="D23" i="6" s="1"/>
  <c r="D25" i="6" s="1"/>
  <c r="A9" i="6"/>
  <c r="C12" i="6"/>
  <c r="C18" i="6" s="1"/>
  <c r="C21" i="6" s="1"/>
  <c r="C23" i="6" s="1"/>
  <c r="C25" i="6" s="1"/>
  <c r="B12" i="6"/>
  <c r="B18" i="6" s="1"/>
  <c r="B21" i="6" s="1"/>
  <c r="B23" i="6" s="1"/>
  <c r="B25" i="6" s="1"/>
  <c r="A8" i="6"/>
  <c r="F6" i="6"/>
  <c r="F62" i="6" s="1"/>
  <c r="B6" i="6"/>
  <c r="B118" i="6" s="1"/>
  <c r="A4" i="6"/>
  <c r="A3" i="6"/>
  <c r="A1" i="6"/>
  <c r="A59" i="5"/>
  <c r="A58" i="5"/>
  <c r="A57" i="5"/>
  <c r="A56" i="5"/>
  <c r="A55" i="5"/>
  <c r="B11" i="24"/>
  <c r="A54" i="5"/>
  <c r="A53" i="5"/>
  <c r="I52" i="5"/>
  <c r="H52" i="5"/>
  <c r="G52" i="5"/>
  <c r="F52" i="5"/>
  <c r="E52" i="5"/>
  <c r="D52" i="5"/>
  <c r="C52" i="5"/>
  <c r="B52" i="5"/>
  <c r="A51" i="5"/>
  <c r="A50" i="5"/>
  <c r="I48" i="14"/>
  <c r="H48" i="14"/>
  <c r="G48" i="14"/>
  <c r="F48" i="14"/>
  <c r="E48" i="14"/>
  <c r="C48" i="14"/>
  <c r="A47" i="5"/>
  <c r="A46" i="5"/>
  <c r="A45" i="5"/>
  <c r="A44" i="5"/>
  <c r="A43" i="5"/>
  <c r="A42" i="5"/>
  <c r="A41" i="5"/>
  <c r="I39" i="5"/>
  <c r="E39" i="5"/>
  <c r="D39" i="5"/>
  <c r="C39" i="5"/>
  <c r="B39" i="5"/>
  <c r="A40" i="5"/>
  <c r="A39" i="5"/>
  <c r="A38" i="5"/>
  <c r="A37" i="5"/>
  <c r="A36" i="5"/>
  <c r="A35" i="5"/>
  <c r="A34" i="5"/>
  <c r="A33" i="5"/>
  <c r="A31" i="5"/>
  <c r="A30" i="5"/>
  <c r="A25" i="5"/>
  <c r="A24" i="5"/>
  <c r="A23" i="5"/>
  <c r="A22" i="5"/>
  <c r="A21" i="5"/>
  <c r="A20" i="5"/>
  <c r="A19" i="5"/>
  <c r="A18" i="5"/>
  <c r="A17" i="5"/>
  <c r="A16" i="5"/>
  <c r="A15" i="5"/>
  <c r="A14" i="5"/>
  <c r="A13" i="5"/>
  <c r="D12" i="5"/>
  <c r="D18" i="5" s="1"/>
  <c r="D21" i="5" s="1"/>
  <c r="D23" i="5" s="1"/>
  <c r="D25" i="5" s="1"/>
  <c r="C12" i="5"/>
  <c r="C18" i="5" s="1"/>
  <c r="C21" i="5" s="1"/>
  <c r="C23" i="5" s="1"/>
  <c r="C25" i="5" s="1"/>
  <c r="A12" i="5"/>
  <c r="A11" i="5"/>
  <c r="F12" i="5"/>
  <c r="F18" i="5" s="1"/>
  <c r="F21" i="5" s="1"/>
  <c r="F23" i="5" s="1"/>
  <c r="F25" i="5" s="1"/>
  <c r="E12" i="5"/>
  <c r="E18" i="5" s="1"/>
  <c r="E21" i="5" s="1"/>
  <c r="E23" i="5" s="1"/>
  <c r="E25" i="5" s="1"/>
  <c r="A10" i="5"/>
  <c r="B12" i="5"/>
  <c r="B18" i="5" s="1"/>
  <c r="B21" i="5" s="1"/>
  <c r="B23" i="5" s="1"/>
  <c r="B25" i="5" s="1"/>
  <c r="A9" i="5"/>
  <c r="I12" i="5"/>
  <c r="I18" i="5" s="1"/>
  <c r="I21" i="5" s="1"/>
  <c r="I23" i="5" s="1"/>
  <c r="I25" i="5" s="1"/>
  <c r="H12" i="5"/>
  <c r="H18" i="5" s="1"/>
  <c r="H21" i="5" s="1"/>
  <c r="H23" i="5" s="1"/>
  <c r="H25" i="5" s="1"/>
  <c r="G12" i="5"/>
  <c r="G18" i="5" s="1"/>
  <c r="G21" i="5" s="1"/>
  <c r="G23" i="5" s="1"/>
  <c r="G25" i="5" s="1"/>
  <c r="A8" i="5"/>
  <c r="I7" i="5"/>
  <c r="I7" i="7" s="1"/>
  <c r="H7" i="5"/>
  <c r="H7" i="15" s="1"/>
  <c r="H63" i="15" s="1"/>
  <c r="G7" i="5"/>
  <c r="G41" i="3" s="1"/>
  <c r="F7" i="5"/>
  <c r="F7" i="15" s="1"/>
  <c r="F63" i="15" s="1"/>
  <c r="E7" i="5"/>
  <c r="D7" i="5"/>
  <c r="D7" i="6" s="1"/>
  <c r="D119" i="6" s="1"/>
  <c r="C7" i="5"/>
  <c r="C7" i="14" s="1"/>
  <c r="B7" i="5"/>
  <c r="B7" i="7" s="1"/>
  <c r="A4" i="5"/>
  <c r="A3" i="5"/>
  <c r="A1" i="5"/>
  <c r="A37" i="4"/>
  <c r="H35" i="4"/>
  <c r="A35" i="4"/>
  <c r="I35" i="4"/>
  <c r="A34" i="4"/>
  <c r="C35" i="4"/>
  <c r="B35" i="4"/>
  <c r="A33" i="4"/>
  <c r="A32" i="4"/>
  <c r="B30" i="4"/>
  <c r="A30" i="4"/>
  <c r="A29" i="4"/>
  <c r="G30" i="4"/>
  <c r="A28" i="4"/>
  <c r="A27" i="4"/>
  <c r="A26" i="4"/>
  <c r="A25" i="4"/>
  <c r="A24" i="4"/>
  <c r="A23" i="4"/>
  <c r="A22" i="4"/>
  <c r="H30" i="4"/>
  <c r="F30" i="4"/>
  <c r="E30" i="4"/>
  <c r="D30" i="4"/>
  <c r="C30" i="4"/>
  <c r="A21" i="4"/>
  <c r="A20" i="4"/>
  <c r="A19" i="4"/>
  <c r="A18" i="4"/>
  <c r="A17" i="4"/>
  <c r="A16" i="4"/>
  <c r="A15" i="4"/>
  <c r="A14" i="4"/>
  <c r="A13" i="4"/>
  <c r="A12" i="4"/>
  <c r="A11" i="4"/>
  <c r="A10" i="4"/>
  <c r="A9" i="4"/>
  <c r="A8" i="4"/>
  <c r="I20" i="4"/>
  <c r="I37" i="4" s="1"/>
  <c r="H20" i="4"/>
  <c r="H37" i="4" s="1"/>
  <c r="F20" i="4"/>
  <c r="F37" i="4" s="1"/>
  <c r="A7" i="4"/>
  <c r="G20" i="4"/>
  <c r="G37" i="4" s="1"/>
  <c r="A6" i="4"/>
  <c r="I5" i="4"/>
  <c r="H5" i="4"/>
  <c r="G5" i="4"/>
  <c r="F5" i="4"/>
  <c r="E5" i="4"/>
  <c r="D5" i="4"/>
  <c r="C5" i="4"/>
  <c r="B5" i="4"/>
  <c r="A4" i="4"/>
  <c r="A3" i="4"/>
  <c r="A1" i="4"/>
  <c r="A62" i="3"/>
  <c r="A61" i="3"/>
  <c r="A60" i="3"/>
  <c r="A59" i="3"/>
  <c r="A58" i="3"/>
  <c r="A57" i="3"/>
  <c r="A56" i="3"/>
  <c r="A55" i="3"/>
  <c r="A54" i="3"/>
  <c r="A53" i="3"/>
  <c r="A52" i="3"/>
  <c r="A51" i="3"/>
  <c r="A50" i="3"/>
  <c r="A49" i="3"/>
  <c r="A48" i="3"/>
  <c r="A47" i="3"/>
  <c r="A46" i="3"/>
  <c r="A45" i="3"/>
  <c r="A44" i="3"/>
  <c r="I48" i="3"/>
  <c r="I54" i="3" s="1"/>
  <c r="I58" i="3" s="1"/>
  <c r="I60" i="3" s="1"/>
  <c r="I62" i="3" s="1"/>
  <c r="H48" i="3"/>
  <c r="H54" i="3" s="1"/>
  <c r="H58" i="3" s="1"/>
  <c r="H60" i="3" s="1"/>
  <c r="H62" i="3" s="1"/>
  <c r="A43" i="3"/>
  <c r="G48" i="3"/>
  <c r="G54" i="3" s="1"/>
  <c r="G58" i="3" s="1"/>
  <c r="G60" i="3" s="1"/>
  <c r="G62" i="3" s="1"/>
  <c r="F48" i="3"/>
  <c r="F54" i="3" s="1"/>
  <c r="F58" i="3" s="1"/>
  <c r="F60" i="3" s="1"/>
  <c r="F62" i="3" s="1"/>
  <c r="B48" i="3"/>
  <c r="B54" i="3" s="1"/>
  <c r="B58" i="3" s="1"/>
  <c r="B60" i="3" s="1"/>
  <c r="B62" i="3" s="1"/>
  <c r="A42" i="3"/>
  <c r="F40" i="3"/>
  <c r="B40" i="3"/>
  <c r="A38" i="3"/>
  <c r="A37" i="3"/>
  <c r="A28" i="3"/>
  <c r="A27" i="3"/>
  <c r="A26" i="3"/>
  <c r="A25" i="3"/>
  <c r="A24" i="3"/>
  <c r="A23" i="3"/>
  <c r="A22" i="3"/>
  <c r="A21" i="3"/>
  <c r="A20" i="3"/>
  <c r="A19" i="3"/>
  <c r="A18" i="3"/>
  <c r="A17" i="3"/>
  <c r="A16" i="3"/>
  <c r="A15" i="3"/>
  <c r="A14" i="3"/>
  <c r="A13" i="3"/>
  <c r="A12" i="3"/>
  <c r="A11" i="3"/>
  <c r="A10" i="3"/>
  <c r="I14" i="3"/>
  <c r="I20" i="3" s="1"/>
  <c r="I24" i="3" s="1"/>
  <c r="I26" i="3" s="1"/>
  <c r="I28" i="3" s="1"/>
  <c r="A9" i="3"/>
  <c r="H14" i="3"/>
  <c r="H20" i="3" s="1"/>
  <c r="H24" i="3" s="1"/>
  <c r="H26" i="3" s="1"/>
  <c r="H28" i="3" s="1"/>
  <c r="G14" i="3"/>
  <c r="G20" i="3" s="1"/>
  <c r="G24" i="3" s="1"/>
  <c r="G26" i="3" s="1"/>
  <c r="G28" i="3" s="1"/>
  <c r="D14" i="3"/>
  <c r="D20" i="3" s="1"/>
  <c r="D24" i="3" s="1"/>
  <c r="D26" i="3" s="1"/>
  <c r="D28" i="3" s="1"/>
  <c r="C14" i="3"/>
  <c r="C20" i="3" s="1"/>
  <c r="C24" i="3" s="1"/>
  <c r="C26" i="3" s="1"/>
  <c r="C28" i="3" s="1"/>
  <c r="B14" i="3"/>
  <c r="B20" i="3" s="1"/>
  <c r="B24" i="3" s="1"/>
  <c r="B26" i="3" s="1"/>
  <c r="B28" i="3" s="1"/>
  <c r="A8" i="3"/>
  <c r="F6" i="3"/>
  <c r="B6" i="3"/>
  <c r="A4" i="3"/>
  <c r="A3" i="3"/>
  <c r="A1" i="3"/>
  <c r="C162" i="6" l="1"/>
  <c r="H106" i="7"/>
  <c r="F50" i="8"/>
  <c r="C86" i="6"/>
  <c r="E106" i="6"/>
  <c r="I86" i="7"/>
  <c r="F162" i="7"/>
  <c r="I50" i="8"/>
  <c r="H106" i="8"/>
  <c r="I50" i="9"/>
  <c r="B106" i="9"/>
  <c r="F118" i="9"/>
  <c r="E162" i="9"/>
  <c r="I86" i="10"/>
  <c r="F142" i="12"/>
  <c r="F106" i="15"/>
  <c r="H22" i="24"/>
  <c r="D86" i="6"/>
  <c r="H162" i="7"/>
  <c r="C106" i="9"/>
  <c r="B162" i="10"/>
  <c r="C47" i="14"/>
  <c r="I106" i="15"/>
  <c r="C52" i="23"/>
  <c r="C31" i="24"/>
  <c r="I162" i="7"/>
  <c r="D106" i="9"/>
  <c r="B142" i="10"/>
  <c r="C162" i="10"/>
  <c r="E162" i="12"/>
  <c r="E52" i="23"/>
  <c r="B31" i="25"/>
  <c r="C51" i="24"/>
  <c r="E51" i="24"/>
  <c r="F17" i="19"/>
  <c r="B50" i="6"/>
  <c r="D162" i="6"/>
  <c r="D50" i="7"/>
  <c r="G142" i="7"/>
  <c r="E86" i="8"/>
  <c r="I50" i="10"/>
  <c r="B106" i="10"/>
  <c r="C37" i="18"/>
  <c r="G17" i="19"/>
  <c r="B18" i="23"/>
  <c r="B31" i="23"/>
  <c r="C63" i="23"/>
  <c r="C50" i="6"/>
  <c r="E162" i="6"/>
  <c r="H142" i="7"/>
  <c r="F86" i="8"/>
  <c r="C86" i="9"/>
  <c r="C106" i="10"/>
  <c r="D37" i="18"/>
  <c r="H17" i="19"/>
  <c r="C18" i="23"/>
  <c r="B43" i="23"/>
  <c r="D63" i="23"/>
  <c r="B50" i="10"/>
  <c r="C142" i="6"/>
  <c r="B106" i="7"/>
  <c r="F63" i="23"/>
  <c r="H50" i="6"/>
  <c r="D142" i="6"/>
  <c r="C106" i="7"/>
  <c r="F31" i="23"/>
  <c r="B86" i="7"/>
  <c r="B50" i="8"/>
  <c r="D142" i="9"/>
  <c r="B50" i="12"/>
  <c r="D50" i="8"/>
  <c r="B142" i="12"/>
  <c r="B106" i="13"/>
  <c r="C13" i="24"/>
  <c r="B106" i="6"/>
  <c r="E50" i="8"/>
  <c r="D50" i="9"/>
  <c r="B50" i="7"/>
  <c r="F50" i="15"/>
  <c r="D106" i="6"/>
  <c r="G50" i="8"/>
  <c r="B118" i="9"/>
  <c r="I50" i="15"/>
  <c r="D106" i="15"/>
  <c r="C22" i="24"/>
  <c r="H7" i="3"/>
  <c r="F7" i="6"/>
  <c r="F63" i="6" s="1"/>
  <c r="H7" i="8"/>
  <c r="H63" i="8" s="1"/>
  <c r="I119" i="7"/>
  <c r="I63" i="7"/>
  <c r="I7" i="11"/>
  <c r="I119" i="11" s="1"/>
  <c r="H7" i="13"/>
  <c r="H63" i="13" s="1"/>
  <c r="C7" i="6"/>
  <c r="C63" i="6" s="1"/>
  <c r="C7" i="15"/>
  <c r="C63" i="15" s="1"/>
  <c r="I7" i="10"/>
  <c r="I63" i="10" s="1"/>
  <c r="G7" i="15"/>
  <c r="G63" i="15" s="1"/>
  <c r="I41" i="3"/>
  <c r="H7" i="7"/>
  <c r="H7" i="12"/>
  <c r="H119" i="12" s="1"/>
  <c r="B7" i="6"/>
  <c r="B63" i="6" s="1"/>
  <c r="I7" i="15"/>
  <c r="I63" i="15" s="1"/>
  <c r="I7" i="3"/>
  <c r="H41" i="3"/>
  <c r="I7" i="6"/>
  <c r="B119" i="7"/>
  <c r="B63" i="7"/>
  <c r="F38" i="4"/>
  <c r="H38" i="4"/>
  <c r="I38" i="4"/>
  <c r="E39" i="4"/>
  <c r="G38" i="4"/>
  <c r="E7" i="14"/>
  <c r="E7" i="10"/>
  <c r="E7" i="11"/>
  <c r="E7" i="9"/>
  <c r="E7" i="12"/>
  <c r="E7" i="3"/>
  <c r="E7" i="13"/>
  <c r="E63" i="13" s="1"/>
  <c r="E156" i="7"/>
  <c r="I106" i="6"/>
  <c r="I142" i="6"/>
  <c r="I162" i="6"/>
  <c r="I50" i="6"/>
  <c r="B12" i="7"/>
  <c r="B18" i="7" s="1"/>
  <c r="B21" i="7" s="1"/>
  <c r="B23" i="7" s="1"/>
  <c r="B25" i="7" s="1"/>
  <c r="I93" i="7"/>
  <c r="G156" i="7"/>
  <c r="B68" i="8"/>
  <c r="B74" i="8" s="1"/>
  <c r="B77" i="8" s="1"/>
  <c r="B79" i="8" s="1"/>
  <c r="B81" i="8" s="1"/>
  <c r="F93" i="8"/>
  <c r="E156" i="9"/>
  <c r="E149" i="9"/>
  <c r="E12" i="10"/>
  <c r="E18" i="10" s="1"/>
  <c r="E21" i="10" s="1"/>
  <c r="E23" i="10" s="1"/>
  <c r="E25" i="10" s="1"/>
  <c r="H65" i="24"/>
  <c r="C124" i="10"/>
  <c r="C130" i="10" s="1"/>
  <c r="C133" i="10" s="1"/>
  <c r="C135" i="10" s="1"/>
  <c r="C137" i="10" s="1"/>
  <c r="H18" i="11"/>
  <c r="H21" i="11" s="1"/>
  <c r="H23" i="11" s="1"/>
  <c r="H25" i="11" s="1"/>
  <c r="F23" i="12"/>
  <c r="F25" i="12" s="1"/>
  <c r="H63" i="23"/>
  <c r="H43" i="23"/>
  <c r="H18" i="23"/>
  <c r="H31" i="23"/>
  <c r="H52" i="23"/>
  <c r="H156" i="6"/>
  <c r="D44" i="7"/>
  <c r="H156" i="7"/>
  <c r="H149" i="7"/>
  <c r="D12" i="8"/>
  <c r="D18" i="8" s="1"/>
  <c r="D21" i="8" s="1"/>
  <c r="D23" i="8" s="1"/>
  <c r="D25" i="8" s="1"/>
  <c r="C74" i="8"/>
  <c r="C77" i="8" s="1"/>
  <c r="C79" i="8" s="1"/>
  <c r="C81" i="8" s="1"/>
  <c r="B7" i="9"/>
  <c r="G106" i="10"/>
  <c r="G142" i="10"/>
  <c r="G162" i="10"/>
  <c r="G86" i="10"/>
  <c r="G50" i="10"/>
  <c r="D100" i="10"/>
  <c r="D106" i="11"/>
  <c r="D142" i="11"/>
  <c r="D162" i="11"/>
  <c r="D50" i="11"/>
  <c r="D86" i="11"/>
  <c r="B44" i="15"/>
  <c r="B37" i="15"/>
  <c r="I100" i="15"/>
  <c r="I18" i="23"/>
  <c r="I52" i="23"/>
  <c r="I63" i="23"/>
  <c r="I43" i="23"/>
  <c r="I31" i="23"/>
  <c r="G156" i="9"/>
  <c r="G149" i="9"/>
  <c r="B149" i="10"/>
  <c r="H86" i="11"/>
  <c r="H106" i="11"/>
  <c r="H142" i="11"/>
  <c r="H50" i="11"/>
  <c r="I149" i="12"/>
  <c r="I156" i="12"/>
  <c r="E7" i="15"/>
  <c r="E63" i="15" s="1"/>
  <c r="C93" i="15"/>
  <c r="F14" i="3"/>
  <c r="F20" i="3" s="1"/>
  <c r="F24" i="3" s="1"/>
  <c r="F26" i="3" s="1"/>
  <c r="F28" i="3" s="1"/>
  <c r="D48" i="3"/>
  <c r="D54" i="3" s="1"/>
  <c r="D58" i="3" s="1"/>
  <c r="D60" i="3" s="1"/>
  <c r="D62" i="3" s="1"/>
  <c r="B20" i="4"/>
  <c r="B37" i="4" s="1"/>
  <c r="D7" i="15"/>
  <c r="D63" i="15" s="1"/>
  <c r="D7" i="14"/>
  <c r="D7" i="11"/>
  <c r="D7" i="12"/>
  <c r="D7" i="13"/>
  <c r="D63" i="13" s="1"/>
  <c r="D41" i="3"/>
  <c r="D7" i="3"/>
  <c r="D7" i="9"/>
  <c r="D7" i="8"/>
  <c r="D63" i="8" s="1"/>
  <c r="F39" i="5"/>
  <c r="F46" i="5"/>
  <c r="E7" i="6"/>
  <c r="B93" i="6"/>
  <c r="F149" i="6"/>
  <c r="B62" i="7"/>
  <c r="B118" i="7"/>
  <c r="D44" i="8"/>
  <c r="C130" i="9"/>
  <c r="C133" i="9" s="1"/>
  <c r="C135" i="9" s="1"/>
  <c r="C137" i="9" s="1"/>
  <c r="B118" i="11"/>
  <c r="B62" i="11"/>
  <c r="F133" i="11"/>
  <c r="F135" i="11" s="1"/>
  <c r="F137" i="11" s="1"/>
  <c r="C135" i="12"/>
  <c r="C137" i="12" s="1"/>
  <c r="F12" i="14"/>
  <c r="F18" i="14" s="1"/>
  <c r="F21" i="14" s="1"/>
  <c r="F23" i="14" s="1"/>
  <c r="F25" i="14" s="1"/>
  <c r="D20" i="4"/>
  <c r="D37" i="4" s="1"/>
  <c r="I30" i="4"/>
  <c r="F7" i="13"/>
  <c r="F63" i="13" s="1"/>
  <c r="F7" i="10"/>
  <c r="F7" i="14"/>
  <c r="F7" i="12"/>
  <c r="F7" i="11"/>
  <c r="F7" i="9"/>
  <c r="F7" i="8"/>
  <c r="F63" i="8" s="1"/>
  <c r="F7" i="7"/>
  <c r="H39" i="5"/>
  <c r="H46" i="5"/>
  <c r="B46" i="5"/>
  <c r="D93" i="6"/>
  <c r="F118" i="6"/>
  <c r="F124" i="7"/>
  <c r="F130" i="7" s="1"/>
  <c r="F133" i="7" s="1"/>
  <c r="F135" i="7" s="1"/>
  <c r="F137" i="7" s="1"/>
  <c r="D106" i="8"/>
  <c r="G21" i="9"/>
  <c r="G23" i="9" s="1"/>
  <c r="G25" i="9" s="1"/>
  <c r="H44" i="9"/>
  <c r="C68" i="9"/>
  <c r="C74" i="9" s="1"/>
  <c r="C77" i="9" s="1"/>
  <c r="C79" i="9" s="1"/>
  <c r="C81" i="9" s="1"/>
  <c r="F44" i="10"/>
  <c r="F37" i="10"/>
  <c r="E149" i="10"/>
  <c r="H124" i="11"/>
  <c r="H130" i="11" s="1"/>
  <c r="H133" i="11" s="1"/>
  <c r="H135" i="11" s="1"/>
  <c r="H137" i="11" s="1"/>
  <c r="E25" i="12"/>
  <c r="E44" i="12"/>
  <c r="E37" i="12"/>
  <c r="G44" i="13"/>
  <c r="G37" i="13"/>
  <c r="I37" i="15"/>
  <c r="I44" i="15"/>
  <c r="C149" i="6"/>
  <c r="F106" i="13"/>
  <c r="F50" i="13"/>
  <c r="F86" i="13"/>
  <c r="C7" i="11"/>
  <c r="C7" i="9"/>
  <c r="C41" i="3"/>
  <c r="C7" i="13"/>
  <c r="C63" i="13" s="1"/>
  <c r="C7" i="3"/>
  <c r="C7" i="8"/>
  <c r="C63" i="8" s="1"/>
  <c r="C7" i="12"/>
  <c r="C7" i="10"/>
  <c r="F39" i="4"/>
  <c r="C46" i="5"/>
  <c r="C7" i="7"/>
  <c r="E124" i="10"/>
  <c r="E130" i="10" s="1"/>
  <c r="E133" i="10" s="1"/>
  <c r="E135" i="10" s="1"/>
  <c r="E137" i="10" s="1"/>
  <c r="E77" i="11"/>
  <c r="E79" i="11" s="1"/>
  <c r="E81" i="11" s="1"/>
  <c r="I65" i="24"/>
  <c r="D18" i="25"/>
  <c r="D31" i="25"/>
  <c r="B7" i="14"/>
  <c r="B7" i="13"/>
  <c r="B63" i="13" s="1"/>
  <c r="B7" i="11"/>
  <c r="B41" i="3"/>
  <c r="B7" i="3"/>
  <c r="B7" i="15"/>
  <c r="B63" i="15" s="1"/>
  <c r="B7" i="12"/>
  <c r="B7" i="10"/>
  <c r="E14" i="3"/>
  <c r="E20" i="3" s="1"/>
  <c r="E24" i="3" s="1"/>
  <c r="E26" i="3" s="1"/>
  <c r="E28" i="3" s="1"/>
  <c r="G7" i="12"/>
  <c r="G7" i="10"/>
  <c r="G7" i="11"/>
  <c r="G7" i="9"/>
  <c r="G7" i="8"/>
  <c r="G63" i="8" s="1"/>
  <c r="G7" i="14"/>
  <c r="G7" i="6"/>
  <c r="G7" i="13"/>
  <c r="G63" i="13" s="1"/>
  <c r="C142" i="7"/>
  <c r="C162" i="7"/>
  <c r="C50" i="7"/>
  <c r="B93" i="7"/>
  <c r="B100" i="7"/>
  <c r="I93" i="9"/>
  <c r="I124" i="11"/>
  <c r="I130" i="11" s="1"/>
  <c r="I133" i="11" s="1"/>
  <c r="I135" i="11" s="1"/>
  <c r="I137" i="11" s="1"/>
  <c r="D17" i="19"/>
  <c r="D32" i="19"/>
  <c r="G39" i="4"/>
  <c r="D46" i="5"/>
  <c r="B142" i="6"/>
  <c r="D7" i="7"/>
  <c r="D142" i="7"/>
  <c r="D162" i="7"/>
  <c r="D86" i="7"/>
  <c r="F68" i="7"/>
  <c r="F74" i="7" s="1"/>
  <c r="F77" i="7" s="1"/>
  <c r="F79" i="7" s="1"/>
  <c r="F81" i="7" s="1"/>
  <c r="E37" i="8"/>
  <c r="I93" i="8"/>
  <c r="F100" i="8"/>
  <c r="I12" i="9"/>
  <c r="I18" i="9" s="1"/>
  <c r="I21" i="9" s="1"/>
  <c r="I23" i="9" s="1"/>
  <c r="I25" i="9" s="1"/>
  <c r="B37" i="9"/>
  <c r="C37" i="9"/>
  <c r="H100" i="9"/>
  <c r="D7" i="10"/>
  <c r="D44" i="11"/>
  <c r="D37" i="11"/>
  <c r="G44" i="12"/>
  <c r="H149" i="12"/>
  <c r="D100" i="13"/>
  <c r="D93" i="13"/>
  <c r="D68" i="15"/>
  <c r="D74" i="15" s="1"/>
  <c r="D77" i="15" s="1"/>
  <c r="D79" i="15" s="1"/>
  <c r="D81" i="15" s="1"/>
  <c r="E32" i="19"/>
  <c r="E17" i="19"/>
  <c r="C43" i="19"/>
  <c r="F11" i="24"/>
  <c r="E124" i="7"/>
  <c r="E130" i="7" s="1"/>
  <c r="E133" i="7" s="1"/>
  <c r="E135" i="7" s="1"/>
  <c r="E137" i="7" s="1"/>
  <c r="I25" i="8"/>
  <c r="I68" i="8"/>
  <c r="I74" i="8" s="1"/>
  <c r="I77" i="8" s="1"/>
  <c r="I79" i="8" s="1"/>
  <c r="I81" i="8" s="1"/>
  <c r="B7" i="8"/>
  <c r="B63" i="8" s="1"/>
  <c r="B100" i="9"/>
  <c r="B93" i="9"/>
  <c r="F93" i="10"/>
  <c r="D93" i="10"/>
  <c r="I79" i="11"/>
  <c r="I81" i="11" s="1"/>
  <c r="G149" i="11"/>
  <c r="G156" i="11"/>
  <c r="E93" i="13"/>
  <c r="E100" i="13"/>
  <c r="I37" i="18"/>
  <c r="I20" i="18"/>
  <c r="H156" i="9"/>
  <c r="H149" i="9"/>
  <c r="E77" i="9"/>
  <c r="E79" i="9" s="1"/>
  <c r="E81" i="9" s="1"/>
  <c r="G39" i="5"/>
  <c r="G46" i="5"/>
  <c r="E20" i="4"/>
  <c r="E37" i="4" s="1"/>
  <c r="I46" i="5"/>
  <c r="D93" i="7"/>
  <c r="G7" i="7"/>
  <c r="E7" i="8"/>
  <c r="E63" i="8" s="1"/>
  <c r="G44" i="8"/>
  <c r="B100" i="8"/>
  <c r="B93" i="8"/>
  <c r="C100" i="9"/>
  <c r="C93" i="9"/>
  <c r="F23" i="10"/>
  <c r="F25" i="10" s="1"/>
  <c r="F44" i="11"/>
  <c r="F37" i="11"/>
  <c r="D66" i="24"/>
  <c r="H156" i="11"/>
  <c r="H149" i="11"/>
  <c r="B22" i="24"/>
  <c r="B31" i="24"/>
  <c r="B13" i="24"/>
  <c r="B51" i="24"/>
  <c r="B41" i="24"/>
  <c r="I10" i="24"/>
  <c r="I9" i="24"/>
  <c r="I11" i="24" s="1"/>
  <c r="I149" i="7"/>
  <c r="I156" i="7"/>
  <c r="D50" i="13"/>
  <c r="D106" i="13"/>
  <c r="H93" i="7"/>
  <c r="E48" i="3"/>
  <c r="E54" i="3" s="1"/>
  <c r="E58" i="3" s="1"/>
  <c r="E60" i="3" s="1"/>
  <c r="E62" i="3" s="1"/>
  <c r="C20" i="4"/>
  <c r="C37" i="4" s="1"/>
  <c r="F21" i="15"/>
  <c r="F23" i="15" s="1"/>
  <c r="F25" i="15" s="1"/>
  <c r="H39" i="4"/>
  <c r="E35" i="4"/>
  <c r="G44" i="6"/>
  <c r="F7" i="3"/>
  <c r="F35" i="4"/>
  <c r="B48" i="14"/>
  <c r="H44" i="6"/>
  <c r="D63" i="6"/>
  <c r="I100" i="6"/>
  <c r="G50" i="7"/>
  <c r="G86" i="7"/>
  <c r="G162" i="7"/>
  <c r="B68" i="7"/>
  <c r="B74" i="7" s="1"/>
  <c r="B77" i="7" s="1"/>
  <c r="B79" i="7" s="1"/>
  <c r="B81" i="7" s="1"/>
  <c r="F93" i="7"/>
  <c r="E149" i="7"/>
  <c r="C93" i="8"/>
  <c r="C100" i="8"/>
  <c r="H79" i="9"/>
  <c r="H81" i="9" s="1"/>
  <c r="G64" i="24"/>
  <c r="B12" i="10"/>
  <c r="B18" i="10" s="1"/>
  <c r="B21" i="10" s="1"/>
  <c r="B23" i="10" s="1"/>
  <c r="B25" i="10" s="1"/>
  <c r="E12" i="11"/>
  <c r="E18" i="11" s="1"/>
  <c r="E21" i="11" s="1"/>
  <c r="E23" i="11" s="1"/>
  <c r="E25" i="11" s="1"/>
  <c r="G44" i="11"/>
  <c r="G37" i="11"/>
  <c r="H18" i="12"/>
  <c r="H21" i="12" s="1"/>
  <c r="H23" i="12" s="1"/>
  <c r="H25" i="12" s="1"/>
  <c r="D23" i="13"/>
  <c r="D25" i="13" s="1"/>
  <c r="G100" i="13"/>
  <c r="G93" i="13"/>
  <c r="H37" i="15"/>
  <c r="E81" i="15"/>
  <c r="E100" i="15"/>
  <c r="E93" i="15"/>
  <c r="C100" i="15"/>
  <c r="E64" i="24"/>
  <c r="E66" i="24"/>
  <c r="E46" i="24"/>
  <c r="E48" i="24" s="1"/>
  <c r="C48" i="3"/>
  <c r="C54" i="3" s="1"/>
  <c r="C58" i="3" s="1"/>
  <c r="C60" i="3" s="1"/>
  <c r="C62" i="3" s="1"/>
  <c r="E46" i="5"/>
  <c r="I93" i="6"/>
  <c r="E93" i="7"/>
  <c r="I21" i="12"/>
  <c r="I23" i="12" s="1"/>
  <c r="I25" i="12" s="1"/>
  <c r="G7" i="3"/>
  <c r="E41" i="3"/>
  <c r="G35" i="4"/>
  <c r="G50" i="6"/>
  <c r="G86" i="6"/>
  <c r="G106" i="6"/>
  <c r="G142" i="6"/>
  <c r="I44" i="6"/>
  <c r="B86" i="6"/>
  <c r="E156" i="6"/>
  <c r="C68" i="7"/>
  <c r="C74" i="7" s="1"/>
  <c r="C77" i="7" s="1"/>
  <c r="C79" i="7" s="1"/>
  <c r="C81" i="7" s="1"/>
  <c r="G93" i="7"/>
  <c r="G68" i="8"/>
  <c r="G74" i="8" s="1"/>
  <c r="G77" i="8" s="1"/>
  <c r="G79" i="8" s="1"/>
  <c r="G81" i="8" s="1"/>
  <c r="E93" i="9"/>
  <c r="H162" i="11"/>
  <c r="D50" i="12"/>
  <c r="D162" i="12"/>
  <c r="D106" i="12"/>
  <c r="D86" i="12"/>
  <c r="B44" i="12"/>
  <c r="C100" i="12"/>
  <c r="H100" i="13"/>
  <c r="H93" i="13"/>
  <c r="I47" i="14"/>
  <c r="G47" i="14"/>
  <c r="E47" i="14"/>
  <c r="F93" i="15"/>
  <c r="F100" i="15"/>
  <c r="B149" i="6"/>
  <c r="C37" i="7"/>
  <c r="D149" i="6"/>
  <c r="E77" i="8"/>
  <c r="E79" i="8" s="1"/>
  <c r="E81" i="8" s="1"/>
  <c r="E37" i="7"/>
  <c r="B37" i="6"/>
  <c r="C100" i="6"/>
  <c r="D35" i="4"/>
  <c r="E7" i="7"/>
  <c r="I39" i="4"/>
  <c r="F41" i="3"/>
  <c r="D48" i="14"/>
  <c r="F44" i="7"/>
  <c r="B44" i="7"/>
  <c r="D68" i="7"/>
  <c r="D74" i="7" s="1"/>
  <c r="D77" i="7" s="1"/>
  <c r="D79" i="7" s="1"/>
  <c r="D81" i="7" s="1"/>
  <c r="F156" i="7"/>
  <c r="C50" i="8"/>
  <c r="C86" i="8"/>
  <c r="C106" i="8"/>
  <c r="F37" i="8"/>
  <c r="F93" i="9"/>
  <c r="D156" i="9"/>
  <c r="D25" i="10"/>
  <c r="C81" i="10"/>
  <c r="C25" i="11"/>
  <c r="B50" i="11"/>
  <c r="B86" i="11"/>
  <c r="B142" i="11"/>
  <c r="B162" i="11"/>
  <c r="B106" i="11"/>
  <c r="I37" i="11"/>
  <c r="I44" i="11"/>
  <c r="C93" i="13"/>
  <c r="G93" i="15"/>
  <c r="G100" i="15"/>
  <c r="H14" i="23"/>
  <c r="H106" i="9"/>
  <c r="H162" i="9"/>
  <c r="H50" i="9"/>
  <c r="I44" i="9"/>
  <c r="D130" i="9"/>
  <c r="D133" i="9" s="1"/>
  <c r="D135" i="9" s="1"/>
  <c r="D137" i="9" s="1"/>
  <c r="B93" i="10"/>
  <c r="G65" i="24"/>
  <c r="B25" i="12"/>
  <c r="F156" i="12"/>
  <c r="F149" i="12"/>
  <c r="G20" i="18"/>
  <c r="G37" i="18"/>
  <c r="G28" i="19"/>
  <c r="F142" i="7"/>
  <c r="G37" i="8"/>
  <c r="B68" i="9"/>
  <c r="B74" i="9" s="1"/>
  <c r="B77" i="9" s="1"/>
  <c r="B79" i="9" s="1"/>
  <c r="B81" i="9" s="1"/>
  <c r="C93" i="10"/>
  <c r="B37" i="12"/>
  <c r="G156" i="12"/>
  <c r="G149" i="12"/>
  <c r="H44" i="15"/>
  <c r="C29" i="24"/>
  <c r="D100" i="8"/>
  <c r="D93" i="9"/>
  <c r="F156" i="9"/>
  <c r="F149" i="9"/>
  <c r="C12" i="10"/>
  <c r="C18" i="10" s="1"/>
  <c r="C21" i="10" s="1"/>
  <c r="C23" i="10" s="1"/>
  <c r="C25" i="10" s="1"/>
  <c r="H100" i="10"/>
  <c r="F12" i="11"/>
  <c r="F18" i="11" s="1"/>
  <c r="F21" i="11" s="1"/>
  <c r="F23" i="11" s="1"/>
  <c r="F25" i="11" s="1"/>
  <c r="G124" i="11"/>
  <c r="G130" i="11" s="1"/>
  <c r="G133" i="11" s="1"/>
  <c r="G135" i="11" s="1"/>
  <c r="G137" i="11" s="1"/>
  <c r="C156" i="12"/>
  <c r="F93" i="13"/>
  <c r="F100" i="13"/>
  <c r="C37" i="15"/>
  <c r="H100" i="15"/>
  <c r="G63" i="23"/>
  <c r="G43" i="23"/>
  <c r="G18" i="23"/>
  <c r="G31" i="23"/>
  <c r="G52" i="23"/>
  <c r="C64" i="24"/>
  <c r="C48" i="24"/>
  <c r="C66" i="24"/>
  <c r="I156" i="9"/>
  <c r="I149" i="9"/>
  <c r="E50" i="10"/>
  <c r="E86" i="10"/>
  <c r="E106" i="10"/>
  <c r="E142" i="10"/>
  <c r="H44" i="10"/>
  <c r="H37" i="10"/>
  <c r="F162" i="11"/>
  <c r="F86" i="11"/>
  <c r="F106" i="11"/>
  <c r="H77" i="11"/>
  <c r="H79" i="11" s="1"/>
  <c r="H81" i="11" s="1"/>
  <c r="I156" i="11"/>
  <c r="I149" i="11"/>
  <c r="F100" i="12"/>
  <c r="F77" i="13"/>
  <c r="F79" i="13" s="1"/>
  <c r="F81" i="13" s="1"/>
  <c r="I93" i="13"/>
  <c r="I100" i="13"/>
  <c r="H41" i="14"/>
  <c r="H47" i="14" s="1"/>
  <c r="C32" i="19"/>
  <c r="D11" i="24"/>
  <c r="E18" i="25"/>
  <c r="E31" i="25"/>
  <c r="H100" i="8"/>
  <c r="H93" i="8"/>
  <c r="B142" i="9"/>
  <c r="B162" i="9"/>
  <c r="B86" i="9"/>
  <c r="I64" i="24"/>
  <c r="F86" i="10"/>
  <c r="F106" i="10"/>
  <c r="F142" i="10"/>
  <c r="F162" i="10"/>
  <c r="F50" i="10"/>
  <c r="C149" i="10"/>
  <c r="D156" i="10"/>
  <c r="I18" i="11"/>
  <c r="I21" i="11" s="1"/>
  <c r="I23" i="11" s="1"/>
  <c r="I25" i="11" s="1"/>
  <c r="G162" i="11"/>
  <c r="G86" i="11"/>
  <c r="G106" i="11"/>
  <c r="H100" i="11"/>
  <c r="B66" i="24"/>
  <c r="D93" i="15"/>
  <c r="F14" i="23"/>
  <c r="G48" i="23"/>
  <c r="E11" i="24"/>
  <c r="F31" i="25"/>
  <c r="F18" i="25"/>
  <c r="D13" i="19"/>
  <c r="H7" i="10"/>
  <c r="H7" i="14"/>
  <c r="E86" i="6"/>
  <c r="F106" i="6"/>
  <c r="H162" i="6"/>
  <c r="B162" i="7"/>
  <c r="H93" i="9"/>
  <c r="D149" i="9"/>
  <c r="I12" i="10"/>
  <c r="I18" i="10" s="1"/>
  <c r="I21" i="10" s="1"/>
  <c r="I23" i="10" s="1"/>
  <c r="I25" i="10" s="1"/>
  <c r="H142" i="10"/>
  <c r="H162" i="10"/>
  <c r="H86" i="10"/>
  <c r="B44" i="10"/>
  <c r="G68" i="10"/>
  <c r="G74" i="10" s="1"/>
  <c r="G77" i="10" s="1"/>
  <c r="G79" i="10" s="1"/>
  <c r="G81" i="10" s="1"/>
  <c r="F118" i="11"/>
  <c r="F62" i="11"/>
  <c r="I162" i="11"/>
  <c r="I142" i="11"/>
  <c r="I106" i="11"/>
  <c r="C156" i="11"/>
  <c r="D93" i="12"/>
  <c r="B93" i="12"/>
  <c r="E12" i="15"/>
  <c r="E18" i="15" s="1"/>
  <c r="E21" i="15" s="1"/>
  <c r="E23" i="15" s="1"/>
  <c r="E25" i="15" s="1"/>
  <c r="H20" i="18"/>
  <c r="I13" i="24"/>
  <c r="I51" i="24"/>
  <c r="I22" i="24"/>
  <c r="I41" i="24"/>
  <c r="I7" i="12"/>
  <c r="I7" i="13"/>
  <c r="I63" i="13" s="1"/>
  <c r="I7" i="9"/>
  <c r="I7" i="8"/>
  <c r="I63" i="8" s="1"/>
  <c r="H7" i="6"/>
  <c r="H142" i="6"/>
  <c r="F118" i="7"/>
  <c r="H86" i="8"/>
  <c r="H93" i="10"/>
  <c r="B100" i="10"/>
  <c r="I50" i="11"/>
  <c r="F142" i="11"/>
  <c r="D44" i="12"/>
  <c r="I7" i="14"/>
  <c r="E106" i="15"/>
  <c r="E50" i="15"/>
  <c r="E86" i="15"/>
  <c r="D37" i="15"/>
  <c r="D18" i="24"/>
  <c r="D19" i="24"/>
  <c r="H106" i="6"/>
  <c r="H7" i="9"/>
  <c r="F50" i="9"/>
  <c r="F106" i="9"/>
  <c r="F162" i="9"/>
  <c r="G44" i="9"/>
  <c r="F86" i="9"/>
  <c r="B124" i="9"/>
  <c r="B130" i="9" s="1"/>
  <c r="B133" i="9" s="1"/>
  <c r="B135" i="9" s="1"/>
  <c r="B137" i="9" s="1"/>
  <c r="H142" i="9"/>
  <c r="I68" i="10"/>
  <c r="I74" i="10" s="1"/>
  <c r="I77" i="10" s="1"/>
  <c r="I79" i="10" s="1"/>
  <c r="I81" i="10" s="1"/>
  <c r="E74" i="10"/>
  <c r="E77" i="10" s="1"/>
  <c r="E79" i="10" s="1"/>
  <c r="E81" i="10" s="1"/>
  <c r="C100" i="10"/>
  <c r="E100" i="11"/>
  <c r="G142" i="11"/>
  <c r="B37" i="13"/>
  <c r="C68" i="13"/>
  <c r="C74" i="13" s="1"/>
  <c r="C77" i="13" s="1"/>
  <c r="C79" i="13" s="1"/>
  <c r="C81" i="13" s="1"/>
  <c r="F41" i="14"/>
  <c r="F47" i="14" s="1"/>
  <c r="G13" i="19"/>
  <c r="E13" i="19"/>
  <c r="H17" i="22"/>
  <c r="H26" i="22" s="1"/>
  <c r="D93" i="8"/>
  <c r="H86" i="9"/>
  <c r="I142" i="9"/>
  <c r="H106" i="10"/>
  <c r="F65" i="24"/>
  <c r="I124" i="10"/>
  <c r="I130" i="10" s="1"/>
  <c r="I133" i="10" s="1"/>
  <c r="I135" i="10" s="1"/>
  <c r="I137" i="10" s="1"/>
  <c r="H7" i="11"/>
  <c r="F44" i="12"/>
  <c r="B149" i="12"/>
  <c r="E156" i="12"/>
  <c r="E149" i="12"/>
  <c r="H12" i="15"/>
  <c r="H18" i="15" s="1"/>
  <c r="H21" i="15" s="1"/>
  <c r="H23" i="15" s="1"/>
  <c r="H25" i="15" s="1"/>
  <c r="F44" i="15"/>
  <c r="F37" i="15"/>
  <c r="G26" i="22"/>
  <c r="C142" i="9"/>
  <c r="C162" i="9"/>
  <c r="C156" i="9"/>
  <c r="B156" i="11"/>
  <c r="G100" i="12"/>
  <c r="B156" i="12"/>
  <c r="G106" i="13"/>
  <c r="G50" i="13"/>
  <c r="D44" i="13"/>
  <c r="D37" i="13"/>
  <c r="B41" i="14"/>
  <c r="B47" i="14" s="1"/>
  <c r="G27" i="24"/>
  <c r="G28" i="24"/>
  <c r="C67" i="24"/>
  <c r="B44" i="11"/>
  <c r="B93" i="11"/>
  <c r="I44" i="12"/>
  <c r="I37" i="12"/>
  <c r="F67" i="24"/>
  <c r="F124" i="12"/>
  <c r="F130" i="12" s="1"/>
  <c r="F133" i="12" s="1"/>
  <c r="F135" i="12" s="1"/>
  <c r="F137" i="12" s="1"/>
  <c r="E44" i="13"/>
  <c r="C44" i="13"/>
  <c r="F13" i="19"/>
  <c r="B26" i="22"/>
  <c r="I17" i="22"/>
  <c r="I26" i="22" s="1"/>
  <c r="E10" i="24"/>
  <c r="H27" i="24"/>
  <c r="H28" i="24"/>
  <c r="F44" i="8"/>
  <c r="E44" i="10"/>
  <c r="C44" i="11"/>
  <c r="D156" i="11"/>
  <c r="G50" i="12"/>
  <c r="G86" i="12"/>
  <c r="G142" i="12"/>
  <c r="G106" i="12"/>
  <c r="I100" i="12"/>
  <c r="G162" i="12"/>
  <c r="I106" i="13"/>
  <c r="I50" i="13"/>
  <c r="C37" i="13"/>
  <c r="F44" i="13"/>
  <c r="D41" i="14"/>
  <c r="G12" i="15"/>
  <c r="G18" i="15" s="1"/>
  <c r="G21" i="15" s="1"/>
  <c r="G23" i="15" s="1"/>
  <c r="G25" i="15" s="1"/>
  <c r="F43" i="19"/>
  <c r="C26" i="22"/>
  <c r="D27" i="23"/>
  <c r="G86" i="9"/>
  <c r="G162" i="9"/>
  <c r="G44" i="10"/>
  <c r="B65" i="24"/>
  <c r="E44" i="11"/>
  <c r="F156" i="11"/>
  <c r="I106" i="12"/>
  <c r="I142" i="12"/>
  <c r="C44" i="12"/>
  <c r="I86" i="12"/>
  <c r="H156" i="12"/>
  <c r="D27" i="25"/>
  <c r="G27" i="23"/>
  <c r="F52" i="23"/>
  <c r="F13" i="24"/>
  <c r="F41" i="24"/>
  <c r="F31" i="24"/>
  <c r="F22" i="24"/>
  <c r="I29" i="24"/>
  <c r="H67" i="24"/>
  <c r="H14" i="25"/>
  <c r="H27" i="23"/>
  <c r="C48" i="23"/>
  <c r="G13" i="24"/>
  <c r="G22" i="24"/>
  <c r="G51" i="24"/>
  <c r="G31" i="24"/>
  <c r="I67" i="24"/>
  <c r="I27" i="23"/>
  <c r="F43" i="23"/>
  <c r="H13" i="24"/>
  <c r="H51" i="24"/>
  <c r="F10" i="24"/>
  <c r="H31" i="24"/>
  <c r="B64" i="24"/>
  <c r="C18" i="25"/>
  <c r="C31" i="25"/>
  <c r="B68" i="24"/>
  <c r="G18" i="25"/>
  <c r="G31" i="25"/>
  <c r="D26" i="22"/>
  <c r="G10" i="24"/>
  <c r="G9" i="24"/>
  <c r="G11" i="24" s="1"/>
  <c r="B19" i="24"/>
  <c r="C40" i="25"/>
  <c r="C19" i="24"/>
  <c r="D29" i="24"/>
  <c r="I28" i="24"/>
  <c r="C65" i="24"/>
  <c r="G46" i="24"/>
  <c r="G48" i="24" s="1"/>
  <c r="G68" i="24"/>
  <c r="D64" i="24"/>
  <c r="I100" i="10"/>
  <c r="C86" i="11"/>
  <c r="C106" i="11"/>
  <c r="C162" i="11"/>
  <c r="C50" i="11"/>
  <c r="H37" i="11"/>
  <c r="D100" i="11"/>
  <c r="G66" i="24"/>
  <c r="D156" i="12"/>
  <c r="C86" i="13"/>
  <c r="C50" i="13"/>
  <c r="C106" i="13"/>
  <c r="G106" i="15"/>
  <c r="G50" i="15"/>
  <c r="G86" i="15"/>
  <c r="E37" i="15"/>
  <c r="B68" i="15"/>
  <c r="B74" i="15" s="1"/>
  <c r="B77" i="15" s="1"/>
  <c r="B79" i="15" s="1"/>
  <c r="B81" i="15" s="1"/>
  <c r="H13" i="19"/>
  <c r="I28" i="19"/>
  <c r="H9" i="24"/>
  <c r="H11" i="24" s="1"/>
  <c r="F29" i="24"/>
  <c r="E65" i="24"/>
  <c r="E67" i="24"/>
  <c r="I46" i="24"/>
  <c r="I48" i="24" s="1"/>
  <c r="I68" i="24"/>
  <c r="F40" i="25"/>
  <c r="D43" i="19"/>
  <c r="E27" i="23"/>
  <c r="B18" i="24"/>
  <c r="B48" i="24"/>
  <c r="H124" i="9"/>
  <c r="H130" i="9" s="1"/>
  <c r="H133" i="9" s="1"/>
  <c r="H135" i="9" s="1"/>
  <c r="H137" i="9" s="1"/>
  <c r="H12" i="10"/>
  <c r="H18" i="10" s="1"/>
  <c r="H21" i="10" s="1"/>
  <c r="H23" i="10" s="1"/>
  <c r="H25" i="10" s="1"/>
  <c r="E142" i="11"/>
  <c r="E162" i="11"/>
  <c r="E50" i="11"/>
  <c r="E86" i="11"/>
  <c r="H86" i="12"/>
  <c r="H106" i="12"/>
  <c r="H162" i="12"/>
  <c r="H50" i="12"/>
  <c r="B124" i="12"/>
  <c r="B130" i="12" s="1"/>
  <c r="B133" i="12" s="1"/>
  <c r="B135" i="12" s="1"/>
  <c r="B137" i="12" s="1"/>
  <c r="G37" i="15"/>
  <c r="G44" i="15"/>
  <c r="F27" i="23"/>
  <c r="C18" i="24"/>
  <c r="G41" i="24"/>
  <c r="G67" i="24"/>
  <c r="H40" i="25"/>
  <c r="H68" i="24"/>
  <c r="H46" i="24"/>
  <c r="H48" i="24" s="1"/>
  <c r="B27" i="25"/>
  <c r="F64" i="24"/>
  <c r="F66" i="24"/>
  <c r="I40" i="25"/>
  <c r="C86" i="10"/>
  <c r="D106" i="10"/>
  <c r="F100" i="11"/>
  <c r="I37" i="13"/>
  <c r="D50" i="15"/>
  <c r="G43" i="19"/>
  <c r="H19" i="24"/>
  <c r="E29" i="24"/>
  <c r="C68" i="24"/>
  <c r="I31" i="25"/>
  <c r="I18" i="25"/>
  <c r="D86" i="10"/>
  <c r="G100" i="11"/>
  <c r="B12" i="15"/>
  <c r="B18" i="15" s="1"/>
  <c r="B21" i="15" s="1"/>
  <c r="B23" i="15" s="1"/>
  <c r="B25" i="15" s="1"/>
  <c r="B100" i="15"/>
  <c r="H43" i="19"/>
  <c r="B48" i="23"/>
  <c r="I18" i="24"/>
  <c r="H64" i="24"/>
  <c r="H66" i="24"/>
  <c r="D46" i="24"/>
  <c r="D48" i="24" s="1"/>
  <c r="C149" i="12"/>
  <c r="B12" i="13"/>
  <c r="B18" i="13" s="1"/>
  <c r="B21" i="13" s="1"/>
  <c r="B23" i="13" s="1"/>
  <c r="B25" i="13" s="1"/>
  <c r="B68" i="13"/>
  <c r="B74" i="13" s="1"/>
  <c r="B77" i="13" s="1"/>
  <c r="B79" i="13" s="1"/>
  <c r="B81" i="13" s="1"/>
  <c r="I43" i="19"/>
  <c r="F26" i="22"/>
  <c r="B28" i="24"/>
  <c r="G29" i="24"/>
  <c r="E68" i="24"/>
  <c r="D149" i="12"/>
  <c r="G68" i="15"/>
  <c r="G74" i="15" s="1"/>
  <c r="G77" i="15" s="1"/>
  <c r="G79" i="15" s="1"/>
  <c r="G81" i="15" s="1"/>
  <c r="I32" i="19"/>
  <c r="I17" i="19"/>
  <c r="E26" i="22"/>
  <c r="H18" i="24"/>
  <c r="H29" i="24"/>
  <c r="F68" i="24"/>
  <c r="F46" i="24"/>
  <c r="F48" i="24" s="1"/>
  <c r="E20" i="18"/>
  <c r="D51" i="24"/>
  <c r="F106" i="12"/>
  <c r="E43" i="23"/>
  <c r="D13" i="24"/>
  <c r="H86" i="15"/>
  <c r="H50" i="15"/>
  <c r="C39" i="4" l="1"/>
  <c r="I63" i="11"/>
  <c r="F119" i="6"/>
  <c r="C119" i="6"/>
  <c r="I119" i="10"/>
  <c r="H63" i="7"/>
  <c r="H119" i="7"/>
  <c r="B119" i="6"/>
  <c r="I63" i="6"/>
  <c r="I119" i="6"/>
  <c r="H63" i="12"/>
  <c r="H63" i="10"/>
  <c r="H119" i="10"/>
  <c r="F119" i="7"/>
  <c r="F63" i="7"/>
  <c r="E119" i="10"/>
  <c r="E63" i="10"/>
  <c r="H119" i="6"/>
  <c r="H63" i="6"/>
  <c r="I119" i="9"/>
  <c r="I63" i="9"/>
  <c r="B38" i="4"/>
  <c r="I63" i="12"/>
  <c r="I119" i="12"/>
  <c r="G63" i="7"/>
  <c r="G119" i="7"/>
  <c r="E38" i="4"/>
  <c r="E119" i="6"/>
  <c r="E63" i="6"/>
  <c r="D119" i="7"/>
  <c r="D63" i="7"/>
  <c r="D119" i="10"/>
  <c r="D63" i="10"/>
  <c r="G63" i="11"/>
  <c r="G119" i="11"/>
  <c r="B39" i="4"/>
  <c r="C119" i="11"/>
  <c r="C63" i="11"/>
  <c r="B119" i="9"/>
  <c r="B63" i="9"/>
  <c r="D119" i="9"/>
  <c r="D63" i="9"/>
  <c r="D39" i="4"/>
  <c r="G63" i="12"/>
  <c r="G119" i="12"/>
  <c r="B119" i="11"/>
  <c r="B63" i="11"/>
  <c r="F63" i="11"/>
  <c r="F119" i="11"/>
  <c r="C119" i="9"/>
  <c r="C63" i="9"/>
  <c r="F119" i="12"/>
  <c r="F63" i="12"/>
  <c r="G119" i="6"/>
  <c r="G63" i="6"/>
  <c r="F119" i="10"/>
  <c r="F63" i="10"/>
  <c r="C38" i="4"/>
  <c r="G119" i="9"/>
  <c r="G63" i="9"/>
  <c r="G63" i="10"/>
  <c r="G119" i="10"/>
  <c r="C119" i="7"/>
  <c r="C63" i="7"/>
  <c r="D119" i="12"/>
  <c r="D63" i="12"/>
  <c r="E119" i="12"/>
  <c r="E63" i="12"/>
  <c r="F119" i="9"/>
  <c r="F63" i="9"/>
  <c r="H119" i="11"/>
  <c r="H63" i="11"/>
  <c r="E119" i="7"/>
  <c r="E63" i="7"/>
  <c r="D38" i="4"/>
  <c r="D47" i="14"/>
  <c r="H119" i="9"/>
  <c r="H63" i="9"/>
  <c r="B63" i="10"/>
  <c r="B119" i="10"/>
  <c r="C63" i="10"/>
  <c r="C119" i="10"/>
  <c r="D63" i="11"/>
  <c r="D119" i="11"/>
  <c r="E119" i="9"/>
  <c r="E63" i="9"/>
  <c r="B119" i="12"/>
  <c r="B63" i="12"/>
  <c r="C119" i="12"/>
  <c r="C63" i="12"/>
  <c r="E119" i="11"/>
  <c r="E63" i="11"/>
</calcChain>
</file>

<file path=xl/sharedStrings.xml><?xml version="1.0" encoding="utf-8"?>
<sst xmlns="http://schemas.openxmlformats.org/spreadsheetml/2006/main" count="681" uniqueCount="561">
  <si>
    <t>Orden</t>
  </si>
  <si>
    <t>Castellano</t>
  </si>
  <si>
    <t>Inglés</t>
  </si>
  <si>
    <t>IDIOMA/LANGUAGE</t>
  </si>
  <si>
    <t>Series trimestrales 2025-2026</t>
  </si>
  <si>
    <t>Quarterly series 2025-2026</t>
  </si>
  <si>
    <t>ESPAÑOL</t>
  </si>
  <si>
    <t>Grupo BBVA</t>
  </si>
  <si>
    <t>BBVA Group</t>
  </si>
  <si>
    <t>ENGLISH</t>
  </si>
  <si>
    <t>Cuentas de resultados consolidadas</t>
  </si>
  <si>
    <t>Consolidated income statement</t>
  </si>
  <si>
    <t>Balances de situación consolidados</t>
  </si>
  <si>
    <t>Consolidated balance sheet</t>
  </si>
  <si>
    <t>Áreas de negocio</t>
  </si>
  <si>
    <t>Business areas</t>
  </si>
  <si>
    <t>España</t>
  </si>
  <si>
    <t>Spain</t>
  </si>
  <si>
    <t>Actividad bancaria en España</t>
  </si>
  <si>
    <t>Banking activity in Spain</t>
  </si>
  <si>
    <t>Non Core Real Estate</t>
  </si>
  <si>
    <t>EEUU</t>
  </si>
  <si>
    <t>USA</t>
  </si>
  <si>
    <t>México</t>
  </si>
  <si>
    <t>Mexico</t>
  </si>
  <si>
    <t xml:space="preserve">Turquía </t>
  </si>
  <si>
    <t xml:space="preserve">Turkey </t>
  </si>
  <si>
    <t xml:space="preserve">América del Sur </t>
  </si>
  <si>
    <t>South America</t>
  </si>
  <si>
    <t>Argentina</t>
  </si>
  <si>
    <t>Chile</t>
  </si>
  <si>
    <t>Colombia</t>
  </si>
  <si>
    <t>Perú</t>
  </si>
  <si>
    <t>Peru</t>
  </si>
  <si>
    <t>Resto de Eurasia</t>
  </si>
  <si>
    <t>Rest of Eurasia</t>
  </si>
  <si>
    <t>Centro Corporativo</t>
  </si>
  <si>
    <t xml:space="preserve">Corporate Center </t>
  </si>
  <si>
    <t>Información adicional:</t>
  </si>
  <si>
    <t>Additional information:</t>
  </si>
  <si>
    <t>Corporate &amp; Investment Banking</t>
  </si>
  <si>
    <t>Anexo:</t>
  </si>
  <si>
    <t>Annex:</t>
  </si>
  <si>
    <t>Eficiencia</t>
  </si>
  <si>
    <t>Efficiency</t>
  </si>
  <si>
    <t>Tasas de mora, cobertura y coste de riesgo</t>
  </si>
  <si>
    <t>NPL, coverage ratios and cost of risk</t>
  </si>
  <si>
    <t>Empleados, oficinas y cajeros automáticos</t>
  </si>
  <si>
    <t>Branches, employees and atm´s</t>
  </si>
  <si>
    <t>Tipos de cambio</t>
  </si>
  <si>
    <t>Exchange rates</t>
  </si>
  <si>
    <t>Diferenciales de la clientela</t>
  </si>
  <si>
    <t>Customer Spreads</t>
  </si>
  <si>
    <t>Activos ponderados por riesgo. Desglose por áreas de negocio y principales países</t>
  </si>
  <si>
    <t>Risk-weighted assets. Breakdown by business areas and main countries</t>
  </si>
  <si>
    <t>Desglose del crédito no dudoso en gestión</t>
  </si>
  <si>
    <t>Breakdown of performing loans under management</t>
  </si>
  <si>
    <t>Desglose de los recursos de clientes en gestión</t>
  </si>
  <si>
    <t>Breakdown of customer funds under management</t>
  </si>
  <si>
    <t xml:space="preserve">Cuenta de resultados  </t>
  </si>
  <si>
    <t xml:space="preserve">Income statement  </t>
  </si>
  <si>
    <t>(Millones de euros)</t>
  </si>
  <si>
    <t>(Million euros)</t>
  </si>
  <si>
    <t>Margen de intereses</t>
  </si>
  <si>
    <t>Net interest income</t>
  </si>
  <si>
    <t>Comisiones netas</t>
  </si>
  <si>
    <t>Net fees and commissions</t>
  </si>
  <si>
    <t>Resultados de operaciones financieras</t>
  </si>
  <si>
    <t>Net trading income</t>
  </si>
  <si>
    <t>Otros ingresos y cargas de explotación</t>
  </si>
  <si>
    <t>Other operating income and expenses</t>
  </si>
  <si>
    <t>Margen bruto</t>
  </si>
  <si>
    <t>Gross income</t>
  </si>
  <si>
    <t>Gastos de explotación</t>
  </si>
  <si>
    <t>Operating expenses</t>
  </si>
  <si>
    <t xml:space="preserve">  Gastos de administración</t>
  </si>
  <si>
    <t xml:space="preserve">  Administration expenses</t>
  </si>
  <si>
    <t xml:space="preserve">  Gastos de personal</t>
  </si>
  <si>
    <t xml:space="preserve">  Personnel expenses</t>
  </si>
  <si>
    <t xml:space="preserve">  Otros gastos de administración</t>
  </si>
  <si>
    <t xml:space="preserve">  General and administrative expenses</t>
  </si>
  <si>
    <t xml:space="preserve">  Amortización</t>
  </si>
  <si>
    <t xml:space="preserve">  Depreciation</t>
  </si>
  <si>
    <t>Margen neto</t>
  </si>
  <si>
    <t>Operating income</t>
  </si>
  <si>
    <t>Deterioro de activos financieros no valorados a valor razonable con cambios en resultados</t>
  </si>
  <si>
    <t>Impaiment on financial assets not measured at fair value through profit or loss</t>
  </si>
  <si>
    <t>Provisiones o reversión de provisiones y otros resultados</t>
  </si>
  <si>
    <t>Provisions or reversal of provisions and other results</t>
  </si>
  <si>
    <t>Resultado antes de impuestos</t>
  </si>
  <si>
    <t>Profit/(loss) before tax</t>
  </si>
  <si>
    <t>Impuesto sobre beneficios</t>
  </si>
  <si>
    <t>Income tax</t>
  </si>
  <si>
    <t>Resultado del ejercicio</t>
  </si>
  <si>
    <t>Profit/(loss) for the year</t>
  </si>
  <si>
    <t>Minoritarios</t>
  </si>
  <si>
    <t>Non-controlling interests</t>
  </si>
  <si>
    <t>Resultado atribuido</t>
  </si>
  <si>
    <t>Net attributable profit</t>
  </si>
  <si>
    <t>Balances</t>
  </si>
  <si>
    <t>Balance sheets</t>
  </si>
  <si>
    <t>Efectivo, saldos en efectivo en bancos centrales y otros depósitos a la vista</t>
  </si>
  <si>
    <t>Cash, cash balances at central banks and other demand deposits</t>
  </si>
  <si>
    <t>Activos financieros a valor razonable</t>
  </si>
  <si>
    <t xml:space="preserve">Financial assets designated at fair value </t>
  </si>
  <si>
    <t>Activos financieros a coste amortizado</t>
  </si>
  <si>
    <t>Financial assets at amortized cost</t>
  </si>
  <si>
    <t xml:space="preserve">    de los que préstamos y anticipos a la clientela</t>
  </si>
  <si>
    <t xml:space="preserve">    of which loans and advances to customers</t>
  </si>
  <si>
    <t>Activos tangibles</t>
  </si>
  <si>
    <t>Tangible assets</t>
  </si>
  <si>
    <t>Otros activos</t>
  </si>
  <si>
    <t>Other assets</t>
  </si>
  <si>
    <t>Total activo / pasivo</t>
  </si>
  <si>
    <t>Total assets / Liabilities and equity</t>
  </si>
  <si>
    <t>Pasivos financieros mantenidos para negociar y designados a valor razonable con cambios en resultados</t>
  </si>
  <si>
    <t>Financial liabilities held for trading and designated at fair value through profit or loss</t>
  </si>
  <si>
    <t>Depósitos de bancos centrales y entidades de crédito</t>
  </si>
  <si>
    <t>Deposits from central banks and credit institutions</t>
  </si>
  <si>
    <t>Depósitos de la clientela</t>
  </si>
  <si>
    <t>Deposits from customers</t>
  </si>
  <si>
    <t>Valores representativos de deuda emitidos</t>
  </si>
  <si>
    <t>Debt certificates</t>
  </si>
  <si>
    <t>Otros pasivos</t>
  </si>
  <si>
    <t>Other liabilities</t>
  </si>
  <si>
    <t>Dotación de capital económico</t>
  </si>
  <si>
    <t>Economic capital allocated</t>
  </si>
  <si>
    <t>Indicadores relevantes y de gestión</t>
  </si>
  <si>
    <t>Relevant business indicators</t>
  </si>
  <si>
    <t>Préstamos y anticipos a la clientela bruto (*)</t>
  </si>
  <si>
    <t>Loans and advances to customers (gross) (*)</t>
  </si>
  <si>
    <t>Depósitos de clientes en gestión (**)</t>
  </si>
  <si>
    <t>Customer deposits under management (*)</t>
  </si>
  <si>
    <t>Fondos de inversión y carteras gestionadas</t>
  </si>
  <si>
    <t>Investment funds and managed portfolios</t>
  </si>
  <si>
    <t>Fondos de pensiones</t>
  </si>
  <si>
    <t>Pension funds</t>
  </si>
  <si>
    <t>Otros recursos fuera de balance</t>
  </si>
  <si>
    <t>Other off balance-sheet funds</t>
  </si>
  <si>
    <t>(*) No incluye las adquisiciones temporales de activos.</t>
  </si>
  <si>
    <t xml:space="preserve">(*) Excluding repos. </t>
  </si>
  <si>
    <t>(**) No incluye las cesiones temporales de activos.</t>
  </si>
  <si>
    <t>(Millones de euros constantes)</t>
  </si>
  <si>
    <t xml:space="preserve">(Constant million euros)    </t>
  </si>
  <si>
    <t>(Millones de pesos mexicanos)</t>
  </si>
  <si>
    <t>(Million Mexican pesos)</t>
  </si>
  <si>
    <t>(Millones de pesos colombianos)</t>
  </si>
  <si>
    <t>(Million Colombian pesos)</t>
  </si>
  <si>
    <t>(Millones de dolares)</t>
  </si>
  <si>
    <t>(Million dolars)</t>
  </si>
  <si>
    <t>(Millones de liras turcas)</t>
  </si>
  <si>
    <t>(Million Turkish liras)</t>
  </si>
  <si>
    <t>(Millones de pesos argentinos)</t>
  </si>
  <si>
    <t>(Million Argentinian pesos)</t>
  </si>
  <si>
    <t>(Millones de soles peruanos)</t>
  </si>
  <si>
    <t>(Million Peruvian soles)</t>
  </si>
  <si>
    <t>Venezuela</t>
  </si>
  <si>
    <t>(Millones de pesos chilenos)</t>
  </si>
  <si>
    <t>(Million Chilean pesos)</t>
  </si>
  <si>
    <t>Eficiencia (*)</t>
  </si>
  <si>
    <t>Efficiency (*)</t>
  </si>
  <si>
    <t>(*) Gastos de explotación / Margen bruto. Incluye amortizaciones</t>
  </si>
  <si>
    <t>(*) Operating expenses / Gross income. Including depreciation</t>
  </si>
  <si>
    <t>(Porcentaje)</t>
  </si>
  <si>
    <t>(Percentage)</t>
  </si>
  <si>
    <t>Tasa de mora</t>
  </si>
  <si>
    <t>NPL ratio</t>
  </si>
  <si>
    <t>Tasa de cobertura</t>
  </si>
  <si>
    <t>NPL coverage ratio</t>
  </si>
  <si>
    <t>Coste del riesgo acumulado</t>
  </si>
  <si>
    <t>Cost of risk YTD</t>
  </si>
  <si>
    <t>Resto de América del Sur</t>
  </si>
  <si>
    <t>Resto of South América</t>
  </si>
  <si>
    <t>CRD IV fully-loaded</t>
  </si>
  <si>
    <t>Grupo BBVA. Cuentas de resultados consolidadas</t>
  </si>
  <si>
    <t xml:space="preserve">BBVA Group. Consolidated Income statement </t>
  </si>
  <si>
    <t>1er Trim.</t>
  </si>
  <si>
    <t>1Q</t>
  </si>
  <si>
    <t>2º Trim.</t>
  </si>
  <si>
    <t>2Q</t>
  </si>
  <si>
    <t>3er Trim.</t>
  </si>
  <si>
    <t>3Q</t>
  </si>
  <si>
    <t>4º Trim.</t>
  </si>
  <si>
    <t>4Q</t>
  </si>
  <si>
    <t>Ingresos por dividendos</t>
  </si>
  <si>
    <t>Dividend income</t>
  </si>
  <si>
    <t>Part. gananc/pdas inversiones en dependientes, neg conjunt y asoc</t>
  </si>
  <si>
    <t>Share of  profit/loss of invest. in subsidaries, joint ventures and associates</t>
  </si>
  <si>
    <t>Otros productos/cargas de explotación</t>
  </si>
  <si>
    <t>Other products and expenses</t>
  </si>
  <si>
    <t>Resultado después de impuestos de operaciones continuadas</t>
  </si>
  <si>
    <t>Result after continuing operation tax</t>
  </si>
  <si>
    <t>Resultado de operaciones corporativas</t>
  </si>
  <si>
    <t>Result from corporate operations</t>
  </si>
  <si>
    <t>Resultado atribuido sin operaciones corporativas</t>
  </si>
  <si>
    <t xml:space="preserve">Attributable profit without corporate transactions </t>
  </si>
  <si>
    <t>Nota general: los datos de los trimestres estancos del 2018 se presentan como datos proforma que tienen la consideración de Medidas Alternativas de Rendimiento (MAR), recogiéndose íntegramente el efecto acumulado para reflejar el impacto derivado de la contabilización de la hiperinflación en Argentina entre el 1-1-2018 y el 30-9-2018 en el tercer trimestre del 2018, sin haberse reexpresado los datos mostrados en la tabla anterior del primer y segundo trimestre del 2018.</t>
  </si>
  <si>
    <t>General note: the data for the quarters of 2018 are presented as proforma data which are considered as Alternative Performance Measures (APM), the accumulated effect being fully collected to reflect the impact derived from the accounting for hyperinflation in Argentina between 1-1-2018 and the 30-9-2018 in the third quarter of 2018, without having been reexpressed the data shown in the previous table of the first and second quarter of 2018.</t>
  </si>
  <si>
    <t>(*) Incluye plusvalías netas de la venta de BBVA Chile.</t>
  </si>
  <si>
    <t>(*) Includes net capital gains  from the sale of BBVA Chile.</t>
  </si>
  <si>
    <t>Grupo BBVA. Balances de situación consolidados</t>
  </si>
  <si>
    <t>BBVA Group. Consolidated balance sheet</t>
  </si>
  <si>
    <t>Hipotecario</t>
  </si>
  <si>
    <t>Mortages</t>
  </si>
  <si>
    <t>Consumo</t>
  </si>
  <si>
    <t>Consumer</t>
  </si>
  <si>
    <t>Tarjetas de Crédito</t>
  </si>
  <si>
    <t>Credit Cards</t>
  </si>
  <si>
    <t>Sector público</t>
  </si>
  <si>
    <t>Public Sector</t>
  </si>
  <si>
    <t>Sociedades financieras y sociedades no financieras</t>
  </si>
  <si>
    <t>Financial and Non Financial Companies</t>
  </si>
  <si>
    <t>Pymes</t>
  </si>
  <si>
    <t>SMEs</t>
  </si>
  <si>
    <t>Otros</t>
  </si>
  <si>
    <t>Others</t>
  </si>
  <si>
    <t>Crédito no dudoso en gestión (*)</t>
  </si>
  <si>
    <t>Performing Loans under management (*)</t>
  </si>
  <si>
    <t>Depósitos a la vista + Disponibles con preaviso</t>
  </si>
  <si>
    <t>Demand deposits</t>
  </si>
  <si>
    <t>Depósitos a plazo</t>
  </si>
  <si>
    <t>Time deposits</t>
  </si>
  <si>
    <t>Recursos fuera de balance (*)</t>
  </si>
  <si>
    <t>Off balance sheet funds (*)</t>
  </si>
  <si>
    <t>Vista+Plazo</t>
  </si>
  <si>
    <t>Demand + Time deposits</t>
  </si>
  <si>
    <t>(*) Incluye fondos de inversión, fondos de pensiones y otros recursos fuera de balance.</t>
  </si>
  <si>
    <t>Posiciones inter-áreas activo</t>
  </si>
  <si>
    <t>Inter-area positions</t>
  </si>
  <si>
    <t>Posiciones inter-áreas pasivo</t>
  </si>
  <si>
    <t>Oficinas</t>
  </si>
  <si>
    <t>Branches</t>
  </si>
  <si>
    <t>Empleados</t>
  </si>
  <si>
    <t>Employees</t>
  </si>
  <si>
    <t>Cajeros automáticos</t>
  </si>
  <si>
    <t>ATM´s</t>
  </si>
  <si>
    <t>Uruguay</t>
  </si>
  <si>
    <t>Paraguay</t>
  </si>
  <si>
    <t>Bolivia</t>
  </si>
  <si>
    <t>Cuba</t>
  </si>
  <si>
    <t>Brasil</t>
  </si>
  <si>
    <t>Activos financieros mantenidos para negociar</t>
  </si>
  <si>
    <t>Financial assets held for trading</t>
  </si>
  <si>
    <t>Activos financieros no destinados a negociación valorados obligatoriamente a valor razonable con cambios en resultados</t>
  </si>
  <si>
    <t>Non-trading financial assets mandatorily at fair value through profit or loss</t>
  </si>
  <si>
    <t>Activos financieros designados a valor razonable con cambios en resultados</t>
  </si>
  <si>
    <t>Financial assets designated at fair value through profit or loss</t>
  </si>
  <si>
    <t>Activos financieros designados a valor razonable con cambios en otro resultado global acumulado</t>
  </si>
  <si>
    <t>Financial assets at fair value through accumulated other comprehensive income</t>
  </si>
  <si>
    <t>. Préstamos y anticipos en bancos centrales  y entidades de crédito</t>
  </si>
  <si>
    <t xml:space="preserve">. Loans and advances to central banks and credit institutions </t>
  </si>
  <si>
    <t>. Préstamos y anticipos a la clientela</t>
  </si>
  <si>
    <t>. Loans and advances to customers</t>
  </si>
  <si>
    <t>. Valores representativos de deuda</t>
  </si>
  <si>
    <t>. Debt securities</t>
  </si>
  <si>
    <t>Inversiones mantenidas hasta el vencimiento</t>
  </si>
  <si>
    <t>Held-to-maturity investments</t>
  </si>
  <si>
    <t>Inversiones en negocios conjuntos y asociadas</t>
  </si>
  <si>
    <t>Investments in subsidiaries, joint ventures and associates</t>
  </si>
  <si>
    <t>Activos Intangibles</t>
  </si>
  <si>
    <t>Intangible assets</t>
  </si>
  <si>
    <t>Pasivos financieros designados a valor razonable con cambios en resultados</t>
  </si>
  <si>
    <t>Other financial liabilities designated at fair value through profit or loss</t>
  </si>
  <si>
    <t>Pasivos financieros a coste amortizado</t>
  </si>
  <si>
    <t>Financial liabilities at amortized cost</t>
  </si>
  <si>
    <t>. Otros pasivos financieros</t>
  </si>
  <si>
    <t>. Other financial liabilities</t>
  </si>
  <si>
    <t>Pasivos amparados por contratos de seguros o reaseguro</t>
  </si>
  <si>
    <t>Liabilities under insurance and reinsurance contracts</t>
  </si>
  <si>
    <t>Total pasivo</t>
  </si>
  <si>
    <t>Total liabilities</t>
  </si>
  <si>
    <t>Intereses minoritarios</t>
  </si>
  <si>
    <t>Otro resultado global acumulado</t>
  </si>
  <si>
    <t>Accumulated other comprehensive income</t>
  </si>
  <si>
    <t>Fondos propios</t>
  </si>
  <si>
    <t>Shareholders' funds</t>
  </si>
  <si>
    <t>Patrimonio neto</t>
  </si>
  <si>
    <t>Total equity</t>
  </si>
  <si>
    <t>Total patrimonio neto y pasivo</t>
  </si>
  <si>
    <t>Total equity and liabilities</t>
  </si>
  <si>
    <t>Peso mexicano</t>
  </si>
  <si>
    <t>Mexican peso</t>
  </si>
  <si>
    <t>Dólar estadounidense</t>
  </si>
  <si>
    <t>U.S. dollar</t>
  </si>
  <si>
    <t>Peso argentino</t>
  </si>
  <si>
    <t>Argentine peso</t>
  </si>
  <si>
    <t>Peso chileno</t>
  </si>
  <si>
    <t>Chilean peso</t>
  </si>
  <si>
    <t>Peso colombiano</t>
  </si>
  <si>
    <t>Colombian peso</t>
  </si>
  <si>
    <t>Sol peruano</t>
  </si>
  <si>
    <t>Peruvian sol</t>
  </si>
  <si>
    <t>Lira turca</t>
  </si>
  <si>
    <t>Turkish lira</t>
  </si>
  <si>
    <t>(*) Utilizados en el cálculo de euros constantes de los datos de balance y actividad</t>
  </si>
  <si>
    <t>(*) Used in the constant euros comparisons for the balance sheet and business activity</t>
  </si>
  <si>
    <t>(**) Utilizados en el cálculo de euros constantes de los datos de resultados</t>
  </si>
  <si>
    <t>(**) Used in the constant euros comparisons for the profit and loss</t>
  </si>
  <si>
    <t>(Expresados en divisa/euro)</t>
  </si>
  <si>
    <t>(Expressed in currency/euro)</t>
  </si>
  <si>
    <t>Cambios finales (*)</t>
  </si>
  <si>
    <t>Year-end exchange rates (*)</t>
  </si>
  <si>
    <t>Cambios medios (**)</t>
  </si>
  <si>
    <t>Average exchange rates (**)</t>
  </si>
  <si>
    <t>∆% sobre</t>
  </si>
  <si>
    <t>∆% on</t>
  </si>
  <si>
    <t>Diferenciales de la clientela (*)</t>
  </si>
  <si>
    <t>Customer Spreads (*)</t>
  </si>
  <si>
    <t>Rentabilidad de los prestamos</t>
  </si>
  <si>
    <t>Lending Yield</t>
  </si>
  <si>
    <t>Coste de los depositos</t>
  </si>
  <si>
    <t>Cost of deposits</t>
  </si>
  <si>
    <t>Estados Unidos (**)</t>
  </si>
  <si>
    <t>The United States (**)</t>
  </si>
  <si>
    <t>México pesos mexicanos</t>
  </si>
  <si>
    <t>Mexico MXN</t>
  </si>
  <si>
    <t>México moneda extranjera</t>
  </si>
  <si>
    <t>Mexico  FC (Foreing currency)</t>
  </si>
  <si>
    <t>Turquía liras turcas</t>
  </si>
  <si>
    <t>Turkey TRY</t>
  </si>
  <si>
    <t>Turquía moneda extranjera</t>
  </si>
  <si>
    <t>Turkey FC (Foreing currency)</t>
  </si>
  <si>
    <t>(*) Diferencia entre el rendimiento de los préstamos y el coste de los depósitos de los clientes.</t>
  </si>
  <si>
    <t>(*) Difference between lending yield on loans and cost of deposits from customers.</t>
  </si>
  <si>
    <t>(**)  Excluye la actividad en Nueva York.</t>
  </si>
  <si>
    <t>(**) Excluding New York Business Activity.</t>
  </si>
  <si>
    <t>Nota: Los diferenciales de la clientela han sido actualizados.</t>
  </si>
  <si>
    <t>Note: Customer spreads have been restated.</t>
  </si>
  <si>
    <t>Capital y Reservas</t>
  </si>
  <si>
    <t xml:space="preserve">Hogares - Prestamos Hipotecarios </t>
  </si>
  <si>
    <t>Hogares - Consumo</t>
  </si>
  <si>
    <t>Hogares - Tarjetas  de crédito</t>
  </si>
  <si>
    <t>Resto de Empresas</t>
  </si>
  <si>
    <t>Sector Público</t>
  </si>
  <si>
    <t>Tarjeta de Crédito</t>
  </si>
  <si>
    <t>Resto Minorista</t>
  </si>
  <si>
    <t>Total Cartera Vigente</t>
  </si>
  <si>
    <t>Resto Comercial</t>
  </si>
  <si>
    <t>Other Commercial</t>
  </si>
  <si>
    <t>Mexico (***)</t>
  </si>
  <si>
    <t xml:space="preserve">Criterio Local Contable(***) </t>
  </si>
  <si>
    <t xml:space="preserve">According to Local GAAP(***) </t>
  </si>
  <si>
    <t>Incluye fondos de inversión, carteras gestionadas , fondos de pensiones y otros recursos fuera de balance.(*)</t>
  </si>
  <si>
    <t xml:space="preserve">Includes investment funds, managed portfolios, pension funds and other off-balance sheet funds. (*) </t>
  </si>
  <si>
    <t>No incluye las cesiones temporales de activos.  (**)</t>
  </si>
  <si>
    <t>Excluding repos  (**)</t>
  </si>
  <si>
    <t xml:space="preserve"> Recursos de clientes en gestión (**)</t>
  </si>
  <si>
    <t>Customer funds under management (**)</t>
  </si>
  <si>
    <t>Consumo  y tarjetas de Credito</t>
  </si>
  <si>
    <t>Consumer &amp; Credit Cards</t>
  </si>
  <si>
    <t>Negocios retail</t>
  </si>
  <si>
    <t>Very small business</t>
  </si>
  <si>
    <t>Empresas medianas</t>
  </si>
  <si>
    <t>Mid-size companies</t>
  </si>
  <si>
    <t>Corporativa + CIB</t>
  </si>
  <si>
    <t>Corporates + CIB</t>
  </si>
  <si>
    <t>Other</t>
  </si>
  <si>
    <t>Other Retail</t>
  </si>
  <si>
    <t>Resto Empresas</t>
  </si>
  <si>
    <t xml:space="preserve">Nota general: la aplicación de la contabilidad por hiperinflación en Argentina se realizó por primera vez en septiembre del 2018 con efectos contables 1 de enero del 2018, recogiéndose el impacto de los nueve meses en el tercer trimestre. Con el fin de que la información del 2019 sea comparable con la del 2018, se ha procedido a reexpresar el balance de situación de los tres primeros trimestres del 2018 para recoger los impactos de la inflación sobre los activos y pasivos del mismo. </t>
  </si>
  <si>
    <t>General note: the application of accounting for hyperinflation in Argentina was performed for the first time in September 2018 with accounting effects on January 1, 2018, recording the impact of the nine months in the third quarter. In order to make the 2019 information comparable to the 2018, the balance sheet of the first three quarters of 2018 has been reexpressed to reflect the impacts of inflation on its assets and liabilities.</t>
  </si>
  <si>
    <t>Nota general: la aplicación de la contabilidad por hiperinflación en Argentina se realizó por primera vez en septiembre del 2018 con efectos contables 1 de enero del 2018, recogiéndose el impacto de los 9 meses en el tercer trimestre. Con el fin de que la información del 2019 sea comparable con la del 2018, se ha procedido a reexpresar las cuentas de resultados de los tres primeros trimestres del 2018 para recoger los impactos de la inflación sobre los ingresos y gastos de las mismas. Adicionalmente, durante el ejercicio 2019 se ha modificado la NIC 12 “Impuesto sobre las ganancias” con efectos contables 1 de enero del 2019. Por ello, y con el fin de que la información sea comparable, se ha procedido a reexpresar la información trimestral de las cuentas de resultados del 2018 y del 2019.</t>
  </si>
  <si>
    <t>General note: the application of accounting for hyperinflation in Argentina was performed for the first time in September 2018 with accounting effects on January 1, 2018, recording the impact of the 9 months in the third quarter. In order to make the 2019 information comparable to the 2018, the income statements for the first three quarters of 2018 have been reexpressed to reflect the impacts of inflation on their income and expenses.</t>
  </si>
  <si>
    <t>(1) Incluye plusvalías netas de la venta de BBVA Chile.</t>
  </si>
  <si>
    <t>(1) Includes net capital gains  from the sale of BBVA Chile.</t>
  </si>
  <si>
    <t>(2) Ajustado por remuneración de instrumentos de capital de nivel 1 adicional.</t>
  </si>
  <si>
    <t>(2) Adjusted by additional Tier 1 instrument remuneration.</t>
  </si>
  <si>
    <t>CRD IV fully loaded</t>
  </si>
  <si>
    <t>Grupo BBVA. Cuentas de resultados proforma (*)</t>
  </si>
  <si>
    <t>BBVA group. Consolidated income statements proforma (*)</t>
  </si>
  <si>
    <t>(*) No se incluye los resultados de los dos primeros trimestres del 2018 de BBVA Chile ni las plusvalías por su venta del tercer trimestre del 2018.</t>
  </si>
  <si>
    <t>(*) Not including BBVA Chile`s profit for the 2 first quarters of 2018 and net capital gains in 3Q 2018 of its sale .</t>
  </si>
  <si>
    <t>Cuenta de resultados sin Chile</t>
  </si>
  <si>
    <t>Income statement w/o Chile</t>
  </si>
  <si>
    <t>Cuentas de resultados consolidadas proforma</t>
  </si>
  <si>
    <t>Consolidated income statement proforma</t>
  </si>
  <si>
    <t>(*) Se incluyen los resultados de los dos primeros trimestres del 2018 de BBVA Chile y las plusvalías por su venta del tercer trimestre del 2018.</t>
  </si>
  <si>
    <t>(*) Including BBVA Chile`s profit for the 2 first quarters of 2018 and net capital gains in 3Q 2018 of its sale .</t>
  </si>
  <si>
    <t>(*) Hay pequeñas diferencias en el 1T 2019 de APRs entre las Areas de Negocio por reclasificaciones hechas posteriores al cierre no habiendo variacíon ninguna en el total de los APRs.</t>
  </si>
  <si>
    <t>(*) There are slight differences in the RWAs of the Business Units in the 1st Q  2019 due to reclasifications. The total amount of BBVA RWAs did not change.</t>
  </si>
  <si>
    <t>Balance Euro</t>
  </si>
  <si>
    <t>Euro Balance</t>
  </si>
  <si>
    <t>Italia</t>
  </si>
  <si>
    <t>Italy</t>
  </si>
  <si>
    <t>Resto</t>
  </si>
  <si>
    <t>Rest</t>
  </si>
  <si>
    <t>Turquia</t>
  </si>
  <si>
    <t>Turkey</t>
  </si>
  <si>
    <t>Amércia del Sur</t>
  </si>
  <si>
    <t>Total Cartera COAP</t>
  </si>
  <si>
    <t>Total ALCO Portfolio</t>
  </si>
  <si>
    <t>Cartera COAP a Coste Amortizado</t>
  </si>
  <si>
    <t>ALCO Portfolio Hold to Collect</t>
  </si>
  <si>
    <t>Cartera COAP a Valor Razonable</t>
  </si>
  <si>
    <t>ALCO Portfolio Hold to Collect and Sell</t>
  </si>
  <si>
    <t>Carteras Coap</t>
  </si>
  <si>
    <t>ALCO Portfolio</t>
  </si>
  <si>
    <t>(*) Serie de datos revisada 18-19 debido a cambio de criterio en la contabilización de cajeros.</t>
  </si>
  <si>
    <t>(*) Reviewed data serie 18-19 due to a change in the amount criteria of ATMs</t>
  </si>
  <si>
    <t>(**) Reajuste del dato del 1T en 2T</t>
  </si>
  <si>
    <t>(**) Readjustment of 1Q19 in 2Q19</t>
  </si>
  <si>
    <t>EEUU (*)</t>
  </si>
  <si>
    <t>USA (*)</t>
  </si>
  <si>
    <t>Mexico (**)</t>
  </si>
  <si>
    <t>Provisiones o reversión de provisiones</t>
  </si>
  <si>
    <t>Provisions or reversal of provisions</t>
  </si>
  <si>
    <t>Otros resultados</t>
  </si>
  <si>
    <t>Other results</t>
  </si>
  <si>
    <t>Resultado atribuido sin el deterioro del fondo de comercio de Estados Unidos y sin BBVA Chile (*)</t>
  </si>
  <si>
    <t>Net attributable profit excluding the goodwill impairment in the United States and BBVA Chile (*)</t>
  </si>
  <si>
    <t>Resultado Atribuido (*)</t>
  </si>
  <si>
    <t>Net attributable profit (*)</t>
  </si>
  <si>
    <t>(*) Resultados generados por BBVA Chile hasta su venta el 6 de julio del 2018 y las plusvalías de la operación</t>
  </si>
  <si>
    <t>(*) BBVA Chile recurrent profit until the sale as of 6 July, 2018 and the capital gains of the operation</t>
  </si>
  <si>
    <t>(*)No incluye Resultados generados por BBVA Chile hasta su venta el 6 de julio del 2018 ni las plusvalías de la operación, tampoco el deterioro del fondo de comercio de Estados Unidos.</t>
  </si>
  <si>
    <t>(*) Not including BBVA Chile recurrent profit until the sale as of 6 July 2018 and and the capital gains of the operation neither the goodwill impairment in the United States</t>
  </si>
  <si>
    <t>Nota general: la aplicación de la contabilidad por hiperinflación en Argentina se realizó por primera vez en septiembre del 2018 con efectos contables 1 de enero del 2018, recogiéndose el impacto de los 9 meses en el tercer trimestre. Adicionalmente, durante el ejercicio 2019 se ha modificado la NIC 12 “Impuesto sobre las ganancias” con efectos contables 1 de enero del 2019. Por ello, y con el fin de que la información sea comparable, se ha procedido a reexpresar la información trimestral de las cuentas de resultados del 2018 y del 2019</t>
  </si>
  <si>
    <t>General note: the application of accounting for hyperinflation in Argentina was done  for the first time in September 2018 with accounting effects from  January 1, 2018, recording the impact of the 9 months in the third quarter. In addition, during 2019 an amendment to IAS 12 "Income Taxes" was introduced with accounting effects from  January 1, 2019. Therefore, in  order to make the information comparable, the quarterly income statements for 2019 and 2018 have been restated .</t>
  </si>
  <si>
    <t>Resultado atribuido sin BBVA Chile (*)</t>
  </si>
  <si>
    <t>Net Atributable Profit ex BBVA Chile (*)</t>
  </si>
  <si>
    <t>(*) Plusvalías por la venta de BBVA Chile del tercer trimestre de 2018.</t>
  </si>
  <si>
    <t>(*) Net capital gains of BBVA Chile sale on the 3rd Q of 2018.</t>
  </si>
  <si>
    <r>
      <rPr>
        <sz val="8"/>
        <color theme="1"/>
        <rFont val="Calibri"/>
        <family val="2"/>
        <scheme val="minor"/>
      </rPr>
      <t>(1)</t>
    </r>
    <r>
      <rPr>
        <sz val="11"/>
        <color theme="1"/>
        <rFont val="Calibri"/>
        <family val="2"/>
        <scheme val="minor"/>
      </rPr>
      <t xml:space="preserve"> En aplicación de la NIC 29 "Información en economías hiperinflacionarias", la conversión de la cuenta de resultados de Argentina Y Turquía se hace empleando el tipo de cambio final.</t>
    </r>
  </si>
  <si>
    <r>
      <rPr>
        <sz val="8"/>
        <color theme="1"/>
        <rFont val="Calibri"/>
        <family val="2"/>
        <scheme val="minor"/>
      </rPr>
      <t>(1)</t>
    </r>
    <r>
      <rPr>
        <sz val="11"/>
        <color theme="1"/>
        <rFont val="Calibri"/>
        <family val="2"/>
        <scheme val="minor"/>
      </rPr>
      <t xml:space="preserve"> According to IAS 29 "Financial information in hyperinflationary economies", the year-end exchange rate is used for the conversion of the Argentina and Turkey income statement. </t>
    </r>
  </si>
  <si>
    <t xml:space="preserve">Nota general: como consecuencia de una interpretación emitida por el IFRIC (International Financial Reporting Standards Interpretations Committee) relativa al cobro de intereses de fallidos en el marco de la NIIF 9, dichos cobros se presentan como menor saneamiento crediticio y no como un mayor ingreso por intereses, método de reconocimiento aplicado hasta diciembre de 2019. Por ello, y con el fin de que la información sea comparable, se ha procedido a reexpresar la información de la cuenta de resultados del primer semestre de 2019. </t>
  </si>
  <si>
    <t>General note: as a result of the interpretation issued by the International Financial Reporting Standards Interpretations Committee (IFRIC) regarding the collecting of interests of written-off financial assets for the purpose of IFRS 9, those collections are presented as reduction of the credit allowances and not as a higher interest income, recognition method applied until December 2019. Therefore, and in order to make the information comparable, the first six months information of the 2019 income statements has been restated.</t>
  </si>
  <si>
    <t>Resultado atribuido sin el deterioro del fondo de comercio de Estados Unidos (*)</t>
  </si>
  <si>
    <t>Net attributable profit excluding the goodwill impairment in the United States (*)</t>
  </si>
  <si>
    <t>Operaciones Corporativas (1)</t>
  </si>
  <si>
    <t>Corporate Operations (1)</t>
  </si>
  <si>
    <t>Resultado después de impuestos</t>
  </si>
  <si>
    <t>Result after Tax</t>
  </si>
  <si>
    <t>(1) Incluye el resultado neto de impuestos por la venta a Allianz de la mitad más una acción de la sociedad constituida para impulsar de forma conjunta el negocio de seguros de no vida en España, excluyendo el ramo de salud.</t>
  </si>
  <si>
    <t>(1) Include the net capital gain from the sale to Allianz the half plus one share of the company created to jointly develop the non-life insurance business in Spain, excluding the health insurance line.</t>
  </si>
  <si>
    <t>Resultado atribuido sin el deterioro del fondo de comercio de Estados Unidos y sin operaciones corporativas</t>
  </si>
  <si>
    <t>Net attributable profit/(loss) excluding the goodwill impairment in the United States and corporate operations</t>
  </si>
  <si>
    <t>Resto de Negocios</t>
  </si>
  <si>
    <t>Rest of Business</t>
  </si>
  <si>
    <t>Nuevo Holding</t>
  </si>
  <si>
    <t>New Holding</t>
  </si>
  <si>
    <t>Nota general: cifras sin considerar la clasificación de BBVA Paraguay como Activos y Pasivos No corrientes en Venta a 31-12-2020 y 31-12-2019 y a 31-12-2020 BBVA USA y el resto de sociedades del Grupo en Estados Unidos incluidas en el acuerdo de venta suscrito con PNC.</t>
  </si>
  <si>
    <t>General note: figures without considering the classification of BBVA Paraguay as Non-current Assets and Liabilities Held for Sale as of 31-12-2020 and 31-12-2019 and BBVA USA and the rest of Group's companies in the United States included in the sale agreement signed with PNC as Non-current Assets and Liabilities Held For Sale as of 31-12-2020.</t>
  </si>
  <si>
    <t>Centro Corporativo (para resto de negocios)</t>
  </si>
  <si>
    <t>Corporate Center (for rest of business)</t>
  </si>
  <si>
    <t>Sociedades de la filial de Estados Unidos excluidas del acuerdo de venta</t>
  </si>
  <si>
    <t>Companies excluded from the sale agreement of the BBVA subsidiary in the United States</t>
  </si>
  <si>
    <t>A partir del 1T21, a efectos de información de gestión, el negocio de EE.UU. vendido a PNC se mostrará como una rúbrica del balance y de la cuenta de resultados, en línea con la reclasificación contable a "Activo no corriente disponible para la venta" que tuvo lugar en el 4T20. A efectos informativos, ofrecemos a continuación una agregación del negocio de CIB en EE.UU. que no está incluido en el acuerdo con PNC y la información que se presenta actualmente como Resto de Eurasia.,</t>
  </si>
  <si>
    <t>Starting in 1Q21, for management reporting purposes, the US Business sold to PNC will be shown as one Balance Sheet and one P&amp;L heading, in line with the accounting reclassification to Non Current Asset Available for sale which took place in 4Q20. For informational purposes, we are providing below an aggregation of the CIB business in the US that is not included in the agreement with PNC and the information currently reported as Rest of Eurasia.</t>
  </si>
  <si>
    <t>A partir del 1T21, a efectos de información de gestión, el negocio de EE.UU. vendido a PNC se mostrará como una rúbrica del balance y de la cuenta de resultados, en línea con la reclasificación contable a "Activo no corriente disponible para la venta" que tuvo lugar en el 4T20. En consecuencia, se presenta a continuación a efectos informativos una agregación del Centro Corporativo y de todos los demás negocios de EE.UU. que no están incluidos en el acuerdo con PNC y que no han sido agregados al Resto de Eurasia en la página anterior.</t>
  </si>
  <si>
    <t>Starting in 1Q21, for management reporting purposes, the US Business sold to PNC will be shown as one Balance Sheet and one P&amp;L heading, in line with the accounting reclassification to Non Current Asset Available for sale which took place in 4Q20. As a result, for informational purposes, you can find below an aggregation of the Corporate Center and all the other US businesses that are not included in the agreement with PNC and have not been added to the Rest of Eurasia in the previous page. </t>
  </si>
  <si>
    <t>A efectos informativos, facilitamos a continuación 8 trimestres de información histórica del perímetro actualmente reportado como EE.UU. que permanecerá en BBVA una vez cerrado el acuerdo anunciado con PNC. </t>
  </si>
  <si>
    <t>For informational purposes, we are providing below 8 quarters of historical information of the perimeter currently reported as USA that will remain with BBVA once the announced agreement with PNC has been closed.   </t>
  </si>
  <si>
    <t>EEUU vendido</t>
  </si>
  <si>
    <t>USA sold</t>
  </si>
  <si>
    <t>Centro Corporativo (1)</t>
  </si>
  <si>
    <t>Corporate Center (1)</t>
  </si>
  <si>
    <t>(1) Incluye los APRs del negocio de EEUU vendido</t>
  </si>
  <si>
    <t>(1) Includes RWAs from the USA business sold.</t>
  </si>
  <si>
    <r>
      <t>(1) Incluye </t>
    </r>
    <r>
      <rPr>
        <sz val="12"/>
        <color theme="4" tint="-0.499984740745262"/>
        <rFont val="Arial"/>
        <family val="2"/>
      </rPr>
      <t>EEUU como operación discontinuada, el deterioro del fondo de comercio de Estados Unidos, y el resultado neto de impuestos por la venta a Allianz de la mitad más una acción de la sociedad constituida para impulsar de forma conjunta el negocio de seguros de no vida en España, excluyendo el ramo de salud</t>
    </r>
  </si>
  <si>
    <t>(1) Includes USA as discontinued operation, the goodwill impaiment in USA and the net capital gain from the sale to Allianz of the half plus one share of the company created to jointly develop the non-life insurance business in Spain, excluding the health insurance line.</t>
  </si>
  <si>
    <t>Grupo BBVA  (*)</t>
  </si>
  <si>
    <t>BBVA Group  (*)</t>
  </si>
  <si>
    <t>Grupo BBVA  (**)</t>
  </si>
  <si>
    <t>BBVA Group  (**)</t>
  </si>
  <si>
    <t>(**) Grupo BBVA no incluye el negocio vendido de EEUU vendido a PNC.</t>
  </si>
  <si>
    <t>(**) BBVA Group excludes  the US Business sold to PNC.</t>
  </si>
  <si>
    <t>(*) Grupo BBVA no incluye el negocio vendido de EEUU vendido a PNC.</t>
  </si>
  <si>
    <t>(*) BBVA Group excludes  the US Business sold to PNC.</t>
  </si>
  <si>
    <t>Resto de geografías</t>
  </si>
  <si>
    <t>Rest of geographies</t>
  </si>
  <si>
    <t>Corporate &amp; Investment Banking (*)</t>
  </si>
  <si>
    <t>(*) No incluye el negocio de CIB vendido a PNC.</t>
  </si>
  <si>
    <t>(*) Excludes  the CIB Business sold to PNC.</t>
  </si>
  <si>
    <t>Capital regulatorio asignado</t>
  </si>
  <si>
    <t>Allocated regulatory capital</t>
  </si>
  <si>
    <t xml:space="preserve">South America </t>
  </si>
  <si>
    <t>No incluye Paraguay (***)</t>
  </si>
  <si>
    <t>Paraguay excluded  (***)</t>
  </si>
  <si>
    <t>Préstamos Hogares TL</t>
  </si>
  <si>
    <t>Retail Loans TL</t>
  </si>
  <si>
    <t>Préstamos Empresas TL</t>
  </si>
  <si>
    <t>Commercial Loans TL</t>
  </si>
  <si>
    <t>Total Préstamos TL</t>
  </si>
  <si>
    <t>Total Loans TL</t>
  </si>
  <si>
    <t>Total Préstamos FC</t>
  </si>
  <si>
    <t>Total Loans FC</t>
  </si>
  <si>
    <t>Depósitos Vista TL</t>
  </si>
  <si>
    <t>Demand Deposits TL</t>
  </si>
  <si>
    <t>Depósitos Plazo TL</t>
  </si>
  <si>
    <t>Total Time Deposits TL</t>
  </si>
  <si>
    <t>Total Depósitos TL</t>
  </si>
  <si>
    <t>Total Deposits TL</t>
  </si>
  <si>
    <t>Depósitos Vista FC</t>
  </si>
  <si>
    <t>Demand Deposits FC</t>
  </si>
  <si>
    <t>Depósitos Plazo FC</t>
  </si>
  <si>
    <t>Total Time Deposits FC</t>
  </si>
  <si>
    <t>Total Depósitos FC</t>
  </si>
  <si>
    <t>Total Deposits FC</t>
  </si>
  <si>
    <t>(TL Lira Turca FC Moneda Extranjera)</t>
  </si>
  <si>
    <t>(TL Turkish Lira FC Foreign Currency)</t>
  </si>
  <si>
    <t>Turquia solo Banco</t>
  </si>
  <si>
    <t>Turkey Bank only</t>
  </si>
  <si>
    <t>Nota general : Cifras considerando la clasificación de las sociedades incluidas en el acuerdo de venta suscrito con PNC como Activos y Pasivos No corrientes en Venta.</t>
  </si>
  <si>
    <t>General note: figures considering companies in the United States included in the sale agreement signed with PNC as Non-current Assets and Liabilities Held for Sale</t>
  </si>
  <si>
    <t>Operaciones Corporativas y Discontinuadas</t>
  </si>
  <si>
    <t>Corporate &amp; discontinued operations</t>
  </si>
  <si>
    <t xml:space="preserve"> (***) No incluye Paraguay</t>
  </si>
  <si>
    <t xml:space="preserve">(***) Paraguay excluded </t>
  </si>
  <si>
    <t>América del Sur  (incluye Paraguay)</t>
  </si>
  <si>
    <t>South America (Paraguay Included)</t>
  </si>
  <si>
    <t>Resultado Atribuido sin Operaciones Corporativas y Discontinuadas</t>
  </si>
  <si>
    <t>Net attributable profit/(loss) excluding Corporate &amp; discontinued operations</t>
  </si>
  <si>
    <t>Operaciones interrumpidas y corporativas, y costes netos asociados al proceso de reestructuración.(1)</t>
  </si>
  <si>
    <t>Discontinued &amp; corporate operations, and net cost related to the restructuring process. (1)</t>
  </si>
  <si>
    <t> Beneficio Atribuido (sin operaciones interrumpidas y corporativas, y costes netos asociados al proceso de reestructuración).</t>
  </si>
  <si>
    <t> Net Attributable Profit (ex discontinued &amp; corporate operations, and net cost related to the restructuring process).</t>
  </si>
  <si>
    <r>
      <t>(1) Incluye </t>
    </r>
    <r>
      <rPr>
        <sz val="12"/>
        <color theme="4" tint="-0.499984740745262"/>
        <rFont val="Arial"/>
        <family val="2"/>
      </rPr>
      <t>EEUU como operación discontinuada, el deterioro del fondo de comercio de Estados Unidos,  el resultado neto de impuestos por la venta a Allianz de la mitad más una acción de la sociedad constituida para impulsar de forma conjunta el negocio de seguros de no vida en España, excluyendo el ramo de salud y los costes netos asociados al proceso de reestructuración.</t>
    </r>
  </si>
  <si>
    <t>(1) Includes USA as discontinued operation, the goodwill impaiment in USA, the net capital gain from the sale to Allianz of the half plus one share of the company created to jointly develop the non-life insurance business in Spain, excluding the health insurance line and net cost related to the reestructuring process.</t>
  </si>
  <si>
    <t>Resultado atribuido excluyendo impactos no recurrentes</t>
  </si>
  <si>
    <t>Net attributable profit excluding non recurring impacts</t>
  </si>
  <si>
    <t>Resultado después de impuestos de operaciones interrumpidas (1)</t>
  </si>
  <si>
    <t>Profit/(loss) after tax form discontinued operations (1)</t>
  </si>
  <si>
    <t>Operaciones Corporativas (2)</t>
  </si>
  <si>
    <t>Corporate Operations (2)</t>
  </si>
  <si>
    <t>Costes netos asociados al proceso de reestructuración</t>
  </si>
  <si>
    <t>Net cost related to the reestructuring process.</t>
  </si>
  <si>
    <r>
      <t>(1) Incluye </t>
    </r>
    <r>
      <rPr>
        <sz val="12"/>
        <color theme="4" tint="-0.499984740745262"/>
        <rFont val="Arial"/>
        <family val="2"/>
      </rPr>
      <t>EEUU como operación interrumpida y el deterioro del fondo de comercio de Estados Unidos registrado en el primer trimestre de 2020 por importe de 2084 millones de euros</t>
    </r>
  </si>
  <si>
    <t>(1) Includes USA as discontinued operation and the goodwill impaiment in USA for 2084 millions of euros registered in the 1stQ of 2020.</t>
  </si>
  <si>
    <r>
      <t>(2) Incluye el r</t>
    </r>
    <r>
      <rPr>
        <sz val="12"/>
        <color theme="4" tint="-0.499984740745262"/>
        <rFont val="Arial"/>
        <family val="2"/>
      </rPr>
      <t xml:space="preserve">esultado neto de impuestos por la venta a Allianz de la mitad más una acción de la sociedad constituida para impulsar de forma conjunta el negocio de seguros de no vida en España, excluyendo el ramo de salud </t>
    </r>
  </si>
  <si>
    <t xml:space="preserve">(2) Includes the net capital gain from the sale to Allianz of the half plus one share of the company created to jointly develop the non-life insurance business in Spain, excluding the health insurance line </t>
  </si>
  <si>
    <t>Operaciones Corporativas e Interrumpidas(1)</t>
  </si>
  <si>
    <t>Corporate &amp; discontinued operations(1)</t>
  </si>
  <si>
    <t>(1) Incluen los resultados generados por BBVA USA y el resto de sociedades de EEUU vendidas a PNC el 1 de junio de 2021</t>
  </si>
  <si>
    <t>(1) Includes the profit generated by BBVA USA and the rest of the US companies sold to PNC on 1st ofJjune of 2021.</t>
  </si>
  <si>
    <t>(1) En aplicación de la NIC 21 "Efectos de las variaciones en los tipos de cambio de la moneda extranjera", la conversión de la cuenta de resultados de Turquía y Argentina se hace empleando el tipo de cambio final.</t>
  </si>
  <si>
    <r>
      <rPr>
        <sz val="8"/>
        <color theme="1"/>
        <rFont val="Calibri"/>
        <family val="2"/>
        <scheme val="minor"/>
      </rPr>
      <t>(1)</t>
    </r>
    <r>
      <rPr>
        <sz val="11"/>
        <color theme="1"/>
        <rFont val="Calibri"/>
        <family val="2"/>
        <scheme val="minor"/>
      </rPr>
      <t xml:space="preserve"> According to IAS 21 "Effects of changes in foreign currency exchange rates", the translation of the income statement for Turkey and Argentina is made using the final exchange rate.</t>
    </r>
  </si>
  <si>
    <t>(1) Incluen los resultados generados por BBVA USA y el resto de sociedades de EEUU vendidas a PNC el 1 de junio de 2021 y la adquisición de la Socimi Tree.</t>
  </si>
  <si>
    <t>(1) Includes the profit generated by BBVA USA and the rest of the US companies sold to PNC on 1st ofJjune of 2021 and the acquisition of the Socimi Tree.</t>
  </si>
  <si>
    <t>Resultado de operaciones interrumpidas y otros (1)</t>
  </si>
  <si>
    <t>Discontinued operations and Others (1)</t>
  </si>
  <si>
    <t>(1) Incluen los resultados generados por BBVA USA y el resto de sociedades de EEUU vendidas a PNC el 1 de junio de 2021, los costes netos asociados al proceso de reestructuración y el impacto neto de la compra de oficinas en España. (más detalle en las áreas de España y Centro Corporativo)</t>
  </si>
  <si>
    <t>(1) Includes the profit generated by BBVA USA and the rest of the US companies sold to PNC on 1st of June of 2021, the net cost related to the reestructuring process. and net impact arisen form the purchase of offices in Spain. (for further detail in Spain and Corporate centre)</t>
  </si>
  <si>
    <t>(1)Adquisición de oficinas en España</t>
  </si>
  <si>
    <t>(1)Acquisition of branches in Spain.</t>
  </si>
  <si>
    <t>Operaciones Corporativas e Interrumpidas</t>
  </si>
  <si>
    <t>Impacto neto de la compra de oficinas en España</t>
  </si>
  <si>
    <t>Net impact arisen from the purchase of offices in Spain</t>
  </si>
  <si>
    <t>(*)El dato del trimestre en curso es provisional</t>
  </si>
  <si>
    <t>(*)The data for the current quarter is provisional</t>
  </si>
  <si>
    <t>CRD IV</t>
  </si>
  <si>
    <t>RORWA</t>
  </si>
  <si>
    <t>RORWA=Resultado Ejercicio/APRs medios</t>
  </si>
  <si>
    <t>RORWA= Profit/(loss) for the year/Average RWAs</t>
  </si>
  <si>
    <t>*Resultado del ejercicio 30/09/25 anualizado para el cálculo</t>
  </si>
  <si>
    <t>* Profit/(loss) for the year 30/09/25 annualized for calculation</t>
  </si>
  <si>
    <t>MARCA</t>
  </si>
  <si>
    <t>.</t>
  </si>
  <si>
    <t>Resultado Atribuido</t>
  </si>
  <si>
    <t>Total</t>
  </si>
  <si>
    <t>(1)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</si>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</sst>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
    <numFmt numFmtId="165" formatCode="#,##0.000"/>
    <numFmt numFmtId="166" formatCode="0.000%"/>
    <numFmt numFmtId="167" formatCode="0.0"/>
    <numFmt numFmtId="168" formatCode="0.0%"/>
    <numFmt numFmtId="169" formatCode="#,##0.0000"/>
    <numFmt numFmtId="170" formatCode="dd\-mm\-yy;@"/>
    <numFmt numFmtId="171" formatCode="_-* #,##0.00\ _€_-;\-* #,##0.00\ _€_-;_-* &quot;-&quot;??\ _€_-;_-@_-"/>
    <numFmt numFmtId="172" formatCode="_-* #,##0\ _P_t_s_-;\-* #,##0\ _P_t_s_-;_-* &quot;-&quot;??\ _P_t_s_-;_-@_-"/>
    <numFmt numFmtId="173" formatCode="0.00000000"/>
  </numFmts>
  <fonts count="58">
    <font>
      <sz val="11"/>
      <color theme="1"/>
      <name val="Calibri"/>
      <family val="2"/>
      <scheme val="minor"/>
    </font>
    <font>
      <sz val="11"/>
      <color theme="1"/>
      <name val="Calibri"/>
      <family val="2"/>
      <scheme val="minor"/>
    </font>
    <font>
      <sz val="11"/>
      <color theme="0"/>
      <name val="Calibri"/>
      <family val="2"/>
      <scheme val="minor"/>
    </font>
    <font>
      <sz val="10"/>
      <name val="Baskerville BE Regular"/>
    </font>
    <font>
      <sz val="8"/>
      <name val="Arial"/>
      <family val="2"/>
    </font>
    <font>
      <sz val="16"/>
      <color theme="1"/>
      <name val="BBVA Office Book"/>
      <family val="2"/>
    </font>
    <font>
      <sz val="12"/>
      <color rgb="FF002060"/>
      <name val="BBVA Office Book"/>
      <family val="2"/>
    </font>
    <font>
      <sz val="10"/>
      <name val="BBVA Office Book"/>
      <family val="2"/>
    </font>
    <font>
      <sz val="8"/>
      <name val="BBVA Office Book"/>
      <family val="2"/>
    </font>
    <font>
      <sz val="10"/>
      <color theme="4"/>
      <name val="BBVA Office Book"/>
      <family val="2"/>
    </font>
    <font>
      <sz val="10"/>
      <name val="Arial"/>
      <family val="2"/>
    </font>
    <font>
      <b/>
      <sz val="10"/>
      <name val="BBVA Office Book"/>
      <family val="2"/>
    </font>
    <font>
      <sz val="11"/>
      <name val="BBVA Office Book"/>
      <family val="2"/>
    </font>
    <font>
      <sz val="14"/>
      <color theme="1" tint="0.34998626667073579"/>
      <name val="BBVA Office Book"/>
      <family val="2"/>
    </font>
    <font>
      <b/>
      <sz val="10"/>
      <color theme="0"/>
      <name val="BBVA Office Book"/>
      <family val="2"/>
    </font>
    <font>
      <sz val="9"/>
      <name val="BBVA Office Book"/>
      <family val="2"/>
    </font>
    <font>
      <sz val="12"/>
      <color theme="3"/>
      <name val="BBVA Office Book"/>
      <family val="2"/>
    </font>
    <font>
      <sz val="11"/>
      <color theme="3"/>
      <name val="BBVA Office Book"/>
      <family val="2"/>
    </font>
    <font>
      <sz val="8"/>
      <color theme="1"/>
      <name val="Calibri"/>
      <family val="2"/>
      <scheme val="minor"/>
    </font>
    <font>
      <sz val="11"/>
      <color theme="4" tint="-0.499984740745262"/>
      <name val="Calibri"/>
      <family val="2"/>
      <scheme val="minor"/>
    </font>
    <font>
      <sz val="12"/>
      <color theme="4" tint="-0.499984740745262"/>
      <name val="Arial"/>
      <family val="2"/>
    </font>
    <font>
      <sz val="12"/>
      <color rgb="FF222222"/>
      <name val="Arial"/>
      <family val="2"/>
    </font>
    <font>
      <sz val="8"/>
      <color rgb="FF000000"/>
      <name val="Tahoma"/>
      <family val="2"/>
    </font>
    <font>
      <sz val="10"/>
      <name val="Lucida Sans Unicode"/>
      <family val="2"/>
    </font>
    <font>
      <vertAlign val="superscript"/>
      <sz val="10"/>
      <name val="Stag Sans Medium"/>
      <family val="2"/>
    </font>
    <font>
      <vertAlign val="superscript"/>
      <sz val="10"/>
      <name val="BBVA Office Book"/>
      <family val="2"/>
    </font>
    <font>
      <vertAlign val="superscript"/>
      <sz val="20"/>
      <name val="BBVA Office Book"/>
      <family val="2"/>
    </font>
    <font>
      <vertAlign val="superscript"/>
      <sz val="26"/>
      <color theme="1" tint="0.34998626667073579"/>
      <name val="BBVA Office Book"/>
      <family val="2"/>
    </font>
    <font>
      <vertAlign val="superscript"/>
      <sz val="10"/>
      <color indexed="21"/>
      <name val="Stag Sans Medium"/>
      <family val="2"/>
    </font>
    <font>
      <vertAlign val="superscript"/>
      <sz val="22"/>
      <color indexed="21"/>
      <name val="Stag Sans Medium"/>
      <family val="2"/>
    </font>
    <font>
      <vertAlign val="superscript"/>
      <sz val="22"/>
      <color theme="0"/>
      <name val="BBVA Office Book"/>
      <family val="2"/>
    </font>
    <font>
      <b/>
      <sz val="16"/>
      <name val="BBVA Office Book"/>
      <family val="2"/>
    </font>
    <font>
      <sz val="14"/>
      <color theme="1"/>
      <name val="BBVA Office Book"/>
      <family val="2"/>
    </font>
    <font>
      <vertAlign val="superscript"/>
      <sz val="10"/>
      <color indexed="9"/>
      <name val="Stag Sans Medium"/>
      <family val="2"/>
    </font>
    <font>
      <vertAlign val="superscript"/>
      <sz val="10"/>
      <color indexed="58"/>
      <name val="Stag Sans Medium"/>
      <family val="2"/>
    </font>
    <font>
      <vertAlign val="superscript"/>
      <sz val="10"/>
      <color indexed="58"/>
      <name val="BBVA Office Book"/>
      <family val="2"/>
    </font>
    <font>
      <vertAlign val="superscript"/>
      <sz val="20"/>
      <name val="Stag Sans Medium"/>
      <family val="2"/>
    </font>
    <font>
      <sz val="14"/>
      <name val="BBVA Office Book"/>
      <family val="2"/>
    </font>
    <font>
      <sz val="10"/>
      <color theme="1" tint="0.34998626667073579"/>
      <name val="BBVA Office Book"/>
      <family val="2"/>
    </font>
    <font>
      <sz val="11"/>
      <name val="Calibri"/>
      <family val="2"/>
      <scheme val="minor"/>
    </font>
    <font>
      <i/>
      <sz val="10"/>
      <name val="BBVA Office Book"/>
      <family val="2"/>
    </font>
    <font>
      <sz val="10"/>
      <color theme="0"/>
      <name val="BBVA Office Book"/>
      <family val="2"/>
    </font>
    <font>
      <sz val="8"/>
      <color theme="0"/>
      <name val="BBVA Office Book"/>
      <family val="2"/>
    </font>
    <font>
      <sz val="10"/>
      <color indexed="18"/>
      <name val="Tahoma"/>
      <family val="2"/>
    </font>
    <font>
      <sz val="10"/>
      <name val="Tahoma"/>
      <family val="2"/>
    </font>
    <font>
      <sz val="10"/>
      <color theme="5"/>
      <name val="Arial"/>
      <family val="2"/>
    </font>
    <font>
      <b/>
      <sz val="16"/>
      <color theme="1" tint="0.34998626667073579"/>
      <name val="BBVA Office Book"/>
      <family val="2"/>
    </font>
    <font>
      <b/>
      <sz val="10"/>
      <name val="Arial"/>
      <family val="2"/>
    </font>
    <font>
      <sz val="10"/>
      <color indexed="18"/>
      <name val="Arial"/>
      <family val="2"/>
    </font>
    <font>
      <sz val="11"/>
      <name val="Lucida Sans Unicode"/>
      <family val="2"/>
    </font>
    <font>
      <sz val="10"/>
      <color theme="3"/>
      <name val="BBVA Office Book"/>
      <family val="2"/>
    </font>
    <font>
      <sz val="16"/>
      <color theme="1" tint="0.34998626667073579"/>
      <name val="BBVA Office Book"/>
      <family val="2"/>
    </font>
    <font>
      <b/>
      <sz val="9"/>
      <color rgb="FFFF0000"/>
      <name val="BBVA Office Book"/>
      <family val="2"/>
    </font>
    <font>
      <sz val="12"/>
      <name val="BBVA Office Book"/>
      <family val="2"/>
    </font>
    <font>
      <sz val="10"/>
      <color rgb="FFFF0000"/>
      <name val="Arial"/>
      <family val="2"/>
    </font>
    <font>
      <sz val="11"/>
      <color theme="1" tint="0.34998626667073579"/>
      <name val="BBVA Office Book"/>
      <family val="2"/>
    </font>
    <font>
      <sz val="11"/>
      <color theme="0"/>
      <name val="BBVA Office Book"/>
      <family val="2"/>
    </font>
    <font>
      <sz val="11"/>
      <color theme="3"/>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59999389629810485"/>
        <bgColor indexed="64"/>
      </patternFill>
    </fill>
    <fill>
      <patternFill patternType="solid">
        <fgColor rgb="FFA7CFED"/>
        <bgColor indexed="64"/>
      </patternFill>
    </fill>
    <fill>
      <patternFill patternType="solid">
        <fgColor theme="2" tint="0.89999084444715716"/>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s>
  <cellStyleXfs count="14">
    <xf numFmtId="0" fontId="0" fillId="0" borderId="0"/>
    <xf numFmtId="171" fontId="1" fillId="0" borderId="0" applyFont="0" applyFill="0" applyBorder="0" applyAlignment="0" applyProtection="0"/>
    <xf numFmtId="9" fontId="1" fillId="0" borderId="0" applyFont="0" applyFill="0" applyBorder="0" applyAlignment="0" applyProtection="0"/>
    <xf numFmtId="0" fontId="3" fillId="0" borderId="0"/>
    <xf numFmtId="3" fontId="10" fillId="0" borderId="0"/>
    <xf numFmtId="0" fontId="1" fillId="0" borderId="0"/>
    <xf numFmtId="0" fontId="10" fillId="0" borderId="0"/>
    <xf numFmtId="0" fontId="23" fillId="0" borderId="0"/>
    <xf numFmtId="0" fontId="10" fillId="0" borderId="0"/>
    <xf numFmtId="0" fontId="23"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10">
    <xf numFmtId="0" fontId="0" fillId="0" borderId="0" xfId="0"/>
    <xf numFmtId="0" fontId="4" fillId="0" borderId="0" xfId="3" applyFont="1" applyFill="1" applyProtection="1">
      <protection locked="0" hidden="1"/>
    </xf>
    <xf numFmtId="0" fontId="4" fillId="0" borderId="0" xfId="3" applyFont="1" applyFill="1" applyBorder="1" applyAlignment="1" applyProtection="1">
      <alignment horizontal="left"/>
      <protection locked="0" hidden="1"/>
    </xf>
    <xf numFmtId="0" fontId="4" fillId="0" borderId="1" xfId="3" applyFont="1" applyFill="1" applyBorder="1" applyAlignment="1" applyProtection="1">
      <alignment horizontal="left"/>
      <protection locked="0" hidden="1"/>
    </xf>
    <xf numFmtId="0" fontId="5" fillId="0" borderId="0" xfId="0" applyFont="1"/>
    <xf numFmtId="0" fontId="6" fillId="0" borderId="0" xfId="3" applyFont="1" applyFill="1" applyBorder="1" applyAlignment="1" applyProtection="1">
      <alignment horizontal="left"/>
      <protection locked="0" hidden="1"/>
    </xf>
    <xf numFmtId="0" fontId="6" fillId="0" borderId="0" xfId="0" applyFont="1"/>
    <xf numFmtId="3" fontId="7" fillId="0" borderId="0" xfId="0" applyNumberFormat="1" applyFont="1" applyFill="1" applyAlignment="1">
      <alignment vertical="center"/>
    </xf>
    <xf numFmtId="3" fontId="8" fillId="0" borderId="0" xfId="0" applyNumberFormat="1" applyFont="1" applyFill="1" applyAlignment="1">
      <alignment vertical="center"/>
    </xf>
    <xf numFmtId="0" fontId="9" fillId="0" borderId="0" xfId="0" applyFont="1" applyFill="1" applyAlignment="1">
      <alignment horizontal="left" vertical="center"/>
    </xf>
    <xf numFmtId="3" fontId="10" fillId="0" borderId="0" xfId="4" quotePrefix="1" applyFill="1"/>
    <xf numFmtId="0" fontId="0" fillId="0" borderId="0" xfId="0" quotePrefix="1"/>
    <xf numFmtId="3" fontId="7" fillId="0" borderId="0" xfId="5" applyNumberFormat="1" applyFont="1" applyFill="1" applyAlignment="1">
      <alignment vertical="center"/>
    </xf>
    <xf numFmtId="3" fontId="11" fillId="0" borderId="0" xfId="5" applyNumberFormat="1" applyFont="1" applyFill="1" applyAlignment="1">
      <alignment vertical="center"/>
    </xf>
    <xf numFmtId="0" fontId="12" fillId="0" borderId="0" xfId="5" applyFont="1" applyFill="1"/>
    <xf numFmtId="0" fontId="8" fillId="0" borderId="0" xfId="5" applyFont="1" applyFill="1" applyAlignment="1">
      <alignment horizontal="left"/>
    </xf>
    <xf numFmtId="0" fontId="13" fillId="2" borderId="0" xfId="5" applyFont="1" applyFill="1" applyAlignment="1">
      <alignment horizontal="left" vertical="center"/>
    </xf>
    <xf numFmtId="3" fontId="7" fillId="0" borderId="0" xfId="0" applyNumberFormat="1" applyFont="1" applyFill="1" applyBorder="1" applyAlignment="1">
      <alignment vertical="center"/>
    </xf>
    <xf numFmtId="3" fontId="11" fillId="0" borderId="0" xfId="0" applyNumberFormat="1" applyFont="1" applyFill="1" applyAlignment="1">
      <alignment vertical="center"/>
    </xf>
    <xf numFmtId="3" fontId="14" fillId="3" borderId="0" xfId="0" applyNumberFormat="1" applyFont="1" applyFill="1" applyBorder="1" applyAlignment="1">
      <alignment vertical="center"/>
    </xf>
    <xf numFmtId="0" fontId="15" fillId="0" borderId="0" xfId="0" applyFont="1" applyFill="1" applyAlignment="1">
      <alignment horizontal="left"/>
    </xf>
    <xf numFmtId="0" fontId="16" fillId="0" borderId="1" xfId="0" applyFont="1" applyFill="1" applyBorder="1" applyAlignment="1">
      <alignment vertical="center"/>
    </xf>
    <xf numFmtId="164" fontId="17" fillId="0" borderId="0" xfId="0" applyNumberFormat="1" applyFont="1" applyFill="1" applyBorder="1" applyAlignment="1">
      <alignment horizontal="left" vertical="center"/>
    </xf>
    <xf numFmtId="0" fontId="7" fillId="0" borderId="0" xfId="5" applyFont="1" applyFill="1" applyBorder="1" applyAlignment="1">
      <alignment vertical="center"/>
    </xf>
    <xf numFmtId="3" fontId="11" fillId="0" borderId="0" xfId="6" applyNumberFormat="1" applyFont="1" applyFill="1" applyBorder="1" applyAlignment="1">
      <alignment vertical="center"/>
    </xf>
    <xf numFmtId="3" fontId="11" fillId="0" borderId="0" xfId="0" applyNumberFormat="1" applyFont="1" applyFill="1" applyBorder="1" applyAlignment="1">
      <alignment vertical="center"/>
    </xf>
    <xf numFmtId="49" fontId="0" fillId="0" borderId="0" xfId="0" applyNumberFormat="1"/>
    <xf numFmtId="0" fontId="19" fillId="0" borderId="0" xfId="0" applyFont="1"/>
    <xf numFmtId="3" fontId="8" fillId="0" borderId="0" xfId="0" applyNumberFormat="1" applyFont="1" applyFill="1" applyBorder="1" applyAlignment="1">
      <alignment vertical="top" wrapText="1"/>
    </xf>
    <xf numFmtId="0" fontId="21" fillId="0" borderId="0" xfId="0" applyFont="1"/>
    <xf numFmtId="0" fontId="24" fillId="0" borderId="0" xfId="7" applyFont="1"/>
    <xf numFmtId="0" fontId="25" fillId="0" borderId="0" xfId="7" applyFont="1"/>
    <xf numFmtId="0" fontId="26" fillId="0" borderId="0" xfId="7" applyFont="1"/>
    <xf numFmtId="0" fontId="27" fillId="2" borderId="0" xfId="8" applyFont="1" applyFill="1" applyAlignment="1" applyProtection="1">
      <alignment horizontal="center" vertical="top"/>
      <protection hidden="1"/>
    </xf>
    <xf numFmtId="0" fontId="28" fillId="0" borderId="0" xfId="7" applyFont="1" applyProtection="1">
      <protection locked="0"/>
    </xf>
    <xf numFmtId="0" fontId="29" fillId="0" borderId="0" xfId="8" applyFont="1" applyFill="1" applyAlignment="1" applyProtection="1">
      <alignment horizontal="left" indent="4"/>
      <protection hidden="1"/>
    </xf>
    <xf numFmtId="0" fontId="30" fillId="3" borderId="0" xfId="8" applyFont="1" applyFill="1" applyAlignment="1" applyProtection="1">
      <alignment horizontal="left" vertical="top"/>
      <protection hidden="1"/>
    </xf>
    <xf numFmtId="0" fontId="31" fillId="0" borderId="0" xfId="8" applyFont="1"/>
    <xf numFmtId="0" fontId="24" fillId="0" borderId="0" xfId="7" applyFont="1" applyProtection="1">
      <protection hidden="1"/>
    </xf>
    <xf numFmtId="0" fontId="32" fillId="4" borderId="0" xfId="0" applyFont="1" applyFill="1"/>
    <xf numFmtId="0" fontId="25" fillId="0" borderId="0" xfId="7" quotePrefix="1" applyFont="1"/>
    <xf numFmtId="0" fontId="33" fillId="0" borderId="0" xfId="7" quotePrefix="1" applyFont="1"/>
    <xf numFmtId="0" fontId="24" fillId="0" borderId="0" xfId="7" quotePrefix="1" applyFont="1" applyProtection="1">
      <protection hidden="1"/>
    </xf>
    <xf numFmtId="0" fontId="25" fillId="0" borderId="0" xfId="7" applyFont="1" applyFill="1"/>
    <xf numFmtId="0" fontId="32" fillId="5" borderId="0" xfId="0" applyFont="1" applyFill="1"/>
    <xf numFmtId="0" fontId="24" fillId="0" borderId="0" xfId="7" applyFont="1" applyFill="1" applyProtection="1">
      <protection hidden="1"/>
    </xf>
    <xf numFmtId="0" fontId="24" fillId="0" borderId="0" xfId="7" applyFont="1" applyFill="1"/>
    <xf numFmtId="0" fontId="24" fillId="0" borderId="0" xfId="7" applyFont="1" applyAlignment="1">
      <alignment horizontal="left" indent="5"/>
    </xf>
    <xf numFmtId="0" fontId="24" fillId="0" borderId="0" xfId="7" applyFont="1" applyFill="1" applyAlignment="1">
      <alignment horizontal="left" indent="5"/>
    </xf>
    <xf numFmtId="0" fontId="25" fillId="0" borderId="0" xfId="7" applyFont="1" applyFill="1" applyAlignment="1">
      <alignment horizontal="left" indent="5"/>
    </xf>
    <xf numFmtId="0" fontId="24" fillId="0" borderId="0" xfId="7" applyFont="1" applyAlignment="1">
      <alignment horizontal="center"/>
    </xf>
    <xf numFmtId="0" fontId="24" fillId="0" borderId="0" xfId="7" applyFont="1" applyAlignment="1" applyProtection="1">
      <alignment horizontal="left" indent="5"/>
      <protection hidden="1"/>
    </xf>
    <xf numFmtId="0" fontId="25" fillId="0" borderId="0" xfId="7" applyFont="1" applyAlignment="1">
      <alignment horizontal="left" indent="5"/>
    </xf>
    <xf numFmtId="0" fontId="26" fillId="0" borderId="0" xfId="7" applyFont="1" applyAlignment="1">
      <alignment horizontal="left" vertical="top"/>
    </xf>
    <xf numFmtId="0" fontId="34" fillId="0" borderId="0" xfId="7" applyFont="1"/>
    <xf numFmtId="0" fontId="32" fillId="6" borderId="0" xfId="0" applyFont="1" applyFill="1"/>
    <xf numFmtId="0" fontId="35" fillId="0" borderId="0" xfId="7" applyFont="1"/>
    <xf numFmtId="0" fontId="34" fillId="0" borderId="0" xfId="7" applyFont="1" applyProtection="1">
      <protection hidden="1"/>
    </xf>
    <xf numFmtId="3" fontId="8" fillId="0" borderId="0" xfId="0" applyNumberFormat="1" applyFont="1" applyFill="1" applyBorder="1" applyAlignment="1">
      <alignment horizontal="left" vertical="top" wrapText="1"/>
    </xf>
    <xf numFmtId="0" fontId="36" fillId="0" borderId="0" xfId="7" applyFont="1"/>
    <xf numFmtId="3" fontId="24" fillId="0" borderId="0" xfId="7" applyNumberFormat="1" applyFont="1"/>
    <xf numFmtId="0" fontId="37" fillId="0" borderId="0" xfId="0" applyFont="1" applyFill="1" applyBorder="1" applyAlignment="1">
      <alignment horizontal="left" vertical="center"/>
    </xf>
    <xf numFmtId="0" fontId="7" fillId="0" borderId="0" xfId="0" applyFont="1" applyFill="1" applyBorder="1"/>
    <xf numFmtId="0" fontId="0" fillId="0" borderId="0" xfId="0" applyFill="1"/>
    <xf numFmtId="0" fontId="31" fillId="0" borderId="0" xfId="0" applyFont="1" applyFill="1" applyBorder="1" applyAlignment="1">
      <alignment horizontal="left" vertical="center"/>
    </xf>
    <xf numFmtId="0" fontId="13" fillId="2" borderId="0" xfId="0" applyFont="1" applyFill="1" applyBorder="1" applyAlignment="1">
      <alignment horizontal="left" vertical="center"/>
    </xf>
    <xf numFmtId="0" fontId="38" fillId="2" borderId="0" xfId="0" applyFont="1" applyFill="1" applyBorder="1"/>
    <xf numFmtId="0" fontId="9"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2" xfId="0" applyFont="1" applyFill="1" applyBorder="1" applyAlignment="1">
      <alignment horizontal="right" vertical="center"/>
    </xf>
    <xf numFmtId="3" fontId="11" fillId="0" borderId="2" xfId="0" applyNumberFormat="1" applyFont="1" applyFill="1" applyBorder="1" applyAlignment="1">
      <alignment vertical="center"/>
    </xf>
    <xf numFmtId="3" fontId="11" fillId="0" borderId="0" xfId="0" applyNumberFormat="1" applyFont="1" applyFill="1" applyBorder="1" applyAlignment="1">
      <alignment horizontal="right" vertical="center"/>
    </xf>
    <xf numFmtId="3" fontId="0" fillId="0" borderId="0" xfId="0" applyNumberFormat="1" applyFill="1"/>
    <xf numFmtId="9" fontId="0" fillId="0" borderId="0" xfId="2" applyFont="1" applyFill="1"/>
    <xf numFmtId="3" fontId="7" fillId="0" borderId="0" xfId="0" applyNumberFormat="1" applyFont="1" applyFill="1" applyBorder="1" applyAlignment="1">
      <alignment horizontal="right"/>
    </xf>
    <xf numFmtId="3" fontId="7" fillId="0" borderId="2" xfId="0" applyNumberFormat="1" applyFont="1" applyFill="1" applyBorder="1" applyAlignment="1">
      <alignment horizontal="right"/>
    </xf>
    <xf numFmtId="3" fontId="7" fillId="0" borderId="0" xfId="0" applyNumberFormat="1" applyFont="1" applyFill="1" applyBorder="1" applyAlignment="1">
      <alignment horizontal="left" vertical="center" indent="1"/>
    </xf>
    <xf numFmtId="3" fontId="14" fillId="0" borderId="0" xfId="0" applyNumberFormat="1" applyFont="1" applyFill="1" applyBorder="1" applyAlignment="1">
      <alignment vertical="center"/>
    </xf>
    <xf numFmtId="3" fontId="8" fillId="0" borderId="0" xfId="0" applyNumberFormat="1" applyFont="1" applyFill="1" applyBorder="1" applyAlignment="1">
      <alignment horizontal="left" vertical="top" wrapText="1"/>
    </xf>
    <xf numFmtId="3" fontId="2" fillId="0" borderId="0" xfId="0" applyNumberFormat="1" applyFont="1" applyFill="1"/>
    <xf numFmtId="9" fontId="39" fillId="0" borderId="0" xfId="2" applyFont="1" applyFill="1"/>
    <xf numFmtId="165" fontId="39" fillId="0" borderId="0" xfId="0" applyNumberFormat="1" applyFont="1" applyFill="1"/>
    <xf numFmtId="0" fontId="11" fillId="0" borderId="0" xfId="0" applyFont="1" applyFill="1" applyBorder="1"/>
    <xf numFmtId="3" fontId="7" fillId="0" borderId="0" xfId="0" applyNumberFormat="1" applyFont="1" applyFill="1" applyBorder="1"/>
    <xf numFmtId="164" fontId="17" fillId="0" borderId="0" xfId="0" applyNumberFormat="1" applyFont="1" applyFill="1" applyBorder="1" applyAlignment="1">
      <alignment horizontal="right" vertical="center"/>
    </xf>
    <xf numFmtId="3" fontId="40" fillId="0" borderId="0" xfId="0" applyNumberFormat="1" applyFont="1" applyFill="1" applyBorder="1" applyAlignment="1">
      <alignment vertical="center"/>
    </xf>
    <xf numFmtId="3" fontId="40" fillId="0" borderId="0" xfId="0" applyNumberFormat="1" applyFont="1" applyFill="1" applyBorder="1" applyAlignment="1">
      <alignment horizontal="right"/>
    </xf>
    <xf numFmtId="3" fontId="7" fillId="6" borderId="0" xfId="0" applyNumberFormat="1" applyFont="1" applyFill="1" applyBorder="1" applyAlignment="1">
      <alignment horizontal="right"/>
    </xf>
    <xf numFmtId="3" fontId="11" fillId="0" borderId="0" xfId="0" applyNumberFormat="1" applyFont="1" applyFill="1" applyBorder="1"/>
    <xf numFmtId="3" fontId="41" fillId="0" borderId="0" xfId="0" applyNumberFormat="1" applyFont="1" applyFill="1" applyBorder="1"/>
    <xf numFmtId="3" fontId="8" fillId="0" borderId="0" xfId="0" applyNumberFormat="1" applyFont="1" applyFill="1" applyBorder="1" applyAlignment="1">
      <alignment vertical="center"/>
    </xf>
    <xf numFmtId="1" fontId="41" fillId="0" borderId="0" xfId="0" applyNumberFormat="1" applyFont="1" applyFill="1" applyBorder="1"/>
    <xf numFmtId="3" fontId="14" fillId="3" borderId="2" xfId="0" applyNumberFormat="1" applyFont="1" applyFill="1" applyBorder="1" applyAlignment="1">
      <alignment vertical="center"/>
    </xf>
    <xf numFmtId="3" fontId="14" fillId="3" borderId="0" xfId="0" applyNumberFormat="1" applyFont="1" applyFill="1" applyBorder="1" applyAlignment="1">
      <alignment horizontal="right" vertical="center"/>
    </xf>
    <xf numFmtId="3" fontId="7" fillId="0" borderId="2" xfId="0" applyNumberFormat="1" applyFont="1" applyFill="1" applyBorder="1"/>
    <xf numFmtId="0" fontId="13" fillId="0" borderId="0" xfId="0" applyFont="1" applyFill="1" applyBorder="1" applyAlignment="1">
      <alignment horizontal="left" vertical="center"/>
    </xf>
    <xf numFmtId="0" fontId="38" fillId="0" borderId="0" xfId="0" applyFont="1" applyFill="1" applyBorder="1"/>
    <xf numFmtId="164" fontId="17" fillId="0" borderId="2" xfId="0" applyNumberFormat="1" applyFont="1" applyFill="1" applyBorder="1" applyAlignment="1">
      <alignment horizontal="right" vertical="center"/>
    </xf>
    <xf numFmtId="3" fontId="42" fillId="0" borderId="0" xfId="0" applyNumberFormat="1" applyFont="1" applyFill="1" applyBorder="1" applyAlignment="1">
      <alignment vertical="center" wrapText="1"/>
    </xf>
    <xf numFmtId="164" fontId="17" fillId="0" borderId="0" xfId="0" applyNumberFormat="1" applyFont="1" applyFill="1" applyBorder="1" applyAlignment="1">
      <alignment vertical="center"/>
    </xf>
    <xf numFmtId="3" fontId="7" fillId="0" borderId="0" xfId="0" applyNumberFormat="1" applyFont="1" applyFill="1" applyBorder="1" applyAlignment="1"/>
    <xf numFmtId="0" fontId="38" fillId="0" borderId="0" xfId="0" applyFont="1" applyFill="1" applyBorder="1" applyAlignment="1"/>
    <xf numFmtId="0" fontId="7" fillId="0" borderId="0" xfId="0" applyFont="1" applyFill="1" applyBorder="1" applyAlignment="1"/>
    <xf numFmtId="0" fontId="38" fillId="2" borderId="0" xfId="0" applyFont="1" applyFill="1" applyBorder="1" applyAlignment="1">
      <alignment horizontal="right"/>
    </xf>
    <xf numFmtId="0" fontId="7" fillId="0" borderId="0" xfId="0" applyFont="1" applyFill="1" applyBorder="1" applyAlignment="1">
      <alignment horizontal="right"/>
    </xf>
    <xf numFmtId="0" fontId="38" fillId="0" borderId="0" xfId="0" applyFont="1" applyFill="1" applyBorder="1" applyAlignment="1">
      <alignment horizontal="right"/>
    </xf>
    <xf numFmtId="0" fontId="43" fillId="0" borderId="0" xfId="0" applyFont="1" applyFill="1" applyBorder="1"/>
    <xf numFmtId="0" fontId="0" fillId="0" borderId="0" xfId="0" applyFill="1" applyBorder="1"/>
    <xf numFmtId="0" fontId="44" fillId="0" borderId="0" xfId="0" applyFont="1" applyFill="1" applyBorder="1"/>
    <xf numFmtId="3" fontId="14" fillId="3" borderId="2" xfId="0" applyNumberFormat="1" applyFont="1" applyFill="1" applyBorder="1" applyAlignment="1">
      <alignment horizontal="right" vertical="center"/>
    </xf>
    <xf numFmtId="0" fontId="38" fillId="2" borderId="0" xfId="0" applyFont="1" applyFill="1" applyBorder="1" applyAlignment="1"/>
    <xf numFmtId="4" fontId="11" fillId="0" borderId="0" xfId="0" applyNumberFormat="1" applyFont="1" applyFill="1" applyBorder="1" applyAlignment="1">
      <alignment horizontal="right" vertical="center"/>
    </xf>
    <xf numFmtId="0" fontId="0" fillId="0" borderId="0" xfId="0" applyFill="1" applyAlignment="1">
      <alignment horizontal="right"/>
    </xf>
    <xf numFmtId="3" fontId="11" fillId="0" borderId="2" xfId="0" applyNumberFormat="1" applyFont="1" applyFill="1" applyBorder="1" applyAlignment="1">
      <alignment horizontal="right" vertical="center"/>
    </xf>
    <xf numFmtId="3" fontId="8" fillId="7" borderId="0" xfId="0" applyNumberFormat="1" applyFont="1" applyFill="1" applyBorder="1" applyAlignment="1">
      <alignment vertical="top"/>
    </xf>
    <xf numFmtId="0" fontId="37" fillId="0" borderId="0" xfId="0" quotePrefix="1" applyFont="1" applyFill="1" applyBorder="1" applyAlignment="1">
      <alignment horizontal="left" vertical="center"/>
    </xf>
    <xf numFmtId="0" fontId="13" fillId="2" borderId="0" xfId="0" quotePrefix="1" applyFont="1" applyFill="1" applyBorder="1" applyAlignment="1">
      <alignment horizontal="left" vertical="center"/>
    </xf>
    <xf numFmtId="0" fontId="9" fillId="0" borderId="0" xfId="0" quotePrefix="1" applyFont="1" applyFill="1" applyBorder="1" applyAlignment="1">
      <alignment horizontal="left" vertical="center"/>
    </xf>
    <xf numFmtId="0" fontId="17" fillId="0" borderId="0" xfId="0" quotePrefix="1" applyFont="1" applyFill="1" applyBorder="1" applyAlignment="1">
      <alignment horizontal="right" vertical="center"/>
    </xf>
    <xf numFmtId="0" fontId="17" fillId="0" borderId="2" xfId="0" quotePrefix="1" applyFont="1" applyFill="1" applyBorder="1" applyAlignment="1">
      <alignment horizontal="right" vertical="center"/>
    </xf>
    <xf numFmtId="3" fontId="11" fillId="0" borderId="0" xfId="0" quotePrefix="1" applyNumberFormat="1" applyFont="1" applyFill="1" applyBorder="1" applyAlignment="1">
      <alignment horizontal="right" vertical="center"/>
    </xf>
    <xf numFmtId="0" fontId="0" fillId="0" borderId="0" xfId="0" quotePrefix="1" applyFill="1"/>
    <xf numFmtId="3" fontId="7" fillId="0" borderId="0" xfId="0" quotePrefix="1" applyNumberFormat="1" applyFont="1" applyFill="1" applyBorder="1" applyAlignment="1">
      <alignment vertical="center"/>
    </xf>
    <xf numFmtId="3" fontId="7" fillId="0" borderId="0" xfId="0" quotePrefix="1" applyNumberFormat="1" applyFont="1" applyFill="1" applyBorder="1" applyAlignment="1">
      <alignment horizontal="left" vertical="center" indent="1"/>
    </xf>
    <xf numFmtId="3" fontId="11" fillId="0" borderId="0" xfId="0" quotePrefix="1" applyNumberFormat="1" applyFont="1" applyFill="1" applyBorder="1" applyAlignment="1">
      <alignment vertical="center"/>
    </xf>
    <xf numFmtId="3" fontId="14" fillId="3" borderId="0" xfId="0" quotePrefix="1" applyNumberFormat="1" applyFont="1" applyFill="1" applyBorder="1" applyAlignment="1">
      <alignment vertical="center"/>
    </xf>
    <xf numFmtId="3" fontId="8" fillId="0" borderId="0" xfId="0" quotePrefix="1" applyNumberFormat="1" applyFont="1" applyFill="1" applyBorder="1" applyAlignment="1">
      <alignment vertical="center"/>
    </xf>
    <xf numFmtId="3" fontId="14" fillId="0" borderId="0" xfId="0" quotePrefix="1" applyNumberFormat="1" applyFont="1" applyFill="1" applyBorder="1" applyAlignment="1">
      <alignment vertical="center"/>
    </xf>
    <xf numFmtId="166" fontId="7" fillId="0" borderId="0" xfId="2" applyNumberFormat="1" applyFont="1" applyFill="1" applyBorder="1"/>
    <xf numFmtId="0" fontId="0" fillId="0" borderId="0" xfId="0" applyFill="1" applyBorder="1" applyAlignment="1">
      <alignment horizontal="right"/>
    </xf>
    <xf numFmtId="0" fontId="13" fillId="2" borderId="0" xfId="0" applyFont="1" applyFill="1" applyAlignment="1">
      <alignment horizontal="left" vertical="center"/>
    </xf>
    <xf numFmtId="0" fontId="38" fillId="2" borderId="0" xfId="9" applyFont="1" applyFill="1"/>
    <xf numFmtId="0" fontId="44" fillId="0" borderId="0" xfId="9" applyFont="1"/>
    <xf numFmtId="0" fontId="9" fillId="0" borderId="0" xfId="0" applyFont="1" applyFill="1" applyAlignment="1">
      <alignment horizontal="left"/>
    </xf>
    <xf numFmtId="0" fontId="7" fillId="0" borderId="0" xfId="9" applyFont="1" applyFill="1"/>
    <xf numFmtId="164" fontId="11" fillId="0" borderId="0" xfId="10" applyNumberFormat="1" applyFont="1" applyFill="1" applyAlignment="1">
      <alignment horizontal="right" vertical="center"/>
    </xf>
    <xf numFmtId="164" fontId="17" fillId="0" borderId="1" xfId="0" applyNumberFormat="1" applyFont="1" applyFill="1" applyBorder="1" applyAlignment="1">
      <alignment horizontal="right"/>
    </xf>
    <xf numFmtId="49" fontId="7" fillId="0" borderId="0" xfId="9" applyNumberFormat="1" applyFont="1" applyFill="1" applyBorder="1" applyAlignment="1">
      <alignment horizontal="right"/>
    </xf>
    <xf numFmtId="49" fontId="7" fillId="0" borderId="4" xfId="9" applyNumberFormat="1" applyFont="1" applyFill="1" applyBorder="1" applyAlignment="1">
      <alignment horizontal="right"/>
    </xf>
    <xf numFmtId="167" fontId="11" fillId="0" borderId="0" xfId="0" applyNumberFormat="1" applyFont="1" applyFill="1" applyBorder="1" applyAlignment="1">
      <alignment vertical="center"/>
    </xf>
    <xf numFmtId="167" fontId="11" fillId="0" borderId="2" xfId="0" applyNumberFormat="1" applyFont="1" applyFill="1" applyBorder="1" applyAlignment="1">
      <alignment vertical="center"/>
    </xf>
    <xf numFmtId="167" fontId="11" fillId="0" borderId="0" xfId="0" applyNumberFormat="1" applyFont="1" applyFill="1" applyBorder="1" applyAlignment="1">
      <alignment horizontal="right" vertical="center"/>
    </xf>
    <xf numFmtId="3" fontId="0" fillId="0" borderId="0" xfId="0" applyNumberFormat="1"/>
    <xf numFmtId="167" fontId="7" fillId="0" borderId="0" xfId="9" applyNumberFormat="1" applyFont="1" applyFill="1" applyBorder="1" applyAlignment="1">
      <alignment horizontal="right"/>
    </xf>
    <xf numFmtId="167" fontId="7" fillId="0" borderId="2" xfId="9" applyNumberFormat="1" applyFont="1" applyFill="1" applyBorder="1" applyAlignment="1">
      <alignment horizontal="right"/>
    </xf>
    <xf numFmtId="167" fontId="44" fillId="0" borderId="0" xfId="9" applyNumberFormat="1" applyFont="1"/>
    <xf numFmtId="167" fontId="7" fillId="0" borderId="0" xfId="0" applyNumberFormat="1" applyFont="1" applyFill="1" applyBorder="1" applyAlignment="1">
      <alignment vertical="center"/>
    </xf>
    <xf numFmtId="167" fontId="7" fillId="0" borderId="2" xfId="0" applyNumberFormat="1" applyFont="1" applyFill="1" applyBorder="1" applyAlignment="1">
      <alignment vertical="center"/>
    </xf>
    <xf numFmtId="167" fontId="7" fillId="0" borderId="0" xfId="0" applyNumberFormat="1" applyFont="1" applyFill="1" applyBorder="1" applyAlignment="1">
      <alignment horizontal="right" vertical="center"/>
    </xf>
    <xf numFmtId="3" fontId="45" fillId="0" borderId="0" xfId="0" applyNumberFormat="1" applyFont="1"/>
    <xf numFmtId="167" fontId="7" fillId="0" borderId="0" xfId="11" applyNumberFormat="1" applyFont="1" applyFill="1" applyBorder="1" applyAlignment="1">
      <alignment horizontal="right"/>
    </xf>
    <xf numFmtId="167" fontId="7" fillId="0" borderId="0" xfId="9" applyNumberFormat="1" applyFont="1" applyFill="1"/>
    <xf numFmtId="0" fontId="44" fillId="0" borderId="0" xfId="9" applyFont="1" applyFill="1"/>
    <xf numFmtId="167" fontId="44" fillId="0" borderId="0" xfId="9" applyNumberFormat="1" applyFont="1" applyFill="1"/>
    <xf numFmtId="0" fontId="46" fillId="2" borderId="0" xfId="10" applyFont="1" applyFill="1" applyAlignment="1">
      <alignment horizontal="left" vertical="center"/>
    </xf>
    <xf numFmtId="0" fontId="10" fillId="0" borderId="0" xfId="9" applyFont="1"/>
    <xf numFmtId="164" fontId="17" fillId="0" borderId="1" xfId="0" applyNumberFormat="1" applyFont="1" applyFill="1" applyBorder="1" applyAlignment="1">
      <alignment horizontal="right" vertical="center"/>
    </xf>
    <xf numFmtId="0" fontId="7" fillId="0" borderId="4" xfId="9" applyFont="1" applyFill="1" applyBorder="1"/>
    <xf numFmtId="165" fontId="0" fillId="0" borderId="0" xfId="0" applyNumberFormat="1"/>
    <xf numFmtId="168" fontId="0" fillId="0" borderId="0" xfId="0" applyNumberFormat="1"/>
    <xf numFmtId="0" fontId="47" fillId="0" borderId="0" xfId="9" applyFont="1"/>
    <xf numFmtId="168" fontId="10" fillId="0" borderId="0" xfId="9" applyNumberFormat="1" applyFont="1"/>
    <xf numFmtId="167" fontId="7" fillId="0" borderId="0" xfId="0" applyNumberFormat="1" applyFont="1" applyFill="1" applyBorder="1"/>
    <xf numFmtId="167" fontId="7" fillId="0" borderId="2" xfId="0" applyNumberFormat="1" applyFont="1" applyFill="1" applyBorder="1"/>
    <xf numFmtId="167" fontId="7" fillId="0" borderId="0" xfId="0" applyNumberFormat="1" applyFont="1" applyFill="1" applyBorder="1" applyAlignment="1">
      <alignment horizontal="right"/>
    </xf>
    <xf numFmtId="0" fontId="8" fillId="0" borderId="0" xfId="0" applyFont="1" applyFill="1" applyAlignment="1">
      <alignment horizontal="left"/>
    </xf>
    <xf numFmtId="167" fontId="7" fillId="0" borderId="0" xfId="9" applyNumberFormat="1" applyFont="1" applyFill="1" applyBorder="1"/>
    <xf numFmtId="168" fontId="7" fillId="0" borderId="0" xfId="9" applyNumberFormat="1" applyFont="1" applyFill="1" applyBorder="1"/>
    <xf numFmtId="0" fontId="38" fillId="2" borderId="0" xfId="9" applyFont="1" applyFill="1" applyBorder="1"/>
    <xf numFmtId="168" fontId="38" fillId="2" borderId="0" xfId="9" applyNumberFormat="1" applyFont="1" applyFill="1" applyBorder="1"/>
    <xf numFmtId="0" fontId="47" fillId="0" borderId="0" xfId="9" applyFont="1" applyFill="1"/>
    <xf numFmtId="2" fontId="7" fillId="0" borderId="0" xfId="9" applyNumberFormat="1" applyFont="1" applyFill="1" applyBorder="1"/>
    <xf numFmtId="1" fontId="11" fillId="0" borderId="0" xfId="0" applyNumberFormat="1" applyFont="1" applyFill="1" applyBorder="1" applyAlignment="1">
      <alignment vertical="center"/>
    </xf>
    <xf numFmtId="1" fontId="11" fillId="0" borderId="2" xfId="0" applyNumberFormat="1" applyFont="1" applyFill="1" applyBorder="1" applyAlignment="1">
      <alignment vertical="center"/>
    </xf>
    <xf numFmtId="1" fontId="11" fillId="0" borderId="0" xfId="0" applyNumberFormat="1" applyFont="1" applyFill="1" applyBorder="1" applyAlignment="1">
      <alignment horizontal="right" vertical="center"/>
    </xf>
    <xf numFmtId="169" fontId="0" fillId="0" borderId="0" xfId="0" applyNumberFormat="1"/>
    <xf numFmtId="1" fontId="7" fillId="0" borderId="0" xfId="9" applyNumberFormat="1" applyFont="1" applyFill="1" applyBorder="1" applyAlignment="1">
      <alignment horizontal="right"/>
    </xf>
    <xf numFmtId="1" fontId="7" fillId="0" borderId="2" xfId="9" applyNumberFormat="1" applyFont="1" applyFill="1" applyBorder="1" applyAlignment="1">
      <alignment horizontal="right"/>
    </xf>
    <xf numFmtId="1" fontId="7" fillId="0" borderId="0" xfId="0" applyNumberFormat="1" applyFont="1" applyFill="1" applyBorder="1" applyAlignment="1">
      <alignment vertical="center"/>
    </xf>
    <xf numFmtId="1" fontId="7" fillId="0" borderId="2" xfId="0" applyNumberFormat="1" applyFont="1" applyFill="1" applyBorder="1" applyAlignment="1">
      <alignment vertical="center"/>
    </xf>
    <xf numFmtId="1" fontId="7" fillId="0" borderId="0" xfId="0" applyNumberFormat="1" applyFont="1" applyFill="1" applyBorder="1" applyAlignment="1">
      <alignment horizontal="right" vertical="center"/>
    </xf>
    <xf numFmtId="9" fontId="0" fillId="0" borderId="0" xfId="0" applyNumberFormat="1"/>
    <xf numFmtId="1" fontId="7" fillId="0" borderId="0" xfId="0" applyNumberFormat="1" applyFont="1" applyFill="1" applyBorder="1"/>
    <xf numFmtId="1" fontId="7" fillId="0" borderId="2" xfId="0" applyNumberFormat="1" applyFont="1" applyFill="1" applyBorder="1"/>
    <xf numFmtId="1" fontId="7" fillId="0" borderId="0" xfId="0" applyNumberFormat="1" applyFont="1" applyFill="1" applyBorder="1" applyAlignment="1">
      <alignment horizontal="right"/>
    </xf>
    <xf numFmtId="0" fontId="7" fillId="0" borderId="0" xfId="9" applyFont="1" applyFill="1" applyBorder="1"/>
    <xf numFmtId="2" fontId="11" fillId="0" borderId="0" xfId="0" applyNumberFormat="1" applyFont="1" applyFill="1" applyBorder="1" applyAlignment="1">
      <alignment vertical="center"/>
    </xf>
    <xf numFmtId="2" fontId="11" fillId="0" borderId="2" xfId="0" applyNumberFormat="1" applyFont="1" applyFill="1" applyBorder="1" applyAlignment="1">
      <alignment vertical="center"/>
    </xf>
    <xf numFmtId="2" fontId="11" fillId="0" borderId="0" xfId="0" applyNumberFormat="1" applyFont="1" applyFill="1" applyBorder="1" applyAlignment="1">
      <alignment horizontal="right" vertical="center"/>
    </xf>
    <xf numFmtId="2" fontId="7" fillId="0" borderId="0" xfId="9" applyNumberFormat="1" applyFont="1" applyFill="1" applyBorder="1" applyAlignment="1">
      <alignment horizontal="right"/>
    </xf>
    <xf numFmtId="2" fontId="7" fillId="0" borderId="2" xfId="9" applyNumberFormat="1" applyFont="1" applyFill="1" applyBorder="1" applyAlignment="1">
      <alignment horizontal="right"/>
    </xf>
    <xf numFmtId="2" fontId="7" fillId="0" borderId="0" xfId="0" applyNumberFormat="1" applyFont="1" applyFill="1" applyBorder="1" applyAlignment="1">
      <alignment vertical="center"/>
    </xf>
    <xf numFmtId="2" fontId="7" fillId="0" borderId="2" xfId="0" applyNumberFormat="1" applyFont="1" applyFill="1" applyBorder="1" applyAlignment="1">
      <alignment vertical="center"/>
    </xf>
    <xf numFmtId="2" fontId="7" fillId="0" borderId="0" xfId="0" applyNumberFormat="1" applyFont="1" applyFill="1" applyBorder="1" applyAlignment="1">
      <alignment horizontal="right" vertical="center"/>
    </xf>
    <xf numFmtId="2" fontId="7" fillId="0" borderId="0" xfId="0" applyNumberFormat="1" applyFont="1" applyFill="1" applyBorder="1"/>
    <xf numFmtId="2" fontId="7" fillId="0" borderId="2" xfId="0" applyNumberFormat="1" applyFont="1" applyFill="1" applyBorder="1"/>
    <xf numFmtId="2" fontId="7" fillId="0" borderId="0" xfId="0" applyNumberFormat="1" applyFont="1" applyFill="1" applyBorder="1" applyAlignment="1">
      <alignment horizontal="right"/>
    </xf>
    <xf numFmtId="0" fontId="7" fillId="0" borderId="0" xfId="9" applyFont="1" applyFill="1" applyAlignment="1">
      <alignment horizontal="right"/>
    </xf>
    <xf numFmtId="0" fontId="10" fillId="0" borderId="0" xfId="9" applyFont="1" applyFill="1"/>
    <xf numFmtId="0" fontId="48" fillId="0" borderId="0" xfId="9" applyFont="1"/>
    <xf numFmtId="0" fontId="13" fillId="2" borderId="0" xfId="0" quotePrefix="1" applyFont="1" applyFill="1" applyAlignment="1">
      <alignment horizontal="left" vertical="center"/>
    </xf>
    <xf numFmtId="3" fontId="38" fillId="2" borderId="0" xfId="0" applyNumberFormat="1" applyFont="1" applyFill="1" applyBorder="1"/>
    <xf numFmtId="0" fontId="38" fillId="2" borderId="0" xfId="0" applyFont="1" applyFill="1"/>
    <xf numFmtId="0" fontId="11" fillId="0" borderId="0" xfId="9" applyFont="1" applyFill="1" applyBorder="1" applyAlignment="1">
      <alignment horizontal="center" vertical="center"/>
    </xf>
    <xf numFmtId="3" fontId="11" fillId="0" borderId="0" xfId="0" quotePrefix="1" applyNumberFormat="1" applyFont="1" applyFill="1" applyAlignment="1">
      <alignment vertical="center"/>
    </xf>
    <xf numFmtId="3" fontId="7" fillId="0" borderId="0" xfId="0" applyNumberFormat="1" applyFont="1" applyFill="1" applyAlignment="1">
      <alignment horizontal="left" vertical="center" indent="1"/>
    </xf>
    <xf numFmtId="3" fontId="7" fillId="0" borderId="0" xfId="0" quotePrefix="1" applyNumberFormat="1" applyFont="1" applyFill="1" applyBorder="1" applyAlignment="1">
      <alignment horizontal="right"/>
    </xf>
    <xf numFmtId="0" fontId="49" fillId="0" borderId="0" xfId="0" applyFont="1" applyFill="1"/>
    <xf numFmtId="3" fontId="7" fillId="0" borderId="0" xfId="0" quotePrefix="1" applyNumberFormat="1" applyFont="1" applyFill="1" applyAlignment="1">
      <alignment horizontal="left" vertical="center" indent="1"/>
    </xf>
    <xf numFmtId="0" fontId="7" fillId="0" borderId="0" xfId="0" applyFont="1" applyFill="1"/>
    <xf numFmtId="3" fontId="41" fillId="0" borderId="0" xfId="0" applyNumberFormat="1" applyFont="1" applyFill="1"/>
    <xf numFmtId="3" fontId="44" fillId="0" borderId="0" xfId="9" applyNumberFormat="1" applyFont="1" applyFill="1"/>
    <xf numFmtId="2" fontId="0" fillId="0" borderId="0" xfId="0" applyNumberFormat="1" applyFill="1"/>
    <xf numFmtId="3" fontId="8" fillId="0" borderId="0" xfId="0" quotePrefix="1" applyNumberFormat="1" applyFont="1" applyFill="1" applyAlignment="1">
      <alignment vertical="center"/>
    </xf>
    <xf numFmtId="0" fontId="0" fillId="7" borderId="0" xfId="0" applyFill="1"/>
    <xf numFmtId="0" fontId="7" fillId="0" borderId="0" xfId="9" applyFont="1"/>
    <xf numFmtId="0" fontId="31" fillId="0" borderId="0" xfId="10" applyFont="1" applyFill="1" applyAlignment="1">
      <alignment horizontal="left" vertical="center"/>
    </xf>
    <xf numFmtId="0" fontId="50" fillId="0" borderId="0" xfId="9" applyFont="1" applyFill="1"/>
    <xf numFmtId="3" fontId="50" fillId="0" borderId="0" xfId="0" applyNumberFormat="1" applyFont="1" applyFill="1"/>
    <xf numFmtId="164" fontId="17" fillId="0" borderId="0" xfId="0" applyNumberFormat="1" applyFont="1" applyFill="1" applyBorder="1" applyAlignment="1">
      <alignment horizontal="center" vertical="center"/>
    </xf>
    <xf numFmtId="1" fontId="17" fillId="0" borderId="0" xfId="0" applyNumberFormat="1" applyFont="1" applyFill="1" applyBorder="1" applyAlignment="1">
      <alignment vertical="center"/>
    </xf>
    <xf numFmtId="164" fontId="17" fillId="0" borderId="1" xfId="0" applyNumberFormat="1" applyFont="1" applyFill="1" applyBorder="1" applyAlignment="1">
      <alignment horizontal="center" vertical="center"/>
    </xf>
    <xf numFmtId="0" fontId="50" fillId="0" borderId="1" xfId="9" applyFont="1" applyFill="1" applyBorder="1"/>
    <xf numFmtId="3" fontId="50" fillId="0" borderId="1" xfId="0" applyNumberFormat="1" applyFont="1" applyFill="1" applyBorder="1"/>
    <xf numFmtId="164" fontId="17" fillId="0" borderId="1" xfId="0" quotePrefix="1" applyNumberFormat="1" applyFont="1" applyFill="1" applyBorder="1" applyAlignment="1">
      <alignment horizontal="center" vertical="center"/>
    </xf>
    <xf numFmtId="169" fontId="7" fillId="0" borderId="0" xfId="0" applyNumberFormat="1" applyFont="1" applyFill="1" applyBorder="1"/>
    <xf numFmtId="168" fontId="7" fillId="0" borderId="0" xfId="2" applyNumberFormat="1" applyFont="1" applyFill="1" applyBorder="1"/>
    <xf numFmtId="9" fontId="7" fillId="0" borderId="0" xfId="2" applyFont="1" applyFill="1" applyBorder="1"/>
    <xf numFmtId="49" fontId="8" fillId="0" borderId="0" xfId="0" applyNumberFormat="1" applyFont="1" applyFill="1" applyAlignment="1">
      <alignment vertical="top"/>
    </xf>
    <xf numFmtId="4" fontId="7" fillId="0" borderId="0" xfId="0" applyNumberFormat="1" applyFont="1" applyFill="1" applyBorder="1"/>
    <xf numFmtId="169" fontId="7" fillId="0" borderId="0" xfId="0" applyNumberFormat="1" applyFont="1" applyFill="1" applyBorder="1" applyAlignment="1">
      <alignment horizontal="right"/>
    </xf>
    <xf numFmtId="167" fontId="7" fillId="0" borderId="0" xfId="11" applyNumberFormat="1" applyFont="1" applyFill="1" applyAlignment="1">
      <alignment horizontal="right"/>
    </xf>
    <xf numFmtId="9" fontId="7" fillId="0" borderId="0" xfId="2" applyNumberFormat="1" applyFont="1" applyFill="1" applyAlignment="1">
      <alignment horizontal="right"/>
    </xf>
    <xf numFmtId="168" fontId="0" fillId="0" borderId="0" xfId="2" applyNumberFormat="1" applyFont="1"/>
    <xf numFmtId="0" fontId="51" fillId="2" borderId="0" xfId="10" applyFont="1" applyFill="1" applyBorder="1" applyAlignment="1">
      <alignment horizontal="left" vertical="center"/>
    </xf>
    <xf numFmtId="0" fontId="38" fillId="2" borderId="0" xfId="6" applyFont="1" applyFill="1" applyBorder="1"/>
    <xf numFmtId="0" fontId="10" fillId="0" borderId="0" xfId="6"/>
    <xf numFmtId="0" fontId="9" fillId="0" borderId="0" xfId="6" applyFont="1" applyFill="1" applyBorder="1" applyAlignment="1">
      <alignment horizontal="left" vertical="center"/>
    </xf>
    <xf numFmtId="0" fontId="31" fillId="0" borderId="0" xfId="10" applyFont="1" applyFill="1" applyBorder="1" applyAlignment="1">
      <alignment horizontal="left" vertical="center"/>
    </xf>
    <xf numFmtId="0" fontId="7" fillId="0" borderId="0" xfId="6" applyFont="1" applyFill="1" applyBorder="1"/>
    <xf numFmtId="0" fontId="17" fillId="0" borderId="1" xfId="6" applyFont="1" applyFill="1" applyBorder="1" applyAlignment="1">
      <alignment horizontal="right" vertical="center"/>
    </xf>
    <xf numFmtId="10" fontId="7" fillId="0" borderId="0" xfId="12" applyNumberFormat="1" applyFont="1" applyFill="1" applyBorder="1" applyAlignment="1">
      <alignment vertical="center"/>
    </xf>
    <xf numFmtId="10" fontId="0" fillId="0" borderId="0" xfId="13" applyNumberFormat="1" applyFont="1"/>
    <xf numFmtId="10" fontId="10" fillId="0" borderId="0" xfId="6" applyNumberFormat="1"/>
    <xf numFmtId="10" fontId="11" fillId="0" borderId="0" xfId="6" applyNumberFormat="1" applyFont="1" applyFill="1" applyBorder="1" applyAlignment="1">
      <alignment vertical="center"/>
    </xf>
    <xf numFmtId="10" fontId="7" fillId="0" borderId="0" xfId="9" applyNumberFormat="1" applyFont="1" applyFill="1" applyBorder="1" applyAlignment="1">
      <alignment horizontal="right"/>
    </xf>
    <xf numFmtId="10" fontId="11" fillId="0" borderId="0" xfId="9" applyNumberFormat="1" applyFont="1" applyFill="1" applyBorder="1" applyAlignment="1">
      <alignment horizontal="right"/>
    </xf>
    <xf numFmtId="10" fontId="7" fillId="0" borderId="0" xfId="6" applyNumberFormat="1" applyFont="1" applyFill="1" applyBorder="1" applyAlignment="1">
      <alignment vertical="center"/>
    </xf>
    <xf numFmtId="10" fontId="11" fillId="0" borderId="0" xfId="12" applyNumberFormat="1" applyFont="1" applyFill="1" applyBorder="1" applyAlignment="1">
      <alignment vertical="center"/>
    </xf>
    <xf numFmtId="3" fontId="15" fillId="0" borderId="0" xfId="6" applyNumberFormat="1" applyFont="1" applyFill="1" applyBorder="1" applyAlignment="1">
      <alignment vertical="center"/>
    </xf>
    <xf numFmtId="10" fontId="7" fillId="0" borderId="0" xfId="6" applyNumberFormat="1" applyFont="1" applyFill="1" applyBorder="1"/>
    <xf numFmtId="0" fontId="7" fillId="0" borderId="0" xfId="0" applyFont="1"/>
    <xf numFmtId="0" fontId="53" fillId="0" borderId="0" xfId="0" applyNumberFormat="1" applyFont="1" applyFill="1" applyBorder="1" applyAlignment="1">
      <alignment horizontal="left" vertical="center"/>
    </xf>
    <xf numFmtId="0" fontId="7" fillId="0" borderId="0" xfId="0" applyFont="1" applyFill="1" applyAlignment="1">
      <alignment horizontal="right" vertical="center"/>
    </xf>
    <xf numFmtId="170" fontId="17" fillId="0" borderId="1" xfId="0" applyNumberFormat="1" applyFont="1" applyFill="1" applyBorder="1" applyAlignment="1">
      <alignment horizontal="right" vertical="center"/>
    </xf>
    <xf numFmtId="0" fontId="54" fillId="0" borderId="0" xfId="0" applyFont="1" applyAlignment="1">
      <alignment horizontal="center"/>
    </xf>
    <xf numFmtId="3" fontId="11" fillId="0" borderId="0" xfId="0" applyNumberFormat="1" applyFont="1" applyFill="1" applyBorder="1" applyAlignment="1">
      <alignment horizontal="right"/>
    </xf>
    <xf numFmtId="172" fontId="54" fillId="0" borderId="0" xfId="1" applyNumberFormat="1" applyFont="1"/>
    <xf numFmtId="171" fontId="1" fillId="0" borderId="0" xfId="1" applyFont="1"/>
    <xf numFmtId="3" fontId="7" fillId="0" borderId="0" xfId="0" applyNumberFormat="1" applyFont="1" applyFill="1" applyAlignment="1">
      <alignment horizontal="left" vertical="center" indent="2"/>
    </xf>
    <xf numFmtId="3" fontId="7" fillId="0" borderId="0" xfId="0" applyNumberFormat="1" applyFont="1" applyFill="1" applyAlignment="1">
      <alignment horizontal="left" vertical="center"/>
    </xf>
    <xf numFmtId="14" fontId="40" fillId="0" borderId="0" xfId="0" applyNumberFormat="1" applyFont="1" applyFill="1" applyAlignment="1">
      <alignment vertical="center"/>
    </xf>
    <xf numFmtId="3" fontId="40" fillId="0" borderId="0" xfId="0" applyNumberFormat="1" applyFont="1" applyFill="1" applyAlignment="1">
      <alignment vertical="center"/>
    </xf>
    <xf numFmtId="3" fontId="41" fillId="0" borderId="0" xfId="0" applyNumberFormat="1" applyFont="1" applyFill="1" applyBorder="1" applyAlignment="1">
      <alignment horizontal="right"/>
    </xf>
    <xf numFmtId="3" fontId="8" fillId="0" borderId="0" xfId="6" applyNumberFormat="1" applyFont="1" applyFill="1" applyBorder="1" applyAlignment="1">
      <alignment vertical="center"/>
    </xf>
    <xf numFmtId="0" fontId="55" fillId="2" borderId="0" xfId="5" applyFont="1" applyFill="1"/>
    <xf numFmtId="0" fontId="1" fillId="0" borderId="0" xfId="5" applyAlignment="1">
      <alignment horizontal="right"/>
    </xf>
    <xf numFmtId="0" fontId="1" fillId="0" borderId="0" xfId="5"/>
    <xf numFmtId="0" fontId="9" fillId="7" borderId="0" xfId="0" applyFont="1" applyFill="1" applyBorder="1" applyAlignment="1">
      <alignment horizontal="left" vertical="center"/>
    </xf>
    <xf numFmtId="0" fontId="9" fillId="0" borderId="0" xfId="5" applyFont="1" applyFill="1" applyAlignment="1">
      <alignment horizontal="left" vertical="center"/>
    </xf>
    <xf numFmtId="0" fontId="7" fillId="0" borderId="0" xfId="5" applyFont="1" applyFill="1" applyAlignment="1">
      <alignment vertical="center"/>
    </xf>
    <xf numFmtId="164" fontId="7" fillId="0" borderId="0" xfId="5" applyNumberFormat="1" applyFont="1" applyFill="1" applyBorder="1" applyAlignment="1">
      <alignment horizontal="right" vertical="center"/>
    </xf>
    <xf numFmtId="3" fontId="7" fillId="0" borderId="0" xfId="5" applyNumberFormat="1" applyFont="1" applyFill="1" applyBorder="1" applyAlignment="1">
      <alignment horizontal="right"/>
    </xf>
    <xf numFmtId="3" fontId="1" fillId="0" borderId="0" xfId="5" applyNumberFormat="1"/>
    <xf numFmtId="3" fontId="11" fillId="0" borderId="0" xfId="5" applyNumberFormat="1" applyFont="1" applyFill="1" applyBorder="1" applyAlignment="1">
      <alignment horizontal="right"/>
    </xf>
    <xf numFmtId="165" fontId="56" fillId="0" borderId="0" xfId="5" applyNumberFormat="1" applyFont="1" applyFill="1"/>
    <xf numFmtId="165" fontId="12" fillId="0" borderId="0" xfId="5" applyNumberFormat="1" applyFont="1" applyFill="1"/>
    <xf numFmtId="0" fontId="0" fillId="0" borderId="0" xfId="5" applyFont="1"/>
    <xf numFmtId="3" fontId="12" fillId="0" borderId="0" xfId="5" applyNumberFormat="1" applyFont="1" applyFill="1"/>
    <xf numFmtId="0" fontId="1" fillId="0" borderId="0" xfId="5" applyFill="1" applyBorder="1"/>
    <xf numFmtId="0" fontId="1" fillId="0" borderId="0" xfId="5" applyFont="1" applyAlignment="1">
      <alignment horizontal="right"/>
    </xf>
    <xf numFmtId="3" fontId="11" fillId="0" borderId="0" xfId="5" applyNumberFormat="1" applyFont="1" applyFill="1" applyBorder="1" applyAlignment="1">
      <alignment vertical="center"/>
    </xf>
    <xf numFmtId="3" fontId="8" fillId="0" borderId="0" xfId="5" applyNumberFormat="1" applyFont="1" applyFill="1" applyAlignment="1">
      <alignment vertical="center"/>
    </xf>
    <xf numFmtId="165" fontId="12" fillId="0" borderId="0" xfId="5" applyNumberFormat="1" applyFont="1" applyFill="1" applyBorder="1"/>
    <xf numFmtId="0" fontId="1" fillId="0" borderId="0" xfId="5" applyFill="1"/>
    <xf numFmtId="173" fontId="1" fillId="0" borderId="0" xfId="5" applyNumberFormat="1"/>
    <xf numFmtId="0" fontId="57" fillId="0" borderId="0" xfId="5" applyFont="1"/>
    <xf numFmtId="3" fontId="56" fillId="0" borderId="0" xfId="5" applyNumberFormat="1" applyFont="1" applyFill="1"/>
    <xf numFmtId="168" fontId="1" fillId="0" borderId="0" xfId="2" applyNumberFormat="1"/>
    <xf numFmtId="0" fontId="39" fillId="0" borderId="0" xfId="5" applyFont="1"/>
    <xf numFmtId="0" fontId="13" fillId="2" borderId="0" xfId="5" quotePrefix="1" applyFont="1" applyFill="1" applyAlignment="1">
      <alignment horizontal="left" vertical="center"/>
    </xf>
    <xf numFmtId="3" fontId="11" fillId="0" borderId="0" xfId="5" quotePrefix="1" applyNumberFormat="1" applyFont="1" applyFill="1" applyAlignment="1">
      <alignment vertical="center"/>
    </xf>
    <xf numFmtId="3" fontId="7" fillId="0" borderId="0" xfId="5" quotePrefix="1" applyNumberFormat="1" applyFont="1" applyFill="1" applyAlignment="1">
      <alignment vertical="center"/>
    </xf>
    <xf numFmtId="3" fontId="7" fillId="0" borderId="0" xfId="5" quotePrefix="1" applyNumberFormat="1" applyFont="1" applyFill="1" applyAlignment="1">
      <alignment horizontal="left" vertical="center" indent="2"/>
    </xf>
    <xf numFmtId="3" fontId="7" fillId="0" borderId="0" xfId="5" applyNumberFormat="1" applyFont="1" applyFill="1" applyAlignment="1">
      <alignment horizontal="left" vertical="center" indent="2"/>
    </xf>
    <xf numFmtId="3" fontId="7" fillId="0" borderId="0" xfId="5" quotePrefix="1" applyNumberFormat="1" applyFont="1" applyFill="1" applyBorder="1" applyAlignment="1">
      <alignment horizontal="right"/>
    </xf>
    <xf numFmtId="165" fontId="41" fillId="0" borderId="0" xfId="5" applyNumberFormat="1" applyFont="1" applyFill="1" applyBorder="1" applyAlignment="1">
      <alignment horizontal="right"/>
    </xf>
    <xf numFmtId="3" fontId="8" fillId="0" borderId="0" xfId="0" applyNumberFormat="1" applyFont="1" applyFill="1" applyBorder="1" applyAlignment="1">
      <alignment horizontal="left" vertical="top" wrapText="1"/>
    </xf>
    <xf numFmtId="0" fontId="17" fillId="0" borderId="0" xfId="0" applyFont="1" applyFill="1" applyBorder="1" applyAlignment="1">
      <alignment horizontal="center" wrapText="1"/>
    </xf>
    <xf numFmtId="0" fontId="17" fillId="0" borderId="2" xfId="0" applyFont="1" applyFill="1" applyBorder="1" applyAlignment="1">
      <alignment horizontal="center" wrapText="1"/>
    </xf>
    <xf numFmtId="0" fontId="17" fillId="0" borderId="3" xfId="0" applyFont="1" applyFill="1" applyBorder="1" applyAlignment="1">
      <alignment horizontal="center" wrapText="1"/>
    </xf>
    <xf numFmtId="0" fontId="16" fillId="0" borderId="1" xfId="0" applyFont="1" applyFill="1" applyBorder="1" applyAlignment="1">
      <alignment horizontal="center" vertical="center"/>
    </xf>
    <xf numFmtId="0" fontId="17" fillId="0" borderId="0" xfId="6" applyFont="1" applyFill="1" applyBorder="1" applyAlignment="1">
      <alignment horizontal="center" wrapText="1"/>
    </xf>
    <xf numFmtId="0" fontId="52" fillId="0" borderId="0" xfId="6" applyFont="1" applyFill="1" applyBorder="1" applyAlignment="1">
      <alignment horizontal="center"/>
    </xf>
    <xf numFmtId="0" fontId="17" fillId="0" borderId="0" xfId="0" applyFont="1" applyFill="1" applyBorder="1" applyAlignment="1">
      <alignment horizontal="center" vertical="center"/>
    </xf>
    <xf numFmtId="0" fontId="17" fillId="0" borderId="0" xfId="5" applyFont="1" applyFill="1" applyAlignment="1">
      <alignment horizontal="center" vertical="center" wrapText="1"/>
    </xf>
    <xf numFmtId="0" fontId="17" fillId="0" borderId="0" xfId="5" quotePrefix="1" applyFont="1" applyFill="1" applyAlignment="1">
      <alignment horizontal="center" vertical="center" wrapText="1"/>
    </xf>
  </cellXfs>
  <cellStyles count="14">
    <cellStyle name="Millares" xfId="1" builtinId="3"/>
    <cellStyle name="Normal" xfId="0" builtinId="0"/>
    <cellStyle name="Normal 193" xfId="6" xr:uid="{00000000-0005-0000-0000-000002000000}"/>
    <cellStyle name="Normal 2" xfId="8" xr:uid="{00000000-0005-0000-0000-000003000000}"/>
    <cellStyle name="Normal 2 3" xfId="4" xr:uid="{00000000-0005-0000-0000-000004000000}"/>
    <cellStyle name="Normal 29" xfId="5" xr:uid="{00000000-0005-0000-0000-000005000000}"/>
    <cellStyle name="Normal_08 pagweb-4T08 1 2" xfId="7" xr:uid="{00000000-0005-0000-0000-000006000000}"/>
    <cellStyle name="Normal_ANEXO" xfId="9" xr:uid="{00000000-0005-0000-0000-000007000000}"/>
    <cellStyle name="Normal_Anexo analistas 1T06 vínculos" xfId="10" xr:uid="{00000000-0005-0000-0000-000008000000}"/>
    <cellStyle name="Normal_Series web Sabadell 1T10-desprotegido" xfId="3" xr:uid="{00000000-0005-0000-0000-000009000000}"/>
    <cellStyle name="Porcentaje" xfId="2" builtinId="5"/>
    <cellStyle name="Porcentaje 16" xfId="13" xr:uid="{00000000-0005-0000-0000-00000B000000}"/>
    <cellStyle name="Porcentaje 2" xfId="11" xr:uid="{00000000-0005-0000-0000-00000C000000}"/>
    <cellStyle name="Porcentaje 4" xfId="12" xr:uid="{00000000-0005-0000-0000-00000D000000}"/>
  </cellStyles>
  <dxfs count="5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C00000"/>
        </patternFill>
      </fill>
    </dxf>
    <dxf>
      <fill>
        <patternFill>
          <bgColor rgb="FFC00000"/>
        </patternFill>
      </fill>
    </dxf>
    <dxf>
      <fill>
        <patternFill>
          <bgColor rgb="FFC0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C0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ont>
        <color rgb="FFFF0000"/>
      </font>
    </dxf>
    <dxf>
      <fill>
        <patternFill>
          <bgColor rgb="FFC00000"/>
        </patternFill>
      </fill>
    </dxf>
    <dxf>
      <font>
        <color rgb="FFFF0000"/>
      </font>
    </dxf>
    <dxf>
      <fill>
        <patternFill>
          <bgColor rgb="FFC0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6.xml"/></Relationships>
</file>

<file path=xl/ctrlProps/ctrlProp1.xml><?xml version="1.0" encoding="utf-8"?>
<formControlPr xmlns="http://schemas.microsoft.com/office/spreadsheetml/2009/9/main" objectType="Radio" firstButton="1" fmlaLink="$F$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ICE!C16"/></Relationships>
</file>

<file path=xl/drawings/_rels/drawing11.xml.rels><?xml version="1.0" encoding="UTF-8" standalone="yes"?>
<Relationships xmlns="http://schemas.openxmlformats.org/package/2006/relationships"><Relationship Id="rId1" Type="http://schemas.openxmlformats.org/officeDocument/2006/relationships/hyperlink" Target="#INDICE!C17"/></Relationships>
</file>

<file path=xl/drawings/_rels/drawing12.xml.rels><?xml version="1.0" encoding="UTF-8" standalone="yes"?>
<Relationships xmlns="http://schemas.openxmlformats.org/package/2006/relationships"><Relationship Id="rId1" Type="http://schemas.openxmlformats.org/officeDocument/2006/relationships/hyperlink" Target="#INDICE!C18"/></Relationships>
</file>

<file path=xl/drawings/_rels/drawing13.xml.rels><?xml version="1.0" encoding="UTF-8" standalone="yes"?>
<Relationships xmlns="http://schemas.openxmlformats.org/package/2006/relationships"><Relationship Id="rId1" Type="http://schemas.openxmlformats.org/officeDocument/2006/relationships/hyperlink" Target="#INDICE!C19"/></Relationships>
</file>

<file path=xl/drawings/_rels/drawing14.xml.rels><?xml version="1.0" encoding="UTF-8" standalone="yes"?>
<Relationships xmlns="http://schemas.openxmlformats.org/package/2006/relationships"><Relationship Id="rId1" Type="http://schemas.openxmlformats.org/officeDocument/2006/relationships/hyperlink" Target="#INDICE!C22"/></Relationships>
</file>

<file path=xl/drawings/_rels/drawing15.xml.rels><?xml version="1.0" encoding="UTF-8" standalone="yes"?>
<Relationships xmlns="http://schemas.openxmlformats.org/package/2006/relationships"><Relationship Id="rId1" Type="http://schemas.openxmlformats.org/officeDocument/2006/relationships/hyperlink" Target="#INDICE!C24"/></Relationships>
</file>

<file path=xl/drawings/_rels/drawing16.xml.rels><?xml version="1.0" encoding="UTF-8" standalone="yes"?>
<Relationships xmlns="http://schemas.openxmlformats.org/package/2006/relationships"><Relationship Id="rId1" Type="http://schemas.openxmlformats.org/officeDocument/2006/relationships/hyperlink" Target="#INDICE!C24"/></Relationships>
</file>

<file path=xl/drawings/_rels/drawing17.xml.rels><?xml version="1.0" encoding="UTF-8" standalone="yes"?>
<Relationships xmlns="http://schemas.openxmlformats.org/package/2006/relationships"><Relationship Id="rId1" Type="http://schemas.openxmlformats.org/officeDocument/2006/relationships/hyperlink" Target="#INDICE!C25"/></Relationships>
</file>

<file path=xl/drawings/_rels/drawing18.xml.rels><?xml version="1.0" encoding="UTF-8" standalone="yes"?>
<Relationships xmlns="http://schemas.openxmlformats.org/package/2006/relationships"><Relationship Id="rId1" Type="http://schemas.openxmlformats.org/officeDocument/2006/relationships/hyperlink" Target="#INDICE!C26"/></Relationships>
</file>

<file path=xl/drawings/_rels/drawing19.xml.rels><?xml version="1.0" encoding="UTF-8" standalone="yes"?>
<Relationships xmlns="http://schemas.openxmlformats.org/package/2006/relationships"><Relationship Id="rId1" Type="http://schemas.openxmlformats.org/officeDocument/2006/relationships/hyperlink" Target="#INDICE!C27"/></Relationships>
</file>

<file path=xl/drawings/_rels/drawing2.xml.rels><?xml version="1.0" encoding="UTF-8" standalone="yes"?>
<Relationships xmlns="http://schemas.openxmlformats.org/package/2006/relationships"><Relationship Id="rId1" Type="http://schemas.openxmlformats.org/officeDocument/2006/relationships/hyperlink" Target="#INDICE!C5"/></Relationships>
</file>

<file path=xl/drawings/_rels/drawing20.xml.rels><?xml version="1.0" encoding="UTF-8" standalone="yes"?>
<Relationships xmlns="http://schemas.openxmlformats.org/package/2006/relationships"><Relationship Id="rId1" Type="http://schemas.openxmlformats.org/officeDocument/2006/relationships/hyperlink" Target="#INDICE!C31"/></Relationships>
</file>

<file path=xl/drawings/_rels/drawing21.xml.rels><?xml version="1.0" encoding="UTF-8" standalone="yes"?>
<Relationships xmlns="http://schemas.openxmlformats.org/package/2006/relationships"><Relationship Id="rId1" Type="http://schemas.openxmlformats.org/officeDocument/2006/relationships/hyperlink" Target="#INDICE!C32"/></Relationships>
</file>

<file path=xl/drawings/_rels/drawing22.xml.rels><?xml version="1.0" encoding="UTF-8" standalone="yes"?>
<Relationships xmlns="http://schemas.openxmlformats.org/package/2006/relationships"><Relationship Id="rId1" Type="http://schemas.openxmlformats.org/officeDocument/2006/relationships/hyperlink" Target="#INDICE!C33"/></Relationships>
</file>

<file path=xl/drawings/_rels/drawing23.xml.rels><?xml version="1.0" encoding="UTF-8" standalone="yes"?>
<Relationships xmlns="http://schemas.openxmlformats.org/package/2006/relationships"><Relationship Id="rId1" Type="http://schemas.openxmlformats.org/officeDocument/2006/relationships/hyperlink" Target="#INDICE!C34"/></Relationships>
</file>

<file path=xl/drawings/_rels/drawing24.xml.rels><?xml version="1.0" encoding="UTF-8" standalone="yes"?>
<Relationships xmlns="http://schemas.openxmlformats.org/package/2006/relationships"><Relationship Id="rId1" Type="http://schemas.openxmlformats.org/officeDocument/2006/relationships/hyperlink" Target="#INDICE!C35"/></Relationships>
</file>

<file path=xl/drawings/_rels/drawing3.xml.rels><?xml version="1.0" encoding="UTF-8" standalone="yes"?>
<Relationships xmlns="http://schemas.openxmlformats.org/package/2006/relationships"><Relationship Id="rId1" Type="http://schemas.openxmlformats.org/officeDocument/2006/relationships/hyperlink" Target="#INDICE!C7"/></Relationships>
</file>

<file path=xl/drawings/_rels/drawing4.xml.rels><?xml version="1.0" encoding="UTF-8" standalone="yes"?>
<Relationships xmlns="http://schemas.openxmlformats.org/package/2006/relationships"><Relationship Id="rId1" Type="http://schemas.openxmlformats.org/officeDocument/2006/relationships/hyperlink" Target="#INDICE!C9"/></Relationships>
</file>

<file path=xl/drawings/_rels/drawing5.xml.rels><?xml version="1.0" encoding="UTF-8" standalone="yes"?>
<Relationships xmlns="http://schemas.openxmlformats.org/package/2006/relationships"><Relationship Id="rId1" Type="http://schemas.openxmlformats.org/officeDocument/2006/relationships/hyperlink" Target="#INDICE!C11"/></Relationships>
</file>

<file path=xl/drawings/_rels/drawing6.xml.rels><?xml version="1.0" encoding="UTF-8" standalone="yes"?>
<Relationships xmlns="http://schemas.openxmlformats.org/package/2006/relationships"><Relationship Id="rId1" Type="http://schemas.openxmlformats.org/officeDocument/2006/relationships/hyperlink" Target="#INDICE!C12"/></Relationships>
</file>

<file path=xl/drawings/_rels/drawing7.xml.rels><?xml version="1.0" encoding="UTF-8" standalone="yes"?>
<Relationships xmlns="http://schemas.openxmlformats.org/package/2006/relationships"><Relationship Id="rId1" Type="http://schemas.openxmlformats.org/officeDocument/2006/relationships/hyperlink" Target="#INDICE!C13"/></Relationships>
</file>

<file path=xl/drawings/_rels/drawing8.xml.rels><?xml version="1.0" encoding="UTF-8" standalone="yes"?>
<Relationships xmlns="http://schemas.openxmlformats.org/package/2006/relationships"><Relationship Id="rId1" Type="http://schemas.openxmlformats.org/officeDocument/2006/relationships/hyperlink" Target="#INDICE!C14"/></Relationships>
</file>

<file path=xl/drawings/_rels/drawing9.xml.rels><?xml version="1.0" encoding="UTF-8" standalone="yes"?>
<Relationships xmlns="http://schemas.openxmlformats.org/package/2006/relationships"><Relationship Id="rId1" Type="http://schemas.openxmlformats.org/officeDocument/2006/relationships/hyperlink" Target="#INDICE!C15"/></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419100</xdr:colOff>
          <xdr:row>6</xdr:row>
          <xdr:rowOff>266700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419100</xdr:colOff>
          <xdr:row>6</xdr:row>
          <xdr:rowOff>266700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6</xdr:row>
          <xdr:rowOff>0</xdr:rowOff>
        </xdr:from>
        <xdr:to>
          <xdr:col>0</xdr:col>
          <xdr:colOff>412750</xdr:colOff>
          <xdr:row>6</xdr:row>
          <xdr:rowOff>228600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11906</xdr:colOff>
      <xdr:row>5</xdr:row>
      <xdr:rowOff>83344</xdr:rowOff>
    </xdr:from>
    <xdr:to>
      <xdr:col>0</xdr:col>
      <xdr:colOff>309563</xdr:colOff>
      <xdr:row>6</xdr:row>
      <xdr:rowOff>273843</xdr:rowOff>
    </xdr:to>
    <xdr:sp macro="" textlink="">
      <xdr:nvSpPr>
        <xdr:cNvPr id="8" name="1 CuadroTexto">
          <a:extLst>
            <a:ext uri="{FF2B5EF4-FFF2-40B4-BE49-F238E27FC236}">
              <a16:creationId xmlns:a16="http://schemas.microsoft.com/office/drawing/2014/main" id="{00000000-0008-0000-0100-000008000000}"/>
            </a:ext>
          </a:extLst>
        </xdr:cNvPr>
        <xdr:cNvSpPr txBox="1"/>
      </xdr:nvSpPr>
      <xdr:spPr>
        <a:xfrm>
          <a:off x="11906" y="1476375"/>
          <a:ext cx="297657" cy="27384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mc:AlternateContent xmlns:mc="http://schemas.openxmlformats.org/markup-compatibility/2006">
    <mc:Choice xmlns:a14="http://schemas.microsoft.com/office/drawing/2010/main" Requires="a14">
      <xdr:twoCellAnchor editAs="oneCell">
        <xdr:from>
          <xdr:col>0</xdr:col>
          <xdr:colOff>285750</xdr:colOff>
          <xdr:row>5</xdr:row>
          <xdr:rowOff>209550</xdr:rowOff>
        </xdr:from>
        <xdr:to>
          <xdr:col>1</xdr:col>
          <xdr:colOff>260350</xdr:colOff>
          <xdr:row>7</xdr:row>
          <xdr:rowOff>247650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0A5FB4"/>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ESPAÑOL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xdr:row>
          <xdr:rowOff>190500</xdr:rowOff>
        </xdr:from>
        <xdr:to>
          <xdr:col>1</xdr:col>
          <xdr:colOff>260350</xdr:colOff>
          <xdr:row>9</xdr:row>
          <xdr:rowOff>165100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A7CFE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ENGLISH</a:t>
              </a:r>
            </a:p>
          </xdr:txBody>
        </xdr:sp>
        <xdr:clientData/>
      </xdr:twoCellAnchor>
    </mc:Choice>
    <mc:Fallback/>
  </mc:AlternateContent>
  <xdr:twoCellAnchor editAs="oneCell">
    <xdr:from>
      <xdr:col>0</xdr:col>
      <xdr:colOff>416719</xdr:colOff>
      <xdr:row>0</xdr:row>
      <xdr:rowOff>273844</xdr:rowOff>
    </xdr:from>
    <xdr:to>
      <xdr:col>1</xdr:col>
      <xdr:colOff>607219</xdr:colOff>
      <xdr:row>4</xdr:row>
      <xdr:rowOff>33338</xdr:rowOff>
    </xdr:to>
    <xdr:pic>
      <xdr:nvPicPr>
        <xdr:cNvPr id="11" name="4 Imagen">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719" y="273844"/>
          <a:ext cx="2886075" cy="940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419100</xdr:colOff>
          <xdr:row>6</xdr:row>
          <xdr:rowOff>228600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419100</xdr:colOff>
          <xdr:row>6</xdr:row>
          <xdr:rowOff>228600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412750</xdr:colOff>
          <xdr:row>6</xdr:row>
          <xdr:rowOff>228600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0099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11906</xdr:colOff>
      <xdr:row>5</xdr:row>
      <xdr:rowOff>0</xdr:rowOff>
    </xdr:from>
    <xdr:to>
      <xdr:col>0</xdr:col>
      <xdr:colOff>287532</xdr:colOff>
      <xdr:row>6</xdr:row>
      <xdr:rowOff>267619</xdr:rowOff>
    </xdr:to>
    <xdr:sp macro="" textlink="">
      <xdr:nvSpPr>
        <xdr:cNvPr id="18" name="7 CuadroTexto">
          <a:extLst>
            <a:ext uri="{FF2B5EF4-FFF2-40B4-BE49-F238E27FC236}">
              <a16:creationId xmlns:a16="http://schemas.microsoft.com/office/drawing/2014/main" id="{00000000-0008-0000-0100-000012000000}"/>
            </a:ext>
          </a:extLst>
        </xdr:cNvPr>
        <xdr:cNvSpPr txBox="1"/>
      </xdr:nvSpPr>
      <xdr:spPr>
        <a:xfrm>
          <a:off x="11906" y="1476375"/>
          <a:ext cx="275626" cy="2676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bwMode="auto">
        <a:xfrm>
          <a:off x="111089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bwMode="auto">
        <a:xfrm>
          <a:off x="10070727"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bwMode="auto">
        <a:xfrm>
          <a:off x="10699377"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bwMode="auto">
        <a:xfrm>
          <a:off x="10651752" y="64770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291353</xdr:colOff>
      <xdr:row>0</xdr:row>
      <xdr:rowOff>143995</xdr:rowOff>
    </xdr:from>
    <xdr:to>
      <xdr:col>10</xdr:col>
      <xdr:colOff>414618</xdr:colOff>
      <xdr:row>4</xdr:row>
      <xdr:rowOff>11216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bwMode="auto">
        <a:xfrm>
          <a:off x="8339978" y="143995"/>
          <a:ext cx="961465" cy="657796"/>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291353</xdr:colOff>
      <xdr:row>0</xdr:row>
      <xdr:rowOff>143995</xdr:rowOff>
    </xdr:from>
    <xdr:to>
      <xdr:col>10</xdr:col>
      <xdr:colOff>414618</xdr:colOff>
      <xdr:row>4</xdr:row>
      <xdr:rowOff>11216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bwMode="auto">
        <a:xfrm>
          <a:off x="8339978" y="143995"/>
          <a:ext cx="961465" cy="657796"/>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324970</xdr:colOff>
      <xdr:row>0</xdr:row>
      <xdr:rowOff>134470</xdr:rowOff>
    </xdr:from>
    <xdr:to>
      <xdr:col>11</xdr:col>
      <xdr:colOff>11205</xdr:colOff>
      <xdr:row>4</xdr:row>
      <xdr:rowOff>44822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bwMode="auto">
        <a:xfrm>
          <a:off x="9164170" y="134470"/>
          <a:ext cx="962585" cy="624727"/>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19050</xdr:colOff>
      <xdr:row>1</xdr:row>
      <xdr:rowOff>285750</xdr:rowOff>
    </xdr:from>
    <xdr:to>
      <xdr:col>11</xdr:col>
      <xdr:colOff>218515</xdr:colOff>
      <xdr:row>3</xdr:row>
      <xdr:rowOff>133921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bwMode="auto">
        <a:xfrm>
          <a:off x="8467725" y="514350"/>
          <a:ext cx="961465" cy="467296"/>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582707</xdr:colOff>
      <xdr:row>2</xdr:row>
      <xdr:rowOff>190500</xdr:rowOff>
    </xdr:from>
    <xdr:to>
      <xdr:col>10</xdr:col>
      <xdr:colOff>705971</xdr:colOff>
      <xdr:row>5</xdr:row>
      <xdr:rowOff>22411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bwMode="auto">
        <a:xfrm>
          <a:off x="8831357" y="609600"/>
          <a:ext cx="885264" cy="479611"/>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bwMode="auto">
        <a:xfrm>
          <a:off x="1177570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201775</xdr:colOff>
      <xdr:row>4</xdr:row>
      <xdr:rowOff>142875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bwMode="auto">
        <a:xfrm>
          <a:off x="8524875" y="409575"/>
          <a:ext cx="963775" cy="542925"/>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85725</xdr:colOff>
      <xdr:row>1</xdr:row>
      <xdr:rowOff>152400</xdr:rowOff>
    </xdr:from>
    <xdr:to>
      <xdr:col>11</xdr:col>
      <xdr:colOff>68425</xdr:colOff>
      <xdr:row>4</xdr:row>
      <xdr:rowOff>104775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bwMode="auto">
        <a:xfrm>
          <a:off x="10544175" y="381000"/>
          <a:ext cx="963775" cy="533400"/>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134470</xdr:colOff>
      <xdr:row>2</xdr:row>
      <xdr:rowOff>0</xdr:rowOff>
    </xdr:from>
    <xdr:to>
      <xdr:col>12</xdr:col>
      <xdr:colOff>313833</xdr:colOff>
      <xdr:row>4</xdr:row>
      <xdr:rowOff>129989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bwMode="auto">
        <a:xfrm>
          <a:off x="10297645" y="428625"/>
          <a:ext cx="960413" cy="530039"/>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145677</xdr:colOff>
      <xdr:row>0</xdr:row>
      <xdr:rowOff>224117</xdr:rowOff>
    </xdr:from>
    <xdr:to>
      <xdr:col>11</xdr:col>
      <xdr:colOff>1109452</xdr:colOff>
      <xdr:row>3</xdr:row>
      <xdr:rowOff>129988</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bwMode="auto">
        <a:xfrm>
          <a:off x="9442077" y="224117"/>
          <a:ext cx="963775" cy="534521"/>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201775</xdr:colOff>
      <xdr:row>4</xdr:row>
      <xdr:rowOff>133350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bwMode="auto">
        <a:xfrm>
          <a:off x="9105900" y="428625"/>
          <a:ext cx="963775" cy="533400"/>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3</xdr:row>
      <xdr:rowOff>0</xdr:rowOff>
    </xdr:from>
    <xdr:to>
      <xdr:col>11</xdr:col>
      <xdr:colOff>448286</xdr:colOff>
      <xdr:row>7</xdr:row>
      <xdr:rowOff>65553</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12553950" y="704850"/>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bwMode="auto">
        <a:xfrm>
          <a:off x="109565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bwMode="auto">
        <a:xfrm>
          <a:off x="10651752"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421902</xdr:colOff>
      <xdr:row>3</xdr:row>
      <xdr:rowOff>1</xdr:rowOff>
    </xdr:from>
    <xdr:to>
      <xdr:col>11</xdr:col>
      <xdr:colOff>108188</xdr:colOff>
      <xdr:row>7</xdr:row>
      <xdr:rowOff>56029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bwMode="auto">
        <a:xfrm>
          <a:off x="10851777" y="704851"/>
          <a:ext cx="1210286" cy="837078"/>
        </a:xfrm>
        <a:prstGeom prst="roundRect">
          <a:avLst/>
        </a:prstGeom>
        <a:solidFill>
          <a:schemeClr val="accent1"/>
        </a:solidFill>
        <a:ln>
          <a:noFill/>
          <a:headEnd/>
          <a:tailEnd/>
        </a:ln>
        <a:effectLst>
          <a:reflection blurRad="6350" stA="52000" endA="300" endPos="35000" dir="5400000" sy="-100000" algn="bl" rotWithShape="0"/>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defRPr sz="1000"/>
          </a:pPr>
          <a:r>
            <a:rPr lang="es-ES" sz="2000" b="0" i="0" u="none" strike="noStrike" baseline="0">
              <a:solidFill>
                <a:srgbClr val="FFFFFF"/>
              </a:solidFill>
              <a:latin typeface="Calibri"/>
            </a:rPr>
            <a:t>Home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orate%20Finance\2006%20Budget\Corporate%20Finance\Monthly%20Reports\Rate%20Volume\Performance%20Comparison%20-Augu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Series%20Web\2018\Corporate%20Finance\2006%20Budget\Corporate%20Finance\Monthly%20Reports\Rate%20Volume\Performance%20Comparison%20-Augu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eries%20Web/2018/Corporate%20Finance/2006%20Budget/Corporate%20Finance/Monthly%20Reports/Rate%20Volume/Performance%20Comparison%20-Augu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CA81G369\BUDGET%20&amp;%20GROUP%20ANALYSIS\Series%20WEB\Corporate%20Finance\2006%20Budget\Corporate%20Finance\Monthly%20Reports\Rate%20Volume\Performance%20Comparison%20-Augu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eries%20Web/2017/Corporate%20Finance/2006%20Budget/Corporate%20Finance/Monthly%20Reports/Rate%20Volume/Performance%20Comparison%20-Augu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c784385\Datos%20de%20programa\MEMO%20Open%20Client\Temp\Modelos%20G%2000548%20Dic.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Worksheet%20in%205112%20Disponible%20Marzo%202006"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5100.2%20Conciliaciones%20Bancarias%20as%20of%20December%2030,%202005"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CA81G369\BUDGET%20&amp;%20GROUP%20ANALYSIS\Series%20WEB\Series_web_Gold%20oficial%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WES48\D1\APPS\2000Budget\SusannaF\LOB\Houston%20Corporate\Business%20Bank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x0141496\X0141496\ccr-new\CCR%20with%20TriSt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00601f9\datos_s00601f9\PRESUPUESTO%202010\PRESUPUESTOS%202009\blanc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eries%20Web/2018/TEMP/reporting%20web%202T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81G369\BUDGET%20&amp;%20GROUP%20ANALYSIS\Series%20WEB\TEMP\reporting%20web%202T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eries%20Web/2017/TEMP/reporting%20web%202T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Series%20Web\2018\TEMP\reporting%20web%202T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WINDOWS\TEMP\PLAN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pread %s"/>
      <sheetName val="Rate Volume Anal"/>
      <sheetName val="DepMix"/>
      <sheetName val="DDA"/>
      <sheetName val="Rate-Volume (2)"/>
      <sheetName val="YTDADep"/>
      <sheetName val="Rate-Volume (3)"/>
      <sheetName val="YTDBDep"/>
      <sheetName val="CurrmonthALoans"/>
      <sheetName val="CurrmonthBLoans"/>
      <sheetName val="CurrmonthADep"/>
      <sheetName val="CurrmonthBDep"/>
      <sheetName val="YTDALoans"/>
      <sheetName val="YTDBLoans"/>
      <sheetName val="4502112-Deposits(P2)"/>
      <sheetName val="Performance Comparison -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G-1.2 Mv.Act.No Corr.Vta"/>
      <sheetName val="G-1.3 % Arrdto. financiero"/>
      <sheetName val="G-2.1 Cartera- Plusv-Minusv"/>
      <sheetName val="G-2.2 Cartera-Oblig.Residencia"/>
      <sheetName val="G-2.3 Acciones propias "/>
      <sheetName val="G-3.1 Creditos por sector"/>
      <sheetName val="G-3.2 Leasing sobre Clientes"/>
      <sheetName val="G-3.3 Act. Afectos a Oblig"/>
      <sheetName val="G-5.1 Mv. Deterioro Cart"/>
      <sheetName val="G 5.4 diciembre 2007"/>
      <sheetName val="G-6.2 EC pas. tipos y resi  "/>
      <sheetName val="G-6.3 Débitos sobre Client "/>
      <sheetName val="G-7.1. Riesgos contingentes  "/>
      <sheetName val="G-8.1 Otros activos y pasivos"/>
      <sheetName val="G-9.1 Bonos y Oblig. T.Fijo"/>
      <sheetName val="G-9.2 Bonos y Oblig. T.Vble"/>
      <sheetName val="G-9.3 Fción. Subord"/>
      <sheetName val="G-9.4 Accs. preferentes"/>
      <sheetName val="G-11.1Desglose Periódicas"/>
      <sheetName val="G-12.1 Rtdos. Diversos"/>
      <sheetName val="G-13.1 Operaciones Vinculadas"/>
      <sheetName val="G-14.1 Fondos Propios"/>
      <sheetName val="G-15.1 CTE. Por Otros Servicios"/>
      <sheetName val="G-16.1 PLAZOS "/>
      <sheetName val="G-17.1 Obligaciones pagos Futur"/>
      <sheetName val="G-18.1 Ot Act y Pas Conting."/>
      <sheetName val="G-19.1 Actividad de segu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CONC MARZO"/>
      <sheetName val="PART. ANT. MARZO"/>
      <sheetName val="MARZO (2)"/>
      <sheetName val="MARZO"/>
      <sheetName val="Tickmarks"/>
    </sheetNames>
    <sheetDataSet>
      <sheetData sheetId="0" refreshError="1"/>
      <sheetData sheetId="1"/>
      <sheetData sheetId="2" refreshError="1"/>
      <sheetData sheetId="3" refreshError="1"/>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Resumen de Conciliaciones"/>
      <sheetName val="Concilación 1"/>
      <sheetName val="Conciliación 2"/>
      <sheetName val="Conciliación3"/>
      <sheetName val="Conciliación4"/>
      <sheetName val="Conciliación 5"/>
      <sheetName val="XREF"/>
      <sheetName val="Tickmarks"/>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IZAR"/>
      <sheetName val="GOLD&gt;&gt;&gt;&gt;&gt;"/>
      <sheetName val="Cognos_Office_Connection_Cache"/>
      <sheetName val="Exploración"/>
      <sheetName val="RESGOLD"/>
      <sheetName val="BALGOLD"/>
      <sheetName val="APRsGOLD"/>
      <sheetName val="RESGOLDBIG"/>
      <sheetName val="ADSALLGOLD"/>
      <sheetName val="ADSALLRES"/>
      <sheetName val="ADSALL"/>
      <sheetName val="CIBALLGOLD"/>
      <sheetName val="CIBALLRES"/>
      <sheetName val="CIBALL"/>
      <sheetName val="AT Gold"/>
      <sheetName val="AREAS TRANSV"/>
      <sheetName val="dif trans"/>
      <sheetName val="Consulta tipos"/>
      <sheetName val="Control"/>
      <sheetName val="HIPRES"/>
      <sheetName val="ELIMRES"/>
      <sheetName val="RESTRES"/>
      <sheetName val="CIBRES"/>
      <sheetName val="HOLRES"/>
      <sheetName val="VENRES"/>
      <sheetName val="PERES"/>
      <sheetName val="COLRES"/>
      <sheetName val="CHIRES"/>
      <sheetName val="ARGRES"/>
      <sheetName val="ADSRES"/>
      <sheetName val="TURRES"/>
      <sheetName val="TURRESBIG"/>
      <sheetName val="BBVARES"/>
      <sheetName val="ESPRES"/>
      <sheetName val="MEXRES"/>
      <sheetName val="BBVABAL"/>
      <sheetName val="ESPBAL"/>
      <sheetName val="MEXBAL"/>
      <sheetName val="TURBAL"/>
      <sheetName val="ADSBAL"/>
      <sheetName val="ARGBAL"/>
      <sheetName val="CHIBAL"/>
      <sheetName val="COLBAL"/>
      <sheetName val="PERBAL"/>
      <sheetName val="VENBAL"/>
      <sheetName val="RESTBAL"/>
      <sheetName val="HOLBAL"/>
      <sheetName val="ELIMBAL"/>
      <sheetName val="CIBBAL"/>
      <sheetName val="HIPBAL"/>
      <sheetName val="Actividad"/>
      <sheetName val="RATIO EFICIENCIA"/>
      <sheetName val="COSTE DE RIESGO"/>
      <sheetName val="RORWACons"/>
      <sheetName val="COBERTURA"/>
      <sheetName val="TASA DE MORA"/>
      <sheetName val="APR"/>
      <sheetName val="Manuales&gt;&gt;&gt;&gt;"/>
      <sheetName val="Pegado Balance"/>
      <sheetName val="Chile Pegado"/>
      <sheetName val="InversionTotalPegado"/>
      <sheetName val="RecursosTotalPegado"/>
      <sheetName val="Inversion España"/>
      <sheetName val="Inversion Mexico"/>
      <sheetName val="Inversion Turquia"/>
      <sheetName val="Inversion USA"/>
      <sheetName val="Inversion AdS"/>
      <sheetName val="Recursos AdS"/>
      <sheetName val="Pegado Diferenciales"/>
      <sheetName val="Emp ofic caje pegado"/>
      <sheetName val="ALCO_pegado"/>
      <sheetName val="SALIDAS--&gt;&gt;&gt;"/>
      <sheetName val="Nombres"/>
      <sheetName val="INDICE"/>
      <sheetName val="Cuenta de Resultados"/>
      <sheetName val="Balance"/>
      <sheetName val="España"/>
      <sheetName val="Mexico"/>
      <sheetName val="Turquia"/>
      <sheetName val="Turquia (BIG)"/>
      <sheetName val="AdS"/>
      <sheetName val="Argentina"/>
      <sheetName val="Chile"/>
      <sheetName val="Colombia"/>
      <sheetName val="Peru"/>
      <sheetName val="Resto de Negocios"/>
      <sheetName val="Centro Corporativo"/>
      <sheetName val="Corporate &amp; Investment Banking"/>
      <sheetName val="Eficiencia"/>
      <sheetName val="RORWA"/>
      <sheetName val="Mora,cobertura,coste de riesgo"/>
      <sheetName val="Empleados, oficinas y cajeros"/>
      <sheetName val="Tipos de Cambio"/>
      <sheetName val="Diferenciales"/>
      <sheetName val="APRs"/>
      <sheetName val="Inversion"/>
      <sheetName val="Recursos"/>
      <sheetName val="ALCO"/>
      <sheetName val="Centro Eliminaciones"/>
      <sheetName val="BBVA Con Inversion"/>
      <sheetName val="Balance SPG"/>
      <sheetName val="Turquia hiper"/>
      <sheetName val="Tipos de Cambio 2q y 3q"/>
      <sheetName val="Hoja4"/>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Loans"/>
      <sheetName val="Deposits"/>
      <sheetName val="Net Int Inc"/>
      <sheetName val="NII"/>
      <sheetName val="NIE"/>
      <sheetName val="Salaries"/>
      <sheetName val="Pretax"/>
      <sheetName val="Spreads"/>
      <sheetName val="STrend"/>
      <sheetName val="Dep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s Memo - Cred Comm Version"/>
      <sheetName val="Pat's Memo - Board Version"/>
      <sheetName val="Pg 1a- Total Managed Loans"/>
      <sheetName val="Pg 1 - Summary"/>
      <sheetName val="Pg 1a - Summary by Loan Type"/>
      <sheetName val="Pg 2 - Delinquency"/>
      <sheetName val="Pg 3 - Non Performing"/>
      <sheetName val="Pg 4 - Charge-Offs"/>
      <sheetName val="Pg 5 - Loans OS"/>
      <sheetName val="Pg 6 - Commercial"/>
      <sheetName val="Pg 7 - SBA"/>
      <sheetName val="Pg 8 - RE Const-Combo"/>
      <sheetName val="Pg 8a1 - RE Const-Residential"/>
      <sheetName val="Pg 8a2- RE Const-Res LHFS"/>
      <sheetName val="Pg 8b1 - RE Const-Commercial"/>
      <sheetName val="Pg 8b2- RE Const-Comm LHFS"/>
      <sheetName val="Pg 9 - Comm RE"/>
      <sheetName val="Pg 9a- Comm RE LHFS"/>
      <sheetName val="Pg 10 - Residential RE"/>
      <sheetName val="Pg 10a - Residential RE 1-4 Fam"/>
      <sheetName val="Pg 10b- ResRE Securitized"/>
      <sheetName val="Pg 11 - Total Equity Loans"/>
      <sheetName val="Pg 12 - Equity Loans-1st Pos."/>
      <sheetName val="Pg 12a - Eq Lns-1st Pos-Secur."/>
      <sheetName val="Pg 13 - Equity Loans-Jr. Lien"/>
      <sheetName val="Pg 13a - Eq Lns-Jr. Lien-Secur."/>
      <sheetName val="Pg 14 - ELOC"/>
      <sheetName val="Pg 15 - Direct"/>
      <sheetName val="Page 16 - Credit Card - Total"/>
      <sheetName val="Page 16a - Credit Card - Cons"/>
      <sheetName val="Page 16b - Credit Card - NonCon"/>
      <sheetName val="Pg 17 - Overdraft Line of Cred."/>
      <sheetName val="Pg 17a - Attache Only"/>
      <sheetName val="Pg 18 - Comm Billing"/>
      <sheetName val="Pg 19 - Indirect"/>
      <sheetName val="Pg 20 - Overdraft"/>
      <sheetName val="Pg 21 - Net CO-ov"/>
      <sheetName val="Pg 22 - Renegotiated"/>
      <sheetName val="Pg 23 - 90 Days + PD"/>
      <sheetName val="Pg 24 - Non-Accrual"/>
      <sheetName val="Pg 24a - Non-Accrual Detail "/>
      <sheetName val="Pg 25 - Other Assets"/>
      <sheetName val="Pg 26 - ORE"/>
      <sheetName val="Pg 26a - ORE Detail"/>
      <sheetName val="Pg 27 - Charge Off"/>
      <sheetName val="Pg 28 - Loans OS - Commercial"/>
      <sheetName val="Pg 29 - Loans OS - RE Construc."/>
      <sheetName val="Pg 30 - Loans OS - RE Const Res"/>
      <sheetName val="Pg 31 - Loans OS - RE Const Com"/>
      <sheetName val="Pg 32 - Loans OS - Comm RE"/>
      <sheetName val="Pg 33 - Loans OS - Res RE"/>
      <sheetName val="Page 34 - Reg H"/>
      <sheetName val="Jacksonville RE - Combo"/>
      <sheetName val="Bad Bank Total"/>
      <sheetName val="Bad Bank Extraction"/>
      <sheetName val="Bad Bank - TSB Only"/>
      <sheetName val="TSB Good Bank"/>
      <sheetName val="TSB Bad Bank"/>
      <sheetName val="TSB Total Bank"/>
      <sheetName val="TSB Extraction"/>
      <sheetName val="Jacksonville Real Estate"/>
      <sheetName val="Jacksonville RE Recap-Good Bank"/>
      <sheetName val="Jacksonville Real Estate - SAG"/>
      <sheetName val="Jacksonville RE Recap-Bad Bank"/>
      <sheetName val="Jacksonville RE Recap-Combo"/>
      <sheetName val="Jacksonville RE Recap-Enrique"/>
      <sheetName val="Enrique Data - Working Tab"/>
      <sheetName val="TM1 Extraction"/>
      <sheetName val="Compass Good Bad &amp; Combo"/>
      <sheetName val="Compass Good Bad &amp; Combo Extrac"/>
      <sheetName val="DO NOT PRINT BEYOND THIS TAB!!!"/>
      <sheetName val="Statics - DO NOT PRINT"/>
      <sheetName val="Input - DO NOT PRINT"/>
      <sheetName val="Indirect Data"/>
      <sheetName val="Charge Off Last Month"/>
      <sheetName val="Chg Off by L.O.B.-C&amp;AM"/>
      <sheetName val="Chg Off by L.O.B. - Ret"/>
      <sheetName val="Chg Off Summary"/>
      <sheetName val="Pg 10b- ResRE Sec &quot;Prior&quot;"/>
      <sheetName val="Renegotiated"/>
      <sheetName val="CO-trends"/>
      <sheetName val="Real Estate"/>
      <sheetName val="Comm RE Securitized"/>
      <sheetName val="Comm Data"/>
      <sheetName val="ResRE Data"/>
      <sheetName val="Indirect Volume"/>
      <sheetName val="Comm Bank Delinquency Trends"/>
      <sheetName val="Pg 15c - BankCard"/>
      <sheetName val="Pg 15a - Bankcard"/>
      <sheetName val="Pg 2 - Delinquency Trends 1"/>
      <sheetName val="Pg 3 - Delinquency Trends 2"/>
      <sheetName val="REG H - old"/>
      <sheetName val="Indirect"/>
      <sheetName val="Pg 15 - BankCard"/>
      <sheetName val="Pg 15 - BankCard (2)"/>
      <sheetName val="Pg 10c- ResRE Securitized - OLD"/>
      <sheetName val="Pg 25 - Non-Accrual (2)"/>
      <sheetName val="Pg 10b - Residential RE Other"/>
      <sheetName val="Pg 19 - Auto Lease"/>
      <sheetName val="Pg 24a - Non-Accrual Detail"/>
      <sheetName val="Pg 27 - Charge Off (2)"/>
      <sheetName val="Module1"/>
      <sheetName val="Jacksonville RE - SAG"/>
      <sheetName val="Input"/>
      <sheetName val="Statics"/>
      <sheetName val="TM1Input"/>
      <sheetName val="CCR with TriStar"/>
      <sheetName val="NIE Input"/>
      <sheetName val="BILL - Current"/>
      <sheetName val="Auxiliar-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co"/>
      <sheetName val="#¡REF"/>
      <sheetName val="Final"/>
      <sheetName val="Portada"/>
      <sheetName val="GB BANCOMER SUMA"/>
      <sheetName val="MEXICO"/>
      <sheetName val="Aj Corrientes"/>
      <sheetName val="Corrientes"/>
      <sheetName val="CONTROL_ FECHAS"/>
      <sheetName val="PDPRES1__Consulta"/>
      <sheetName val="SALDOS"/>
      <sheetName val="FECHAS"/>
      <sheetName val="INDICE"/>
      <sheetName val="HIPOTESIS 2009"/>
      <sheetName val="ppto"/>
      <sheetName val="ESSBASE_RESULT_Mes"/>
      <sheetName val="REDEXTERIOR"/>
      <sheetName val="BRASIL"/>
      <sheetName val="Datos"/>
      <sheetName val="TABLA_EPIGRAFES"/>
      <sheetName val="Tabla_de_Tipos"/>
      <sheetName val="Statics"/>
      <sheetName val="TM1Input"/>
      <sheetName val="INPUT"/>
      <sheetName val="NIM"/>
      <sheetName val="NII"/>
      <sheetName val="NIE"/>
      <sheetName val="Total"/>
      <sheetName val="Roling Month Input Page"/>
      <sheetName val="Splash"/>
      <sheetName val="BRAD_EQUITY_LOANS"/>
      <sheetName val="Data"/>
      <sheetName val="PrintOrder"/>
      <sheetName val="Branches"/>
      <sheetName val="LoanCodes"/>
      <sheetName val="NOVPLAN"/>
      <sheetName val="NIE Input"/>
      <sheetName val="3"/>
      <sheetName val="Audit B"/>
      <sheetName val="Extras!"/>
      <sheetName val="Print"/>
      <sheetName val="FTA"/>
      <sheetName val="FTB"/>
      <sheetName val="FTC"/>
      <sheetName val="FTD"/>
      <sheetName val="FTE"/>
      <sheetName val="FTF"/>
      <sheetName val="FTG"/>
      <sheetName val="FTH"/>
      <sheetName val="FTJ"/>
      <sheetName val="FTL"/>
      <sheetName val="Process By Mgr"/>
      <sheetName val="output"/>
      <sheetName val="BILL - Current"/>
      <sheetName val="DepMix"/>
      <sheetName val="medio"/>
      <sheetName val="base capital trim público"/>
      <sheetName val="Aux"/>
      <sheetName val="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s>
    <sheetDataSet>
      <sheetData sheetId="0" refreshError="1">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Hoja1"/>
      <sheetName val="Portafolios Sanos A C.Cuentas"/>
      <sheetName val="PLANES~1"/>
      <sheetName val="IC+RRCC+CARTERAS BEC_formulado"/>
      <sheetName val="Inv.Ren+Rec+Tipo"/>
      <sheetName val="Auxiliar"/>
      <sheetName val="Tabla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BBVA">
  <a:themeElements>
    <a:clrScheme name="BBVA">
      <a:dk1>
        <a:srgbClr val="004481"/>
      </a:dk1>
      <a:lt1>
        <a:srgbClr val="FFFFFF"/>
      </a:lt1>
      <a:dk2>
        <a:srgbClr val="0A5FB4"/>
      </a:dk2>
      <a:lt2>
        <a:srgbClr val="121212"/>
      </a:lt2>
      <a:accent1>
        <a:srgbClr val="2A86CA"/>
      </a:accent1>
      <a:accent2>
        <a:srgbClr val="5BBEFF"/>
      </a:accent2>
      <a:accent3>
        <a:srgbClr val="2DCCCD"/>
      </a:accent3>
      <a:accent4>
        <a:srgbClr val="072146"/>
      </a:accent4>
      <a:accent5>
        <a:srgbClr val="D8BE75"/>
      </a:accent5>
      <a:accent6>
        <a:srgbClr val="F7893B"/>
      </a:accent6>
      <a:hlink>
        <a:srgbClr val="004481"/>
      </a:hlink>
      <a:folHlink>
        <a:srgbClr val="0721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zoomScale="70" zoomScaleNormal="70" workbookViewId="0">
      <selection sqref="A1:N1048576"/>
    </sheetView>
  </sheetViews>
  <sheetFormatPr baseColWidth="10" defaultColWidth="11.453125" defaultRowHeight="14.5"/>
  <cols>
    <col min="2" max="2" width="6.453125" customWidth="1"/>
    <col min="3" max="3" width="107.453125" customWidth="1"/>
    <col min="4" max="4" width="54.453125" customWidth="1"/>
  </cols>
  <sheetData>
    <row r="1" spans="1:9">
      <c r="A1" s="1"/>
      <c r="B1" s="1"/>
      <c r="C1" s="2"/>
      <c r="D1" s="2"/>
    </row>
    <row r="2" spans="1:9">
      <c r="A2" s="1"/>
      <c r="B2" s="1" t="s">
        <v>0</v>
      </c>
      <c r="C2" s="2" t="s">
        <v>1</v>
      </c>
      <c r="D2" s="2" t="s">
        <v>2</v>
      </c>
    </row>
    <row r="3" spans="1:9" ht="19.5">
      <c r="A3" s="1"/>
      <c r="B3" s="1">
        <v>1</v>
      </c>
      <c r="C3" s="3">
        <v>7</v>
      </c>
      <c r="D3" s="3">
        <v>8</v>
      </c>
      <c r="I3" s="4" t="s">
        <v>3</v>
      </c>
    </row>
    <row r="4" spans="1:9" ht="19.5">
      <c r="B4">
        <v>2</v>
      </c>
      <c r="C4" s="5" t="s">
        <v>4</v>
      </c>
      <c r="D4" s="5" t="s">
        <v>5</v>
      </c>
      <c r="I4" s="4" t="s">
        <v>6</v>
      </c>
    </row>
    <row r="5" spans="1:9" ht="19.5">
      <c r="B5">
        <v>3</v>
      </c>
      <c r="C5" s="5" t="s">
        <v>7</v>
      </c>
      <c r="D5" s="5" t="s">
        <v>8</v>
      </c>
      <c r="I5" s="4" t="s">
        <v>9</v>
      </c>
    </row>
    <row r="6" spans="1:9" ht="15.5">
      <c r="B6">
        <v>4</v>
      </c>
      <c r="C6" s="5" t="s">
        <v>10</v>
      </c>
      <c r="D6" s="5" t="s">
        <v>11</v>
      </c>
    </row>
    <row r="7" spans="1:9" ht="15.5">
      <c r="B7">
        <v>5</v>
      </c>
      <c r="C7" s="5" t="s">
        <v>12</v>
      </c>
      <c r="D7" s="5" t="s">
        <v>13</v>
      </c>
    </row>
    <row r="8" spans="1:9" ht="15.5">
      <c r="B8">
        <v>6</v>
      </c>
      <c r="C8" s="5" t="s">
        <v>14</v>
      </c>
      <c r="D8" s="5" t="s">
        <v>15</v>
      </c>
    </row>
    <row r="9" spans="1:9" ht="15.5">
      <c r="B9">
        <v>7</v>
      </c>
      <c r="C9" s="5" t="s">
        <v>16</v>
      </c>
      <c r="D9" s="5" t="s">
        <v>17</v>
      </c>
    </row>
    <row r="10" spans="1:9" ht="15.5">
      <c r="B10">
        <v>8</v>
      </c>
      <c r="C10" s="5" t="s">
        <v>18</v>
      </c>
      <c r="D10" s="5" t="s">
        <v>19</v>
      </c>
    </row>
    <row r="11" spans="1:9" ht="15.5">
      <c r="B11">
        <v>9</v>
      </c>
      <c r="C11" s="5" t="s">
        <v>20</v>
      </c>
      <c r="D11" s="5" t="s">
        <v>20</v>
      </c>
    </row>
    <row r="12" spans="1:9" ht="15.5">
      <c r="B12">
        <v>10</v>
      </c>
      <c r="C12" s="6" t="s">
        <v>21</v>
      </c>
      <c r="D12" s="6" t="s">
        <v>22</v>
      </c>
    </row>
    <row r="13" spans="1:9" ht="15.5">
      <c r="B13">
        <v>11</v>
      </c>
      <c r="C13" s="6" t="s">
        <v>23</v>
      </c>
      <c r="D13" s="6" t="s">
        <v>24</v>
      </c>
    </row>
    <row r="14" spans="1:9" ht="15.5">
      <c r="B14">
        <v>12</v>
      </c>
      <c r="C14" s="6" t="s">
        <v>25</v>
      </c>
      <c r="D14" s="6" t="s">
        <v>26</v>
      </c>
    </row>
    <row r="15" spans="1:9" ht="15.5">
      <c r="B15">
        <v>13</v>
      </c>
      <c r="C15" s="6" t="s">
        <v>27</v>
      </c>
      <c r="D15" s="6" t="s">
        <v>28</v>
      </c>
    </row>
    <row r="16" spans="1:9" ht="15.5">
      <c r="B16">
        <v>14</v>
      </c>
      <c r="C16" s="6" t="s">
        <v>29</v>
      </c>
      <c r="D16" s="6" t="s">
        <v>29</v>
      </c>
    </row>
    <row r="17" spans="2:4" ht="15.5">
      <c r="B17">
        <v>15</v>
      </c>
      <c r="C17" s="6" t="s">
        <v>30</v>
      </c>
      <c r="D17" s="6" t="s">
        <v>30</v>
      </c>
    </row>
    <row r="18" spans="2:4" ht="15.5">
      <c r="B18">
        <v>16</v>
      </c>
      <c r="C18" s="6" t="s">
        <v>31</v>
      </c>
      <c r="D18" s="6" t="s">
        <v>31</v>
      </c>
    </row>
    <row r="19" spans="2:4" ht="15.5">
      <c r="B19">
        <v>17</v>
      </c>
      <c r="C19" s="6" t="s">
        <v>32</v>
      </c>
      <c r="D19" s="6" t="s">
        <v>33</v>
      </c>
    </row>
    <row r="20" spans="2:4" ht="15.5">
      <c r="B20">
        <v>18</v>
      </c>
      <c r="C20" s="6" t="s">
        <v>34</v>
      </c>
      <c r="D20" s="6" t="s">
        <v>35</v>
      </c>
    </row>
    <row r="21" spans="2:4" ht="15.5">
      <c r="B21">
        <v>19</v>
      </c>
      <c r="C21" s="6" t="s">
        <v>36</v>
      </c>
      <c r="D21" s="6" t="s">
        <v>37</v>
      </c>
    </row>
    <row r="22" spans="2:4" ht="15.5">
      <c r="B22">
        <v>20</v>
      </c>
      <c r="C22" s="6" t="s">
        <v>38</v>
      </c>
      <c r="D22" s="6" t="s">
        <v>39</v>
      </c>
    </row>
    <row r="23" spans="2:4" ht="15.5">
      <c r="B23">
        <v>21</v>
      </c>
      <c r="C23" s="6" t="s">
        <v>40</v>
      </c>
      <c r="D23" s="6" t="s">
        <v>40</v>
      </c>
    </row>
    <row r="24" spans="2:4" ht="15.5">
      <c r="B24">
        <v>22</v>
      </c>
      <c r="C24" s="6" t="s">
        <v>41</v>
      </c>
      <c r="D24" s="6" t="s">
        <v>42</v>
      </c>
    </row>
    <row r="25" spans="2:4" ht="15.5">
      <c r="B25">
        <v>23</v>
      </c>
      <c r="C25" s="6" t="s">
        <v>43</v>
      </c>
      <c r="D25" s="6" t="s">
        <v>44</v>
      </c>
    </row>
    <row r="26" spans="2:4" ht="15.5">
      <c r="B26">
        <v>24</v>
      </c>
      <c r="C26" s="6" t="s">
        <v>45</v>
      </c>
      <c r="D26" s="6" t="s">
        <v>46</v>
      </c>
    </row>
    <row r="27" spans="2:4" ht="15.5">
      <c r="B27">
        <v>25</v>
      </c>
      <c r="C27" s="6" t="s">
        <v>47</v>
      </c>
      <c r="D27" s="6" t="s">
        <v>48</v>
      </c>
    </row>
    <row r="28" spans="2:4" ht="15.5">
      <c r="B28">
        <v>26</v>
      </c>
      <c r="C28" s="6" t="s">
        <v>49</v>
      </c>
      <c r="D28" s="6" t="s">
        <v>50</v>
      </c>
    </row>
    <row r="29" spans="2:4" ht="15.5">
      <c r="B29">
        <v>27</v>
      </c>
      <c r="C29" s="6" t="s">
        <v>51</v>
      </c>
      <c r="D29" s="6" t="s">
        <v>52</v>
      </c>
    </row>
    <row r="30" spans="2:4" ht="15.5">
      <c r="B30">
        <v>28</v>
      </c>
      <c r="C30" s="6" t="s">
        <v>53</v>
      </c>
      <c r="D30" s="6" t="s">
        <v>54</v>
      </c>
    </row>
    <row r="31" spans="2:4" ht="15.5">
      <c r="B31">
        <v>29</v>
      </c>
      <c r="C31" s="6" t="s">
        <v>55</v>
      </c>
      <c r="D31" s="6" t="s">
        <v>56</v>
      </c>
    </row>
    <row r="32" spans="2:4" ht="15.5">
      <c r="B32">
        <v>30</v>
      </c>
      <c r="C32" s="6" t="s">
        <v>57</v>
      </c>
      <c r="D32" s="6" t="s">
        <v>58</v>
      </c>
    </row>
    <row r="33" spans="2:4" ht="15.5">
      <c r="B33">
        <v>31</v>
      </c>
      <c r="C33" s="6" t="s">
        <v>59</v>
      </c>
      <c r="D33" t="s">
        <v>60</v>
      </c>
    </row>
    <row r="34" spans="2:4" ht="15.5">
      <c r="B34">
        <v>32</v>
      </c>
      <c r="C34" s="6" t="s">
        <v>61</v>
      </c>
      <c r="D34" t="s">
        <v>62</v>
      </c>
    </row>
    <row r="35" spans="2:4" ht="15.5">
      <c r="B35">
        <v>33</v>
      </c>
      <c r="C35" s="6" t="s">
        <v>63</v>
      </c>
      <c r="D35" t="s">
        <v>64</v>
      </c>
    </row>
    <row r="36" spans="2:4" ht="15.5">
      <c r="B36">
        <v>34</v>
      </c>
      <c r="C36" s="6" t="s">
        <v>65</v>
      </c>
      <c r="D36" t="s">
        <v>66</v>
      </c>
    </row>
    <row r="37" spans="2:4" ht="15.5">
      <c r="B37">
        <v>35</v>
      </c>
      <c r="C37" s="6" t="s">
        <v>67</v>
      </c>
      <c r="D37" t="s">
        <v>68</v>
      </c>
    </row>
    <row r="38" spans="2:4" ht="15.5">
      <c r="B38">
        <v>36</v>
      </c>
      <c r="C38" s="6" t="s">
        <v>69</v>
      </c>
      <c r="D38" t="s">
        <v>70</v>
      </c>
    </row>
    <row r="39" spans="2:4" ht="15.5">
      <c r="B39">
        <v>37</v>
      </c>
      <c r="C39" s="6" t="s">
        <v>71</v>
      </c>
      <c r="D39" t="s">
        <v>72</v>
      </c>
    </row>
    <row r="40" spans="2:4" ht="15.5">
      <c r="B40">
        <v>38</v>
      </c>
      <c r="C40" s="6" t="s">
        <v>73</v>
      </c>
      <c r="D40" t="s">
        <v>74</v>
      </c>
    </row>
    <row r="41" spans="2:4" ht="15.5">
      <c r="B41">
        <v>39</v>
      </c>
      <c r="C41" s="6" t="s">
        <v>75</v>
      </c>
      <c r="D41" t="s">
        <v>76</v>
      </c>
    </row>
    <row r="42" spans="2:4" ht="15.5">
      <c r="B42">
        <v>40</v>
      </c>
      <c r="C42" s="6" t="s">
        <v>77</v>
      </c>
      <c r="D42" t="s">
        <v>78</v>
      </c>
    </row>
    <row r="43" spans="2:4" ht="15.5">
      <c r="B43">
        <v>41</v>
      </c>
      <c r="C43" s="6" t="s">
        <v>79</v>
      </c>
      <c r="D43" t="s">
        <v>80</v>
      </c>
    </row>
    <row r="44" spans="2:4" ht="15.5">
      <c r="B44">
        <v>42</v>
      </c>
      <c r="C44" s="6" t="s">
        <v>81</v>
      </c>
      <c r="D44" t="s">
        <v>82</v>
      </c>
    </row>
    <row r="45" spans="2:4" ht="15.5">
      <c r="B45">
        <v>43</v>
      </c>
      <c r="C45" s="6" t="s">
        <v>83</v>
      </c>
      <c r="D45" t="s">
        <v>84</v>
      </c>
    </row>
    <row r="46" spans="2:4" ht="15.5">
      <c r="B46">
        <v>44</v>
      </c>
      <c r="C46" s="6" t="s">
        <v>85</v>
      </c>
      <c r="D46" t="s">
        <v>86</v>
      </c>
    </row>
    <row r="47" spans="2:4" ht="15.5">
      <c r="B47">
        <v>45</v>
      </c>
      <c r="C47" s="6" t="s">
        <v>87</v>
      </c>
      <c r="D47" t="s">
        <v>88</v>
      </c>
    </row>
    <row r="48" spans="2:4" ht="15.5">
      <c r="B48">
        <v>46</v>
      </c>
      <c r="C48" s="6" t="s">
        <v>89</v>
      </c>
      <c r="D48" t="s">
        <v>90</v>
      </c>
    </row>
    <row r="49" spans="2:4" ht="15.5">
      <c r="B49">
        <v>47</v>
      </c>
      <c r="C49" s="6" t="s">
        <v>91</v>
      </c>
      <c r="D49" t="s">
        <v>92</v>
      </c>
    </row>
    <row r="50" spans="2:4" ht="15.5">
      <c r="B50">
        <v>48</v>
      </c>
      <c r="C50" s="6" t="s">
        <v>93</v>
      </c>
      <c r="D50" t="s">
        <v>94</v>
      </c>
    </row>
    <row r="51" spans="2:4" ht="15.5">
      <c r="B51">
        <v>49</v>
      </c>
      <c r="C51" s="6" t="s">
        <v>95</v>
      </c>
      <c r="D51" t="s">
        <v>96</v>
      </c>
    </row>
    <row r="52" spans="2:4" ht="15.5">
      <c r="B52">
        <v>50</v>
      </c>
      <c r="C52" s="6" t="s">
        <v>97</v>
      </c>
      <c r="D52" t="s">
        <v>98</v>
      </c>
    </row>
    <row r="53" spans="2:4" ht="15.5">
      <c r="B53">
        <v>51</v>
      </c>
      <c r="C53" s="6" t="s">
        <v>99</v>
      </c>
      <c r="D53" t="s">
        <v>100</v>
      </c>
    </row>
    <row r="54" spans="2:4" ht="15.5">
      <c r="B54">
        <v>52</v>
      </c>
      <c r="C54" s="6" t="s">
        <v>101</v>
      </c>
      <c r="D54" t="s">
        <v>102</v>
      </c>
    </row>
    <row r="55" spans="2:4" ht="15.5">
      <c r="B55">
        <v>53</v>
      </c>
      <c r="C55" s="6" t="s">
        <v>103</v>
      </c>
      <c r="D55" t="s">
        <v>104</v>
      </c>
    </row>
    <row r="56" spans="2:4" ht="15.5">
      <c r="B56">
        <v>54</v>
      </c>
      <c r="C56" s="6" t="s">
        <v>105</v>
      </c>
      <c r="D56" t="s">
        <v>106</v>
      </c>
    </row>
    <row r="57" spans="2:4" ht="15.5">
      <c r="B57">
        <v>55</v>
      </c>
      <c r="C57" s="6" t="s">
        <v>107</v>
      </c>
      <c r="D57" t="s">
        <v>108</v>
      </c>
    </row>
    <row r="58" spans="2:4" ht="15.5">
      <c r="B58">
        <v>56</v>
      </c>
      <c r="C58" s="6" t="s">
        <v>109</v>
      </c>
      <c r="D58" t="s">
        <v>110</v>
      </c>
    </row>
    <row r="59" spans="2:4" ht="15.5">
      <c r="B59">
        <v>57</v>
      </c>
      <c r="C59" s="6" t="s">
        <v>111</v>
      </c>
      <c r="D59" t="s">
        <v>112</v>
      </c>
    </row>
    <row r="60" spans="2:4" ht="15.5">
      <c r="B60">
        <v>58</v>
      </c>
      <c r="C60" s="6" t="s">
        <v>113</v>
      </c>
      <c r="D60" t="s">
        <v>114</v>
      </c>
    </row>
    <row r="61" spans="2:4" ht="15.5">
      <c r="B61">
        <v>59</v>
      </c>
      <c r="C61" s="6" t="s">
        <v>115</v>
      </c>
      <c r="D61" t="s">
        <v>116</v>
      </c>
    </row>
    <row r="62" spans="2:4" ht="15.5">
      <c r="B62">
        <v>60</v>
      </c>
      <c r="C62" s="6" t="s">
        <v>117</v>
      </c>
      <c r="D62" t="s">
        <v>118</v>
      </c>
    </row>
    <row r="63" spans="2:4" ht="15.5">
      <c r="B63">
        <v>61</v>
      </c>
      <c r="C63" s="6" t="s">
        <v>119</v>
      </c>
      <c r="D63" t="s">
        <v>120</v>
      </c>
    </row>
    <row r="64" spans="2:4" ht="15.5">
      <c r="B64">
        <v>62</v>
      </c>
      <c r="C64" s="6" t="s">
        <v>121</v>
      </c>
      <c r="D64" t="s">
        <v>122</v>
      </c>
    </row>
    <row r="65" spans="2:4" ht="15.5">
      <c r="B65">
        <v>63</v>
      </c>
      <c r="C65" s="6" t="s">
        <v>123</v>
      </c>
      <c r="D65" t="s">
        <v>124</v>
      </c>
    </row>
    <row r="66" spans="2:4" ht="15.5">
      <c r="B66">
        <v>64</v>
      </c>
      <c r="C66" s="6" t="s">
        <v>125</v>
      </c>
      <c r="D66" t="s">
        <v>126</v>
      </c>
    </row>
    <row r="67" spans="2:4" ht="15.5">
      <c r="B67">
        <v>65</v>
      </c>
      <c r="C67" s="6" t="s">
        <v>127</v>
      </c>
      <c r="D67" t="s">
        <v>128</v>
      </c>
    </row>
    <row r="68" spans="2:4" ht="15.5">
      <c r="B68">
        <v>66</v>
      </c>
      <c r="C68" s="6" t="s">
        <v>129</v>
      </c>
      <c r="D68" s="7" t="s">
        <v>130</v>
      </c>
    </row>
    <row r="69" spans="2:4" ht="15.5">
      <c r="B69">
        <v>67</v>
      </c>
      <c r="C69" s="6" t="s">
        <v>131</v>
      </c>
      <c r="D69" s="7" t="s">
        <v>132</v>
      </c>
    </row>
    <row r="70" spans="2:4" ht="15.5">
      <c r="B70">
        <v>68</v>
      </c>
      <c r="C70" s="6" t="s">
        <v>133</v>
      </c>
      <c r="D70" s="7" t="s">
        <v>134</v>
      </c>
    </row>
    <row r="71" spans="2:4" ht="15.5">
      <c r="B71">
        <v>69</v>
      </c>
      <c r="C71" s="6" t="s">
        <v>135</v>
      </c>
      <c r="D71" s="7" t="s">
        <v>136</v>
      </c>
    </row>
    <row r="72" spans="2:4" ht="15.5">
      <c r="B72">
        <v>70</v>
      </c>
      <c r="C72" s="6" t="s">
        <v>137</v>
      </c>
      <c r="D72" s="7" t="s">
        <v>138</v>
      </c>
    </row>
    <row r="73" spans="2:4" ht="15.5">
      <c r="B73">
        <v>71</v>
      </c>
      <c r="C73" s="6" t="s">
        <v>139</v>
      </c>
      <c r="D73" s="8" t="s">
        <v>140</v>
      </c>
    </row>
    <row r="74" spans="2:4" ht="15.5">
      <c r="B74">
        <v>72</v>
      </c>
      <c r="C74" s="6" t="s">
        <v>141</v>
      </c>
      <c r="D74" s="8"/>
    </row>
    <row r="75" spans="2:4" ht="15.5">
      <c r="B75">
        <v>73</v>
      </c>
      <c r="C75" s="6" t="s">
        <v>142</v>
      </c>
      <c r="D75" s="9" t="s">
        <v>143</v>
      </c>
    </row>
    <row r="76" spans="2:4" ht="15.5">
      <c r="B76">
        <v>74</v>
      </c>
      <c r="C76" s="6" t="s">
        <v>144</v>
      </c>
      <c r="D76" s="9" t="s">
        <v>145</v>
      </c>
    </row>
    <row r="77" spans="2:4" ht="15.5">
      <c r="B77">
        <v>75</v>
      </c>
      <c r="C77" s="6" t="s">
        <v>146</v>
      </c>
      <c r="D77" s="9" t="s">
        <v>147</v>
      </c>
    </row>
    <row r="78" spans="2:4" ht="15.5">
      <c r="B78">
        <v>76</v>
      </c>
      <c r="C78" s="6" t="s">
        <v>148</v>
      </c>
      <c r="D78" s="9" t="s">
        <v>149</v>
      </c>
    </row>
    <row r="79" spans="2:4" ht="15.5">
      <c r="B79">
        <v>77</v>
      </c>
      <c r="C79" s="6" t="s">
        <v>150</v>
      </c>
      <c r="D79" s="9" t="s">
        <v>151</v>
      </c>
    </row>
    <row r="80" spans="2:4" ht="15.5">
      <c r="B80">
        <v>78</v>
      </c>
      <c r="C80" s="6" t="s">
        <v>152</v>
      </c>
      <c r="D80" s="9" t="s">
        <v>153</v>
      </c>
    </row>
    <row r="81" spans="2:4" ht="15.5">
      <c r="B81">
        <v>79</v>
      </c>
      <c r="C81" s="6" t="s">
        <v>154</v>
      </c>
      <c r="D81" s="9" t="s">
        <v>155</v>
      </c>
    </row>
    <row r="82" spans="2:4" ht="15.5">
      <c r="B82">
        <v>80</v>
      </c>
      <c r="C82" s="6" t="s">
        <v>156</v>
      </c>
      <c r="D82" s="9" t="s">
        <v>156</v>
      </c>
    </row>
    <row r="83" spans="2:4" ht="15.5">
      <c r="B83">
        <v>81</v>
      </c>
      <c r="C83" s="6" t="s">
        <v>157</v>
      </c>
      <c r="D83" s="9" t="s">
        <v>158</v>
      </c>
    </row>
    <row r="84" spans="2:4">
      <c r="B84">
        <v>82</v>
      </c>
      <c r="C84" t="s">
        <v>159</v>
      </c>
      <c r="D84" t="s">
        <v>160</v>
      </c>
    </row>
    <row r="85" spans="2:4">
      <c r="B85">
        <v>83</v>
      </c>
      <c r="C85" t="s">
        <v>161</v>
      </c>
      <c r="D85" t="s">
        <v>162</v>
      </c>
    </row>
    <row r="86" spans="2:4" ht="15.5">
      <c r="B86">
        <v>84</v>
      </c>
      <c r="C86" s="6" t="s">
        <v>163</v>
      </c>
      <c r="D86" t="s">
        <v>164</v>
      </c>
    </row>
    <row r="87" spans="2:4">
      <c r="B87">
        <v>85</v>
      </c>
      <c r="C87" t="s">
        <v>165</v>
      </c>
      <c r="D87" t="s">
        <v>166</v>
      </c>
    </row>
    <row r="88" spans="2:4">
      <c r="B88">
        <v>86</v>
      </c>
      <c r="C88" t="s">
        <v>167</v>
      </c>
      <c r="D88" t="s">
        <v>168</v>
      </c>
    </row>
    <row r="89" spans="2:4">
      <c r="B89">
        <v>87</v>
      </c>
      <c r="C89" t="s">
        <v>169</v>
      </c>
      <c r="D89" t="s">
        <v>170</v>
      </c>
    </row>
    <row r="90" spans="2:4">
      <c r="B90">
        <v>88</v>
      </c>
      <c r="C90" t="s">
        <v>53</v>
      </c>
      <c r="D90" t="s">
        <v>54</v>
      </c>
    </row>
    <row r="91" spans="2:4">
      <c r="B91">
        <v>89</v>
      </c>
      <c r="C91" s="10" t="s">
        <v>171</v>
      </c>
      <c r="D91" t="s">
        <v>172</v>
      </c>
    </row>
    <row r="92" spans="2:4">
      <c r="B92">
        <v>90</v>
      </c>
      <c r="C92" t="s">
        <v>173</v>
      </c>
      <c r="D92" t="s">
        <v>173</v>
      </c>
    </row>
    <row r="93" spans="2:4">
      <c r="B93">
        <v>91</v>
      </c>
      <c r="C93" t="s">
        <v>174</v>
      </c>
      <c r="D93" t="s">
        <v>175</v>
      </c>
    </row>
    <row r="94" spans="2:4">
      <c r="B94">
        <v>92</v>
      </c>
      <c r="C94" t="s">
        <v>176</v>
      </c>
      <c r="D94" t="s">
        <v>177</v>
      </c>
    </row>
    <row r="95" spans="2:4">
      <c r="B95">
        <v>93</v>
      </c>
      <c r="C95" t="s">
        <v>178</v>
      </c>
      <c r="D95" t="s">
        <v>179</v>
      </c>
    </row>
    <row r="96" spans="2:4">
      <c r="B96">
        <v>94</v>
      </c>
      <c r="C96" t="s">
        <v>180</v>
      </c>
      <c r="D96" t="s">
        <v>181</v>
      </c>
    </row>
    <row r="97" spans="2:4">
      <c r="B97">
        <v>95</v>
      </c>
      <c r="C97" t="s">
        <v>182</v>
      </c>
      <c r="D97" t="s">
        <v>183</v>
      </c>
    </row>
    <row r="98" spans="2:4">
      <c r="B98">
        <v>96</v>
      </c>
      <c r="C98" s="11" t="s">
        <v>184</v>
      </c>
      <c r="D98" s="11" t="s">
        <v>185</v>
      </c>
    </row>
    <row r="99" spans="2:4">
      <c r="B99">
        <v>97</v>
      </c>
      <c r="C99" s="11" t="s">
        <v>186</v>
      </c>
      <c r="D99" s="11" t="s">
        <v>187</v>
      </c>
    </row>
    <row r="100" spans="2:4">
      <c r="B100">
        <v>98</v>
      </c>
      <c r="C100" s="11" t="s">
        <v>188</v>
      </c>
      <c r="D100" s="11" t="s">
        <v>189</v>
      </c>
    </row>
    <row r="101" spans="2:4">
      <c r="B101">
        <v>99</v>
      </c>
      <c r="C101" s="11" t="s">
        <v>190</v>
      </c>
      <c r="D101" t="s">
        <v>191</v>
      </c>
    </row>
    <row r="102" spans="2:4">
      <c r="B102">
        <v>100</v>
      </c>
      <c r="C102" s="11" t="s">
        <v>192</v>
      </c>
      <c r="D102" t="s">
        <v>193</v>
      </c>
    </row>
    <row r="103" spans="2:4">
      <c r="B103">
        <v>101</v>
      </c>
      <c r="C103" t="s">
        <v>194</v>
      </c>
      <c r="D103" t="s">
        <v>195</v>
      </c>
    </row>
    <row r="104" spans="2:4" ht="15" customHeight="1">
      <c r="B104">
        <v>102</v>
      </c>
      <c r="C104" t="s">
        <v>196</v>
      </c>
      <c r="D104" t="s">
        <v>197</v>
      </c>
    </row>
    <row r="105" spans="2:4">
      <c r="B105">
        <v>103</v>
      </c>
      <c r="C105" t="s">
        <v>198</v>
      </c>
      <c r="D105" t="s">
        <v>199</v>
      </c>
    </row>
    <row r="106" spans="2:4">
      <c r="B106">
        <v>104</v>
      </c>
      <c r="C106" t="s">
        <v>200</v>
      </c>
      <c r="D106" t="s">
        <v>201</v>
      </c>
    </row>
    <row r="107" spans="2:4">
      <c r="B107">
        <v>105</v>
      </c>
      <c r="C107" s="12" t="s">
        <v>202</v>
      </c>
      <c r="D107" t="s">
        <v>203</v>
      </c>
    </row>
    <row r="108" spans="2:4">
      <c r="B108">
        <v>106</v>
      </c>
      <c r="C108" s="12" t="s">
        <v>204</v>
      </c>
      <c r="D108" t="s">
        <v>205</v>
      </c>
    </row>
    <row r="109" spans="2:4">
      <c r="B109">
        <v>107</v>
      </c>
      <c r="C109" t="s">
        <v>206</v>
      </c>
      <c r="D109" t="s">
        <v>207</v>
      </c>
    </row>
    <row r="110" spans="2:4">
      <c r="B110">
        <v>108</v>
      </c>
      <c r="C110" s="12" t="s">
        <v>208</v>
      </c>
      <c r="D110" t="s">
        <v>209</v>
      </c>
    </row>
    <row r="111" spans="2:4">
      <c r="B111">
        <v>109</v>
      </c>
      <c r="C111" s="12" t="s">
        <v>210</v>
      </c>
      <c r="D111" t="s">
        <v>211</v>
      </c>
    </row>
    <row r="112" spans="2:4">
      <c r="B112">
        <v>110</v>
      </c>
      <c r="C112" s="12" t="s">
        <v>212</v>
      </c>
      <c r="D112" t="s">
        <v>213</v>
      </c>
    </row>
    <row r="113" spans="2:4">
      <c r="B113">
        <v>111</v>
      </c>
      <c r="C113" s="12" t="s">
        <v>214</v>
      </c>
      <c r="D113" t="s">
        <v>215</v>
      </c>
    </row>
    <row r="114" spans="2:4">
      <c r="B114">
        <v>112</v>
      </c>
      <c r="C114" s="13" t="s">
        <v>216</v>
      </c>
      <c r="D114" t="s">
        <v>217</v>
      </c>
    </row>
    <row r="115" spans="2:4">
      <c r="B115">
        <v>113</v>
      </c>
      <c r="C115" s="13" t="s">
        <v>55</v>
      </c>
      <c r="D115" t="s">
        <v>56</v>
      </c>
    </row>
    <row r="116" spans="2:4">
      <c r="B116">
        <v>114</v>
      </c>
      <c r="C116" s="12" t="s">
        <v>218</v>
      </c>
      <c r="D116" t="s">
        <v>219</v>
      </c>
    </row>
    <row r="117" spans="2:4">
      <c r="B117">
        <v>115</v>
      </c>
      <c r="C117" s="12" t="s">
        <v>220</v>
      </c>
      <c r="D117" t="s">
        <v>221</v>
      </c>
    </row>
    <row r="118" spans="2:4">
      <c r="B118">
        <v>116</v>
      </c>
      <c r="C118" s="12" t="s">
        <v>222</v>
      </c>
      <c r="D118" t="s">
        <v>223</v>
      </c>
    </row>
    <row r="119" spans="2:4" ht="15.5">
      <c r="B119">
        <v>117</v>
      </c>
      <c r="C119" s="6"/>
      <c r="D119" s="7"/>
    </row>
    <row r="120" spans="2:4">
      <c r="B120">
        <v>118</v>
      </c>
      <c r="C120" s="14" t="s">
        <v>224</v>
      </c>
      <c r="D120" t="s">
        <v>225</v>
      </c>
    </row>
    <row r="121" spans="2:4">
      <c r="B121">
        <v>119</v>
      </c>
      <c r="C121" s="15" t="s">
        <v>226</v>
      </c>
    </row>
    <row r="122" spans="2:4" ht="17">
      <c r="B122">
        <v>120</v>
      </c>
      <c r="C122" s="16" t="s">
        <v>57</v>
      </c>
      <c r="D122" t="s">
        <v>58</v>
      </c>
    </row>
    <row r="123" spans="2:4">
      <c r="B123">
        <v>121</v>
      </c>
      <c r="C123" t="s">
        <v>227</v>
      </c>
      <c r="D123" t="s">
        <v>228</v>
      </c>
    </row>
    <row r="124" spans="2:4">
      <c r="B124">
        <v>122</v>
      </c>
      <c r="C124" t="s">
        <v>229</v>
      </c>
      <c r="D124" t="s">
        <v>228</v>
      </c>
    </row>
    <row r="125" spans="2:4">
      <c r="B125">
        <v>123</v>
      </c>
      <c r="C125" t="s">
        <v>230</v>
      </c>
      <c r="D125" t="s">
        <v>231</v>
      </c>
    </row>
    <row r="126" spans="2:4">
      <c r="B126">
        <v>124</v>
      </c>
      <c r="C126" t="s">
        <v>232</v>
      </c>
      <c r="D126" t="s">
        <v>233</v>
      </c>
    </row>
    <row r="127" spans="2:4">
      <c r="B127">
        <v>125</v>
      </c>
      <c r="C127" t="s">
        <v>234</v>
      </c>
      <c r="D127" t="s">
        <v>235</v>
      </c>
    </row>
    <row r="128" spans="2:4">
      <c r="B128">
        <v>126</v>
      </c>
      <c r="C128" t="s">
        <v>236</v>
      </c>
      <c r="D128" t="s">
        <v>236</v>
      </c>
    </row>
    <row r="129" spans="2:4">
      <c r="B129">
        <v>127</v>
      </c>
      <c r="C129" t="s">
        <v>237</v>
      </c>
      <c r="D129" t="s">
        <v>237</v>
      </c>
    </row>
    <row r="130" spans="2:4">
      <c r="B130">
        <v>128</v>
      </c>
      <c r="C130" t="s">
        <v>238</v>
      </c>
      <c r="D130" t="s">
        <v>238</v>
      </c>
    </row>
    <row r="131" spans="2:4">
      <c r="B131">
        <v>129</v>
      </c>
      <c r="C131" t="s">
        <v>239</v>
      </c>
      <c r="D131" t="s">
        <v>239</v>
      </c>
    </row>
    <row r="132" spans="2:4">
      <c r="B132">
        <v>130</v>
      </c>
      <c r="C132" t="s">
        <v>240</v>
      </c>
      <c r="D132" t="s">
        <v>240</v>
      </c>
    </row>
    <row r="133" spans="2:4">
      <c r="B133">
        <v>131</v>
      </c>
      <c r="C133" s="17" t="s">
        <v>241</v>
      </c>
      <c r="D133" t="s">
        <v>242</v>
      </c>
    </row>
    <row r="134" spans="2:4">
      <c r="B134">
        <v>132</v>
      </c>
      <c r="C134" s="17" t="s">
        <v>243</v>
      </c>
      <c r="D134" t="s">
        <v>244</v>
      </c>
    </row>
    <row r="135" spans="2:4">
      <c r="B135">
        <v>133</v>
      </c>
      <c r="C135" s="17" t="s">
        <v>245</v>
      </c>
      <c r="D135" t="s">
        <v>246</v>
      </c>
    </row>
    <row r="136" spans="2:4">
      <c r="B136">
        <v>134</v>
      </c>
      <c r="C136" s="17" t="s">
        <v>247</v>
      </c>
      <c r="D136" t="s">
        <v>248</v>
      </c>
    </row>
    <row r="137" spans="2:4">
      <c r="B137">
        <v>135</v>
      </c>
      <c r="C137" s="17" t="s">
        <v>105</v>
      </c>
      <c r="D137" t="s">
        <v>106</v>
      </c>
    </row>
    <row r="138" spans="2:4">
      <c r="B138">
        <v>136</v>
      </c>
      <c r="C138" s="17" t="s">
        <v>249</v>
      </c>
      <c r="D138" t="s">
        <v>250</v>
      </c>
    </row>
    <row r="139" spans="2:4">
      <c r="B139">
        <v>137</v>
      </c>
      <c r="C139" s="17" t="s">
        <v>251</v>
      </c>
      <c r="D139" t="s">
        <v>252</v>
      </c>
    </row>
    <row r="140" spans="2:4">
      <c r="B140">
        <v>138</v>
      </c>
      <c r="C140" s="17" t="s">
        <v>253</v>
      </c>
      <c r="D140" t="s">
        <v>254</v>
      </c>
    </row>
    <row r="141" spans="2:4">
      <c r="B141">
        <v>139</v>
      </c>
      <c r="C141" s="17" t="s">
        <v>255</v>
      </c>
      <c r="D141" t="s">
        <v>256</v>
      </c>
    </row>
    <row r="142" spans="2:4">
      <c r="B142">
        <v>140</v>
      </c>
      <c r="C142" s="17" t="s">
        <v>257</v>
      </c>
      <c r="D142" t="s">
        <v>258</v>
      </c>
    </row>
    <row r="143" spans="2:4">
      <c r="B143">
        <v>141</v>
      </c>
      <c r="C143" s="17" t="s">
        <v>259</v>
      </c>
      <c r="D143" s="7" t="s">
        <v>260</v>
      </c>
    </row>
    <row r="144" spans="2:4">
      <c r="B144">
        <v>142</v>
      </c>
      <c r="C144" s="7" t="s">
        <v>261</v>
      </c>
      <c r="D144" s="7" t="s">
        <v>262</v>
      </c>
    </row>
    <row r="145" spans="2:4">
      <c r="B145">
        <v>143</v>
      </c>
      <c r="C145" s="7" t="s">
        <v>263</v>
      </c>
      <c r="D145" t="s">
        <v>264</v>
      </c>
    </row>
    <row r="146" spans="2:4">
      <c r="B146">
        <v>144</v>
      </c>
      <c r="C146" s="17" t="s">
        <v>265</v>
      </c>
      <c r="D146" t="s">
        <v>266</v>
      </c>
    </row>
    <row r="147" spans="2:4">
      <c r="B147">
        <v>145</v>
      </c>
      <c r="C147" s="17" t="s">
        <v>267</v>
      </c>
      <c r="D147" t="s">
        <v>268</v>
      </c>
    </row>
    <row r="148" spans="2:4">
      <c r="B148">
        <v>146</v>
      </c>
      <c r="C148" s="18" t="s">
        <v>269</v>
      </c>
      <c r="D148" t="s">
        <v>270</v>
      </c>
    </row>
    <row r="149" spans="2:4">
      <c r="B149">
        <v>147</v>
      </c>
      <c r="C149" s="7" t="s">
        <v>271</v>
      </c>
      <c r="D149" t="s">
        <v>96</v>
      </c>
    </row>
    <row r="150" spans="2:4">
      <c r="B150">
        <v>148</v>
      </c>
      <c r="C150" s="7" t="s">
        <v>272</v>
      </c>
      <c r="D150" t="s">
        <v>273</v>
      </c>
    </row>
    <row r="151" spans="2:4">
      <c r="B151">
        <v>149</v>
      </c>
      <c r="C151" s="7" t="s">
        <v>274</v>
      </c>
      <c r="D151" t="s">
        <v>275</v>
      </c>
    </row>
    <row r="152" spans="2:4">
      <c r="B152">
        <v>150</v>
      </c>
      <c r="C152" s="18" t="s">
        <v>276</v>
      </c>
      <c r="D152" t="s">
        <v>277</v>
      </c>
    </row>
    <row r="153" spans="2:4">
      <c r="B153">
        <v>151</v>
      </c>
      <c r="C153" s="19" t="s">
        <v>278</v>
      </c>
      <c r="D153" t="s">
        <v>279</v>
      </c>
    </row>
    <row r="154" spans="2:4">
      <c r="B154">
        <v>152</v>
      </c>
      <c r="C154" s="7" t="s">
        <v>280</v>
      </c>
      <c r="D154" t="s">
        <v>281</v>
      </c>
    </row>
    <row r="155" spans="2:4">
      <c r="B155">
        <v>153</v>
      </c>
      <c r="C155" s="7" t="s">
        <v>282</v>
      </c>
      <c r="D155" t="s">
        <v>283</v>
      </c>
    </row>
    <row r="156" spans="2:4">
      <c r="B156">
        <v>154</v>
      </c>
      <c r="C156" s="7" t="s">
        <v>284</v>
      </c>
      <c r="D156" t="s">
        <v>285</v>
      </c>
    </row>
    <row r="157" spans="2:4">
      <c r="B157">
        <v>155</v>
      </c>
      <c r="C157" s="7" t="s">
        <v>286</v>
      </c>
      <c r="D157" t="s">
        <v>287</v>
      </c>
    </row>
    <row r="158" spans="2:4">
      <c r="B158">
        <v>156</v>
      </c>
      <c r="C158" s="7" t="s">
        <v>288</v>
      </c>
      <c r="D158" t="s">
        <v>289</v>
      </c>
    </row>
    <row r="159" spans="2:4">
      <c r="B159">
        <v>157</v>
      </c>
      <c r="C159" s="7" t="s">
        <v>290</v>
      </c>
      <c r="D159" t="s">
        <v>291</v>
      </c>
    </row>
    <row r="160" spans="2:4">
      <c r="B160">
        <v>158</v>
      </c>
      <c r="C160" s="7" t="s">
        <v>292</v>
      </c>
      <c r="D160" t="s">
        <v>293</v>
      </c>
    </row>
    <row r="161" spans="2:5">
      <c r="B161">
        <v>159</v>
      </c>
      <c r="C161" s="20" t="s">
        <v>294</v>
      </c>
      <c r="D161" t="s">
        <v>295</v>
      </c>
    </row>
    <row r="162" spans="2:5">
      <c r="B162">
        <v>160</v>
      </c>
      <c r="C162" s="20" t="s">
        <v>296</v>
      </c>
      <c r="D162" t="s">
        <v>297</v>
      </c>
    </row>
    <row r="163" spans="2:5">
      <c r="B163">
        <v>161</v>
      </c>
      <c r="C163" s="7" t="s">
        <v>49</v>
      </c>
      <c r="D163" t="s">
        <v>50</v>
      </c>
    </row>
    <row r="164" spans="2:5">
      <c r="B164">
        <v>162</v>
      </c>
      <c r="C164" s="7" t="s">
        <v>298</v>
      </c>
      <c r="D164" t="s">
        <v>299</v>
      </c>
    </row>
    <row r="165" spans="2:5" ht="15">
      <c r="B165">
        <v>163</v>
      </c>
      <c r="C165" s="7" t="s">
        <v>300</v>
      </c>
      <c r="D165" t="s">
        <v>301</v>
      </c>
      <c r="E165" s="21"/>
    </row>
    <row r="166" spans="2:5">
      <c r="B166">
        <v>164</v>
      </c>
      <c r="C166" t="s">
        <v>302</v>
      </c>
      <c r="D166" t="s">
        <v>303</v>
      </c>
    </row>
    <row r="167" spans="2:5">
      <c r="B167">
        <v>165</v>
      </c>
      <c r="C167" s="22" t="s">
        <v>304</v>
      </c>
      <c r="D167" t="s">
        <v>305</v>
      </c>
    </row>
    <row r="168" spans="2:5">
      <c r="B168">
        <v>166</v>
      </c>
      <c r="C168" s="9" t="s">
        <v>298</v>
      </c>
      <c r="D168" t="s">
        <v>299</v>
      </c>
    </row>
    <row r="169" spans="2:5">
      <c r="B169">
        <v>167</v>
      </c>
      <c r="C169" t="s">
        <v>176</v>
      </c>
      <c r="D169" t="s">
        <v>177</v>
      </c>
    </row>
    <row r="170" spans="2:5">
      <c r="B170">
        <v>168</v>
      </c>
      <c r="C170" t="s">
        <v>178</v>
      </c>
      <c r="D170" t="s">
        <v>179</v>
      </c>
    </row>
    <row r="171" spans="2:5">
      <c r="B171">
        <v>169</v>
      </c>
      <c r="C171" t="s">
        <v>180</v>
      </c>
      <c r="D171" t="s">
        <v>181</v>
      </c>
    </row>
    <row r="172" spans="2:5">
      <c r="B172">
        <v>170</v>
      </c>
      <c r="C172" t="s">
        <v>182</v>
      </c>
      <c r="D172" t="s">
        <v>183</v>
      </c>
    </row>
    <row r="173" spans="2:5">
      <c r="B173">
        <v>171</v>
      </c>
      <c r="C173" t="s">
        <v>306</v>
      </c>
      <c r="D173" t="s">
        <v>307</v>
      </c>
    </row>
    <row r="174" spans="2:5">
      <c r="B174">
        <v>172</v>
      </c>
      <c r="C174" t="s">
        <v>163</v>
      </c>
      <c r="D174" t="s">
        <v>164</v>
      </c>
    </row>
    <row r="175" spans="2:5">
      <c r="B175">
        <v>173</v>
      </c>
      <c r="C175" t="s">
        <v>308</v>
      </c>
      <c r="D175" s="23" t="s">
        <v>309</v>
      </c>
    </row>
    <row r="176" spans="2:5">
      <c r="B176">
        <v>174</v>
      </c>
      <c r="C176" t="s">
        <v>310</v>
      </c>
      <c r="D176" s="23" t="s">
        <v>311</v>
      </c>
    </row>
    <row r="177" spans="2:4">
      <c r="B177">
        <v>175</v>
      </c>
      <c r="C177" s="24" t="s">
        <v>18</v>
      </c>
      <c r="D177" t="s">
        <v>19</v>
      </c>
    </row>
    <row r="178" spans="2:4">
      <c r="B178">
        <v>176</v>
      </c>
      <c r="C178" s="24" t="s">
        <v>312</v>
      </c>
      <c r="D178" s="25" t="s">
        <v>313</v>
      </c>
    </row>
    <row r="179" spans="2:4">
      <c r="B179">
        <v>177</v>
      </c>
      <c r="C179" s="24" t="s">
        <v>314</v>
      </c>
      <c r="D179" t="s">
        <v>315</v>
      </c>
    </row>
    <row r="180" spans="2:4">
      <c r="B180">
        <v>178</v>
      </c>
      <c r="C180" s="24" t="s">
        <v>316</v>
      </c>
      <c r="D180" t="s">
        <v>317</v>
      </c>
    </row>
    <row r="181" spans="2:4">
      <c r="B181">
        <v>179</v>
      </c>
      <c r="C181" s="24" t="s">
        <v>318</v>
      </c>
      <c r="D181" t="s">
        <v>319</v>
      </c>
    </row>
    <row r="182" spans="2:4">
      <c r="B182">
        <v>180</v>
      </c>
      <c r="C182" s="24" t="s">
        <v>320</v>
      </c>
      <c r="D182" t="s">
        <v>321</v>
      </c>
    </row>
    <row r="183" spans="2:4">
      <c r="B183">
        <v>181</v>
      </c>
      <c r="C183" s="24" t="s">
        <v>29</v>
      </c>
      <c r="D183" t="s">
        <v>29</v>
      </c>
    </row>
    <row r="184" spans="2:4">
      <c r="B184">
        <v>182</v>
      </c>
      <c r="C184" s="24" t="s">
        <v>31</v>
      </c>
      <c r="D184" t="s">
        <v>31</v>
      </c>
    </row>
    <row r="185" spans="2:4">
      <c r="B185">
        <v>183</v>
      </c>
      <c r="C185" s="24" t="s">
        <v>32</v>
      </c>
      <c r="D185" t="s">
        <v>33</v>
      </c>
    </row>
    <row r="186" spans="2:4">
      <c r="B186">
        <v>184</v>
      </c>
      <c r="C186" t="s">
        <v>322</v>
      </c>
      <c r="D186" t="s">
        <v>323</v>
      </c>
    </row>
    <row r="187" spans="2:4">
      <c r="B187">
        <v>185</v>
      </c>
      <c r="C187" t="s">
        <v>324</v>
      </c>
      <c r="D187" t="s">
        <v>325</v>
      </c>
    </row>
    <row r="188" spans="2:4">
      <c r="B188">
        <v>186</v>
      </c>
      <c r="C188" t="s">
        <v>326</v>
      </c>
      <c r="D188" t="s">
        <v>327</v>
      </c>
    </row>
    <row r="189" spans="2:4">
      <c r="B189">
        <v>187</v>
      </c>
      <c r="C189" t="s">
        <v>328</v>
      </c>
      <c r="D189" t="s">
        <v>275</v>
      </c>
    </row>
    <row r="190" spans="2:4">
      <c r="B190">
        <v>188</v>
      </c>
      <c r="C190" s="12" t="s">
        <v>329</v>
      </c>
    </row>
    <row r="191" spans="2:4">
      <c r="B191">
        <v>189</v>
      </c>
      <c r="C191" s="12" t="s">
        <v>330</v>
      </c>
    </row>
    <row r="192" spans="2:4">
      <c r="B192">
        <v>190</v>
      </c>
      <c r="C192" s="12" t="s">
        <v>331</v>
      </c>
    </row>
    <row r="193" spans="2:4">
      <c r="B193">
        <v>191</v>
      </c>
      <c r="C193" s="12" t="s">
        <v>208</v>
      </c>
      <c r="D193" t="s">
        <v>209</v>
      </c>
    </row>
    <row r="194" spans="2:4">
      <c r="B194">
        <v>192</v>
      </c>
      <c r="C194" s="12" t="s">
        <v>210</v>
      </c>
    </row>
    <row r="195" spans="2:4">
      <c r="B195">
        <v>193</v>
      </c>
      <c r="C195" s="12" t="s">
        <v>214</v>
      </c>
    </row>
    <row r="196" spans="2:4">
      <c r="B196">
        <v>194</v>
      </c>
      <c r="C196" s="13" t="s">
        <v>216</v>
      </c>
    </row>
    <row r="197" spans="2:4">
      <c r="B197">
        <v>195</v>
      </c>
      <c r="C197" s="12" t="s">
        <v>332</v>
      </c>
    </row>
    <row r="198" spans="2:4">
      <c r="B198">
        <v>196</v>
      </c>
      <c r="C198" s="12" t="s">
        <v>333</v>
      </c>
    </row>
    <row r="199" spans="2:4">
      <c r="B199">
        <v>197</v>
      </c>
      <c r="C199" s="12" t="s">
        <v>212</v>
      </c>
    </row>
    <row r="200" spans="2:4">
      <c r="B200">
        <v>198</v>
      </c>
      <c r="C200" s="12" t="s">
        <v>204</v>
      </c>
    </row>
    <row r="201" spans="2:4">
      <c r="B201">
        <v>199</v>
      </c>
      <c r="C201" s="12" t="s">
        <v>334</v>
      </c>
    </row>
    <row r="202" spans="2:4">
      <c r="B202">
        <v>200</v>
      </c>
      <c r="C202" s="12" t="s">
        <v>202</v>
      </c>
    </row>
    <row r="203" spans="2:4">
      <c r="B203">
        <v>201</v>
      </c>
      <c r="C203" s="12" t="s">
        <v>335</v>
      </c>
    </row>
    <row r="204" spans="2:4">
      <c r="B204">
        <v>202</v>
      </c>
      <c r="C204" s="13" t="s">
        <v>336</v>
      </c>
    </row>
    <row r="205" spans="2:4">
      <c r="B205">
        <v>203</v>
      </c>
      <c r="C205" s="12" t="s">
        <v>337</v>
      </c>
      <c r="D205" t="s">
        <v>338</v>
      </c>
    </row>
    <row r="206" spans="2:4">
      <c r="B206">
        <v>204</v>
      </c>
      <c r="C206" s="12" t="s">
        <v>339</v>
      </c>
      <c r="D206" t="s">
        <v>339</v>
      </c>
    </row>
    <row r="207" spans="2:4">
      <c r="B207">
        <v>205</v>
      </c>
      <c r="C207" s="12" t="s">
        <v>340</v>
      </c>
      <c r="D207" s="12" t="s">
        <v>341</v>
      </c>
    </row>
    <row r="208" spans="2:4">
      <c r="B208">
        <v>206</v>
      </c>
      <c r="C208" t="s">
        <v>342</v>
      </c>
      <c r="D208" t="s">
        <v>343</v>
      </c>
    </row>
    <row r="209" spans="2:8">
      <c r="B209">
        <v>207</v>
      </c>
      <c r="C209" t="s">
        <v>344</v>
      </c>
      <c r="D209" t="s">
        <v>345</v>
      </c>
    </row>
    <row r="210" spans="2:8">
      <c r="B210">
        <v>208</v>
      </c>
      <c r="C210" s="12" t="s">
        <v>346</v>
      </c>
      <c r="D210" t="s">
        <v>347</v>
      </c>
    </row>
    <row r="211" spans="2:8">
      <c r="B211">
        <v>209</v>
      </c>
      <c r="C211" s="12" t="s">
        <v>202</v>
      </c>
      <c r="D211" t="s">
        <v>203</v>
      </c>
    </row>
    <row r="212" spans="2:8">
      <c r="B212">
        <v>210</v>
      </c>
      <c r="C212" s="12" t="s">
        <v>348</v>
      </c>
      <c r="D212" t="s">
        <v>349</v>
      </c>
    </row>
    <row r="213" spans="2:8">
      <c r="B213">
        <v>211</v>
      </c>
      <c r="C213" s="12" t="s">
        <v>350</v>
      </c>
      <c r="D213" t="s">
        <v>351</v>
      </c>
    </row>
    <row r="214" spans="2:8">
      <c r="B214">
        <v>212</v>
      </c>
      <c r="C214" s="12" t="s">
        <v>352</v>
      </c>
      <c r="D214" t="s">
        <v>353</v>
      </c>
    </row>
    <row r="215" spans="2:8">
      <c r="B215">
        <v>213</v>
      </c>
      <c r="C215" s="12" t="s">
        <v>354</v>
      </c>
      <c r="D215" t="s">
        <v>355</v>
      </c>
    </row>
    <row r="216" spans="2:8">
      <c r="B216">
        <v>214</v>
      </c>
      <c r="C216" s="12" t="s">
        <v>208</v>
      </c>
      <c r="D216" t="s">
        <v>209</v>
      </c>
    </row>
    <row r="217" spans="2:8">
      <c r="B217">
        <v>215</v>
      </c>
      <c r="C217" s="12" t="s">
        <v>214</v>
      </c>
      <c r="D217" t="s">
        <v>356</v>
      </c>
    </row>
    <row r="218" spans="2:8">
      <c r="B218">
        <v>216</v>
      </c>
      <c r="C218" s="12" t="s">
        <v>335</v>
      </c>
      <c r="D218" t="s">
        <v>357</v>
      </c>
    </row>
    <row r="219" spans="2:8">
      <c r="B219">
        <v>217</v>
      </c>
      <c r="C219" s="12" t="s">
        <v>358</v>
      </c>
      <c r="D219" t="s">
        <v>338</v>
      </c>
    </row>
    <row r="220" spans="2:8" ht="15" customHeight="1">
      <c r="B220">
        <v>218</v>
      </c>
      <c r="C220" s="12" t="s">
        <v>359</v>
      </c>
      <c r="D220" s="12" t="s">
        <v>360</v>
      </c>
      <c r="E220" s="12"/>
      <c r="F220" s="12"/>
      <c r="G220" s="12"/>
      <c r="H220" s="12"/>
    </row>
    <row r="221" spans="2:8" ht="15" customHeight="1">
      <c r="B221">
        <v>219</v>
      </c>
      <c r="C221" t="s">
        <v>361</v>
      </c>
      <c r="D221" t="s">
        <v>362</v>
      </c>
    </row>
    <row r="222" spans="2:8">
      <c r="B222">
        <v>220</v>
      </c>
      <c r="C222" t="s">
        <v>363</v>
      </c>
      <c r="D222" t="s">
        <v>364</v>
      </c>
    </row>
    <row r="223" spans="2:8">
      <c r="B223">
        <v>221</v>
      </c>
      <c r="C223" t="s">
        <v>365</v>
      </c>
      <c r="D223" t="s">
        <v>366</v>
      </c>
    </row>
    <row r="224" spans="2:8">
      <c r="B224">
        <v>222</v>
      </c>
      <c r="C224" t="s">
        <v>367</v>
      </c>
      <c r="D224" t="s">
        <v>367</v>
      </c>
    </row>
    <row r="225" spans="2:4">
      <c r="B225">
        <v>223</v>
      </c>
      <c r="C225" t="s">
        <v>368</v>
      </c>
      <c r="D225" t="s">
        <v>369</v>
      </c>
    </row>
    <row r="226" spans="2:4">
      <c r="B226">
        <v>224</v>
      </c>
      <c r="C226" t="s">
        <v>370</v>
      </c>
      <c r="D226" t="s">
        <v>371</v>
      </c>
    </row>
    <row r="227" spans="2:4">
      <c r="B227">
        <v>225</v>
      </c>
      <c r="C227" t="s">
        <v>372</v>
      </c>
      <c r="D227" t="s">
        <v>373</v>
      </c>
    </row>
    <row r="228" spans="2:4">
      <c r="B228">
        <v>226</v>
      </c>
      <c r="C228" t="s">
        <v>374</v>
      </c>
      <c r="D228" t="s">
        <v>375</v>
      </c>
    </row>
    <row r="229" spans="2:4">
      <c r="B229">
        <v>227</v>
      </c>
      <c r="C229" s="11" t="s">
        <v>192</v>
      </c>
      <c r="D229" t="s">
        <v>193</v>
      </c>
    </row>
    <row r="230" spans="2:4">
      <c r="B230">
        <v>228</v>
      </c>
      <c r="C230" t="s">
        <v>376</v>
      </c>
      <c r="D230" t="s">
        <v>377</v>
      </c>
    </row>
    <row r="231" spans="2:4">
      <c r="B231">
        <v>229</v>
      </c>
      <c r="C231" t="s">
        <v>378</v>
      </c>
      <c r="D231" t="s">
        <v>379</v>
      </c>
    </row>
    <row r="232" spans="2:4">
      <c r="B232">
        <v>230</v>
      </c>
      <c r="C232" s="13" t="s">
        <v>7</v>
      </c>
      <c r="D232" t="s">
        <v>8</v>
      </c>
    </row>
    <row r="233" spans="2:4">
      <c r="B233">
        <v>231</v>
      </c>
      <c r="C233" s="12" t="s">
        <v>380</v>
      </c>
      <c r="D233" t="s">
        <v>381</v>
      </c>
    </row>
    <row r="234" spans="2:4">
      <c r="B234">
        <v>232</v>
      </c>
      <c r="C234" s="12" t="s">
        <v>16</v>
      </c>
      <c r="D234" t="s">
        <v>17</v>
      </c>
    </row>
    <row r="235" spans="2:4">
      <c r="B235">
        <v>233</v>
      </c>
      <c r="C235" s="12" t="s">
        <v>382</v>
      </c>
      <c r="D235" t="s">
        <v>383</v>
      </c>
    </row>
    <row r="236" spans="2:4">
      <c r="B236">
        <v>234</v>
      </c>
      <c r="C236" s="12" t="s">
        <v>384</v>
      </c>
      <c r="D236" t="s">
        <v>385</v>
      </c>
    </row>
    <row r="237" spans="2:4">
      <c r="B237">
        <v>235</v>
      </c>
      <c r="C237" s="12" t="s">
        <v>22</v>
      </c>
      <c r="D237" t="s">
        <v>22</v>
      </c>
    </row>
    <row r="238" spans="2:4">
      <c r="B238">
        <v>236</v>
      </c>
      <c r="C238" s="12" t="s">
        <v>386</v>
      </c>
      <c r="D238" t="s">
        <v>387</v>
      </c>
    </row>
    <row r="239" spans="2:4">
      <c r="B239">
        <v>237</v>
      </c>
      <c r="C239" s="12" t="s">
        <v>24</v>
      </c>
      <c r="D239" t="s">
        <v>24</v>
      </c>
    </row>
    <row r="240" spans="2:4">
      <c r="B240">
        <v>238</v>
      </c>
      <c r="C240" s="12" t="s">
        <v>388</v>
      </c>
      <c r="D240" t="s">
        <v>28</v>
      </c>
    </row>
    <row r="241" spans="2:4">
      <c r="B241">
        <v>239</v>
      </c>
      <c r="C241" s="12" t="s">
        <v>389</v>
      </c>
      <c r="D241" t="s">
        <v>390</v>
      </c>
    </row>
    <row r="242" spans="2:4">
      <c r="B242">
        <v>240</v>
      </c>
      <c r="C242" s="12" t="s">
        <v>391</v>
      </c>
      <c r="D242" t="s">
        <v>392</v>
      </c>
    </row>
    <row r="243" spans="2:4">
      <c r="B243">
        <v>241</v>
      </c>
      <c r="C243" s="12" t="s">
        <v>393</v>
      </c>
      <c r="D243" t="s">
        <v>394</v>
      </c>
    </row>
    <row r="244" spans="2:4">
      <c r="B244">
        <v>242</v>
      </c>
      <c r="C244" s="12" t="s">
        <v>395</v>
      </c>
      <c r="D244" t="s">
        <v>396</v>
      </c>
    </row>
    <row r="245" spans="2:4">
      <c r="B245">
        <v>243</v>
      </c>
      <c r="C245" t="s">
        <v>397</v>
      </c>
      <c r="D245" t="s">
        <v>398</v>
      </c>
    </row>
    <row r="246" spans="2:4">
      <c r="B246">
        <v>244</v>
      </c>
      <c r="C246" t="s">
        <v>399</v>
      </c>
      <c r="D246" t="s">
        <v>400</v>
      </c>
    </row>
    <row r="247" spans="2:4" ht="15.5">
      <c r="B247">
        <v>245</v>
      </c>
      <c r="C247" s="6" t="s">
        <v>401</v>
      </c>
      <c r="D247" s="6" t="s">
        <v>402</v>
      </c>
    </row>
    <row r="248" spans="2:4">
      <c r="B248">
        <v>246</v>
      </c>
      <c r="C248" s="12" t="s">
        <v>403</v>
      </c>
      <c r="D248" t="s">
        <v>403</v>
      </c>
    </row>
    <row r="249" spans="2:4">
      <c r="B249">
        <v>247</v>
      </c>
      <c r="C249" t="s">
        <v>404</v>
      </c>
      <c r="D249" t="s">
        <v>405</v>
      </c>
    </row>
    <row r="250" spans="2:4">
      <c r="B250">
        <v>248</v>
      </c>
      <c r="C250" t="s">
        <v>406</v>
      </c>
      <c r="D250" t="s">
        <v>407</v>
      </c>
    </row>
    <row r="251" spans="2:4">
      <c r="B251">
        <v>249</v>
      </c>
      <c r="C251" t="s">
        <v>408</v>
      </c>
      <c r="D251" t="s">
        <v>409</v>
      </c>
    </row>
    <row r="252" spans="2:4">
      <c r="B252">
        <v>250</v>
      </c>
      <c r="C252" t="s">
        <v>410</v>
      </c>
      <c r="D252" t="s">
        <v>411</v>
      </c>
    </row>
    <row r="253" spans="2:4">
      <c r="B253">
        <v>251</v>
      </c>
      <c r="C253" t="s">
        <v>412</v>
      </c>
      <c r="D253" t="s">
        <v>413</v>
      </c>
    </row>
    <row r="254" spans="2:4">
      <c r="B254">
        <v>252</v>
      </c>
      <c r="C254" t="s">
        <v>414</v>
      </c>
      <c r="D254" t="s">
        <v>415</v>
      </c>
    </row>
    <row r="255" spans="2:4">
      <c r="B255">
        <v>253</v>
      </c>
      <c r="C255" t="s">
        <v>416</v>
      </c>
      <c r="D255" t="s">
        <v>417</v>
      </c>
    </row>
    <row r="256" spans="2:4">
      <c r="B256">
        <v>254</v>
      </c>
      <c r="C256" t="s">
        <v>418</v>
      </c>
      <c r="D256" t="s">
        <v>419</v>
      </c>
    </row>
    <row r="257" spans="2:4">
      <c r="B257">
        <v>255</v>
      </c>
      <c r="C257" t="s">
        <v>420</v>
      </c>
      <c r="D257" t="s">
        <v>421</v>
      </c>
    </row>
    <row r="258" spans="2:4">
      <c r="B258">
        <v>256</v>
      </c>
      <c r="C258" t="s">
        <v>422</v>
      </c>
      <c r="D258" t="s">
        <v>423</v>
      </c>
    </row>
    <row r="259" spans="2:4">
      <c r="B259">
        <v>257</v>
      </c>
      <c r="C259" t="s">
        <v>424</v>
      </c>
      <c r="D259" t="s">
        <v>425</v>
      </c>
    </row>
    <row r="260" spans="2:4">
      <c r="B260">
        <v>258</v>
      </c>
      <c r="C260" t="s">
        <v>426</v>
      </c>
      <c r="D260" t="s">
        <v>427</v>
      </c>
    </row>
    <row r="261" spans="2:4">
      <c r="B261">
        <v>259</v>
      </c>
      <c r="C261" t="s">
        <v>428</v>
      </c>
      <c r="D261" t="s">
        <v>429</v>
      </c>
    </row>
    <row r="262" spans="2:4">
      <c r="B262">
        <v>260</v>
      </c>
      <c r="C262" t="s">
        <v>430</v>
      </c>
      <c r="D262" t="s">
        <v>431</v>
      </c>
    </row>
    <row r="263" spans="2:4">
      <c r="B263">
        <v>261</v>
      </c>
      <c r="C263" t="s">
        <v>432</v>
      </c>
      <c r="D263" t="s">
        <v>433</v>
      </c>
    </row>
    <row r="264" spans="2:4">
      <c r="B264">
        <v>262</v>
      </c>
      <c r="C264" t="s">
        <v>434</v>
      </c>
      <c r="D264" t="s">
        <v>435</v>
      </c>
    </row>
    <row r="265" spans="2:4">
      <c r="B265">
        <v>263</v>
      </c>
      <c r="C265" t="s">
        <v>436</v>
      </c>
      <c r="D265" t="s">
        <v>437</v>
      </c>
    </row>
    <row r="266" spans="2:4">
      <c r="B266">
        <v>264</v>
      </c>
      <c r="C266" t="s">
        <v>438</v>
      </c>
      <c r="D266" t="s">
        <v>439</v>
      </c>
    </row>
    <row r="267" spans="2:4" ht="15" customHeight="1">
      <c r="B267">
        <v>265</v>
      </c>
      <c r="C267" t="s">
        <v>440</v>
      </c>
      <c r="D267" t="s">
        <v>441</v>
      </c>
    </row>
    <row r="268" spans="2:4">
      <c r="B268">
        <v>266</v>
      </c>
      <c r="C268" t="s">
        <v>442</v>
      </c>
      <c r="D268" t="s">
        <v>443</v>
      </c>
    </row>
    <row r="269" spans="2:4">
      <c r="B269">
        <v>267</v>
      </c>
      <c r="C269" t="s">
        <v>444</v>
      </c>
      <c r="D269" t="s">
        <v>445</v>
      </c>
    </row>
    <row r="270" spans="2:4">
      <c r="B270">
        <v>268</v>
      </c>
      <c r="C270" t="s">
        <v>446</v>
      </c>
      <c r="D270" t="s">
        <v>447</v>
      </c>
    </row>
    <row r="271" spans="2:4">
      <c r="B271">
        <v>269</v>
      </c>
      <c r="C271" t="s">
        <v>448</v>
      </c>
      <c r="D271" t="s">
        <v>449</v>
      </c>
    </row>
    <row r="272" spans="2:4">
      <c r="B272">
        <v>270</v>
      </c>
      <c r="C272" t="s">
        <v>450</v>
      </c>
      <c r="D272" t="s">
        <v>451</v>
      </c>
    </row>
    <row r="273" spans="2:4">
      <c r="B273">
        <v>271</v>
      </c>
      <c r="C273" t="s">
        <v>452</v>
      </c>
      <c r="D273" t="s">
        <v>453</v>
      </c>
    </row>
    <row r="274" spans="2:4">
      <c r="B274">
        <v>272</v>
      </c>
      <c r="C274" t="s">
        <v>454</v>
      </c>
      <c r="D274" t="s">
        <v>455</v>
      </c>
    </row>
    <row r="275" spans="2:4">
      <c r="B275">
        <v>273</v>
      </c>
      <c r="C275" s="26" t="s">
        <v>456</v>
      </c>
      <c r="D275" s="26" t="s">
        <v>457</v>
      </c>
    </row>
    <row r="276" spans="2:4" ht="15.5">
      <c r="B276">
        <v>274</v>
      </c>
      <c r="C276" s="27" t="s">
        <v>458</v>
      </c>
      <c r="D276" t="s">
        <v>459</v>
      </c>
    </row>
    <row r="277" spans="2:4">
      <c r="B277">
        <v>275</v>
      </c>
      <c r="C277" s="27" t="s">
        <v>460</v>
      </c>
      <c r="D277" t="s">
        <v>461</v>
      </c>
    </row>
    <row r="278" spans="2:4">
      <c r="B278">
        <v>276</v>
      </c>
      <c r="C278" s="27" t="s">
        <v>462</v>
      </c>
      <c r="D278" t="s">
        <v>463</v>
      </c>
    </row>
    <row r="279" spans="2:4">
      <c r="B279">
        <v>277</v>
      </c>
      <c r="C279" s="27" t="s">
        <v>464</v>
      </c>
      <c r="D279" t="s">
        <v>465</v>
      </c>
    </row>
    <row r="280" spans="2:4">
      <c r="B280">
        <v>278</v>
      </c>
      <c r="C280" s="27" t="s">
        <v>466</v>
      </c>
      <c r="D280" t="s">
        <v>467</v>
      </c>
    </row>
    <row r="281" spans="2:4">
      <c r="B281">
        <v>279</v>
      </c>
      <c r="C281" s="27" t="s">
        <v>468</v>
      </c>
      <c r="D281" t="s">
        <v>469</v>
      </c>
    </row>
    <row r="282" spans="2:4" ht="15.5">
      <c r="B282">
        <v>280</v>
      </c>
      <c r="C282" s="6" t="s">
        <v>470</v>
      </c>
      <c r="D282" s="6" t="s">
        <v>470</v>
      </c>
    </row>
    <row r="283" spans="2:4">
      <c r="B283">
        <v>281</v>
      </c>
      <c r="C283" s="27" t="s">
        <v>471</v>
      </c>
      <c r="D283" t="s">
        <v>472</v>
      </c>
    </row>
    <row r="284" spans="2:4" ht="15.5">
      <c r="B284">
        <v>282</v>
      </c>
      <c r="C284" s="6" t="s">
        <v>473</v>
      </c>
      <c r="D284" t="s">
        <v>474</v>
      </c>
    </row>
    <row r="285" spans="2:4" ht="15.5">
      <c r="B285">
        <v>283</v>
      </c>
      <c r="C285" s="6" t="s">
        <v>27</v>
      </c>
      <c r="D285" s="6" t="s">
        <v>475</v>
      </c>
    </row>
    <row r="286" spans="2:4" ht="15.5">
      <c r="B286">
        <v>284</v>
      </c>
      <c r="C286" s="6" t="s">
        <v>476</v>
      </c>
      <c r="D286" t="s">
        <v>477</v>
      </c>
    </row>
    <row r="287" spans="2:4" ht="15.5">
      <c r="B287">
        <v>285</v>
      </c>
      <c r="C287" s="6" t="s">
        <v>478</v>
      </c>
      <c r="D287" s="12" t="s">
        <v>479</v>
      </c>
    </row>
    <row r="288" spans="2:4" ht="15.5">
      <c r="B288">
        <v>286</v>
      </c>
      <c r="C288" s="6" t="s">
        <v>480</v>
      </c>
      <c r="D288" s="12" t="s">
        <v>481</v>
      </c>
    </row>
    <row r="289" spans="2:11" ht="15.5">
      <c r="B289">
        <v>287</v>
      </c>
      <c r="C289" s="6" t="s">
        <v>482</v>
      </c>
      <c r="D289" s="13" t="s">
        <v>483</v>
      </c>
    </row>
    <row r="290" spans="2:11" ht="15.5">
      <c r="B290">
        <v>288</v>
      </c>
      <c r="C290" s="6" t="s">
        <v>484</v>
      </c>
      <c r="D290" s="13" t="s">
        <v>485</v>
      </c>
    </row>
    <row r="291" spans="2:11" ht="15.5">
      <c r="B291">
        <v>289</v>
      </c>
      <c r="C291" s="6" t="s">
        <v>486</v>
      </c>
      <c r="D291" s="12" t="s">
        <v>487</v>
      </c>
    </row>
    <row r="292" spans="2:11" ht="15.5">
      <c r="B292">
        <v>290</v>
      </c>
      <c r="C292" s="6" t="s">
        <v>488</v>
      </c>
      <c r="D292" s="12" t="s">
        <v>489</v>
      </c>
    </row>
    <row r="293" spans="2:11" ht="15.5">
      <c r="B293">
        <v>291</v>
      </c>
      <c r="C293" s="6" t="s">
        <v>490</v>
      </c>
      <c r="D293" s="13" t="s">
        <v>491</v>
      </c>
    </row>
    <row r="294" spans="2:11" ht="15.5">
      <c r="B294">
        <v>292</v>
      </c>
      <c r="C294" s="6" t="s">
        <v>492</v>
      </c>
      <c r="D294" s="12" t="s">
        <v>493</v>
      </c>
    </row>
    <row r="295" spans="2:11" ht="15.5">
      <c r="B295">
        <v>293</v>
      </c>
      <c r="C295" s="6" t="s">
        <v>494</v>
      </c>
      <c r="D295" s="12" t="s">
        <v>495</v>
      </c>
    </row>
    <row r="296" spans="2:11" ht="15.5">
      <c r="B296">
        <v>294</v>
      </c>
      <c r="C296" s="6" t="s">
        <v>496</v>
      </c>
      <c r="D296" s="13" t="s">
        <v>497</v>
      </c>
    </row>
    <row r="297" spans="2:11" ht="15.5">
      <c r="B297">
        <v>295</v>
      </c>
      <c r="C297" s="6" t="s">
        <v>498</v>
      </c>
      <c r="D297" s="6" t="s">
        <v>499</v>
      </c>
    </row>
    <row r="298" spans="2:11">
      <c r="B298">
        <v>296</v>
      </c>
      <c r="C298" s="12" t="s">
        <v>500</v>
      </c>
      <c r="D298" t="s">
        <v>501</v>
      </c>
    </row>
    <row r="299" spans="2:11">
      <c r="B299">
        <v>297</v>
      </c>
      <c r="C299" t="s">
        <v>502</v>
      </c>
      <c r="D299" t="s">
        <v>503</v>
      </c>
      <c r="E299" s="28"/>
      <c r="F299" s="28"/>
      <c r="G299" s="28"/>
      <c r="H299" s="28"/>
      <c r="I299" s="28"/>
      <c r="J299" s="28"/>
      <c r="K299" s="28"/>
    </row>
    <row r="300" spans="2:11">
      <c r="B300">
        <v>298</v>
      </c>
      <c r="C300" t="s">
        <v>504</v>
      </c>
      <c r="D300" t="s">
        <v>505</v>
      </c>
    </row>
    <row r="301" spans="2:11" ht="15.5">
      <c r="B301">
        <v>299</v>
      </c>
      <c r="C301" s="6" t="s">
        <v>506</v>
      </c>
      <c r="D301" t="s">
        <v>507</v>
      </c>
    </row>
    <row r="302" spans="2:11" ht="15.5">
      <c r="B302">
        <v>300</v>
      </c>
      <c r="C302" s="6" t="s">
        <v>508</v>
      </c>
      <c r="D302" s="6" t="s">
        <v>509</v>
      </c>
    </row>
    <row r="303" spans="2:11">
      <c r="B303">
        <v>301</v>
      </c>
      <c r="C303" t="s">
        <v>510</v>
      </c>
      <c r="D303" t="s">
        <v>511</v>
      </c>
    </row>
    <row r="304" spans="2:11">
      <c r="B304">
        <v>302</v>
      </c>
      <c r="C304" t="s">
        <v>512</v>
      </c>
      <c r="D304" t="s">
        <v>513</v>
      </c>
    </row>
    <row r="305" spans="2:4" ht="15.5">
      <c r="B305">
        <v>303</v>
      </c>
      <c r="C305" s="29" t="s">
        <v>514</v>
      </c>
      <c r="D305" s="29" t="s">
        <v>515</v>
      </c>
    </row>
    <row r="306" spans="2:4" ht="15.5">
      <c r="B306">
        <v>304</v>
      </c>
      <c r="C306" s="27" t="s">
        <v>516</v>
      </c>
      <c r="D306" t="s">
        <v>517</v>
      </c>
    </row>
    <row r="307" spans="2:4">
      <c r="B307">
        <v>305</v>
      </c>
      <c r="C307" t="s">
        <v>518</v>
      </c>
      <c r="D307" t="s">
        <v>519</v>
      </c>
    </row>
    <row r="308" spans="2:4">
      <c r="B308">
        <v>306</v>
      </c>
      <c r="C308" t="s">
        <v>520</v>
      </c>
      <c r="D308" t="s">
        <v>521</v>
      </c>
    </row>
    <row r="309" spans="2:4">
      <c r="B309">
        <v>307</v>
      </c>
      <c r="C309" t="s">
        <v>522</v>
      </c>
      <c r="D309" t="s">
        <v>523</v>
      </c>
    </row>
    <row r="310" spans="2:4">
      <c r="B310">
        <v>308</v>
      </c>
      <c r="C310" t="s">
        <v>524</v>
      </c>
      <c r="D310" t="s">
        <v>525</v>
      </c>
    </row>
    <row r="311" spans="2:4" ht="15.5">
      <c r="B311">
        <v>309</v>
      </c>
      <c r="C311" s="27" t="s">
        <v>526</v>
      </c>
      <c r="D311" t="s">
        <v>527</v>
      </c>
    </row>
    <row r="312" spans="2:4" ht="15.5">
      <c r="B312">
        <v>310</v>
      </c>
      <c r="C312" s="27" t="s">
        <v>528</v>
      </c>
      <c r="D312" t="s">
        <v>529</v>
      </c>
    </row>
    <row r="313" spans="2:4">
      <c r="B313">
        <v>311</v>
      </c>
      <c r="C313" t="s">
        <v>530</v>
      </c>
      <c r="D313" t="s">
        <v>531</v>
      </c>
    </row>
    <row r="314" spans="2:4">
      <c r="B314">
        <v>312</v>
      </c>
      <c r="C314" t="s">
        <v>532</v>
      </c>
      <c r="D314" t="s">
        <v>533</v>
      </c>
    </row>
    <row r="315" spans="2:4">
      <c r="B315">
        <v>313</v>
      </c>
      <c r="C315" t="s">
        <v>534</v>
      </c>
      <c r="D315" t="s">
        <v>535</v>
      </c>
    </row>
    <row r="316" spans="2:4">
      <c r="B316">
        <v>314</v>
      </c>
      <c r="C316" t="s">
        <v>536</v>
      </c>
      <c r="D316" t="s">
        <v>537</v>
      </c>
    </row>
    <row r="317" spans="2:4">
      <c r="B317">
        <v>315</v>
      </c>
      <c r="C317" t="s">
        <v>538</v>
      </c>
      <c r="D317" t="s">
        <v>539</v>
      </c>
    </row>
    <row r="318" spans="2:4">
      <c r="B318">
        <v>316</v>
      </c>
      <c r="C318" t="s">
        <v>540</v>
      </c>
      <c r="D318" t="s">
        <v>541</v>
      </c>
    </row>
    <row r="319" spans="2:4">
      <c r="B319">
        <v>317</v>
      </c>
      <c r="C319" t="s">
        <v>542</v>
      </c>
      <c r="D319" t="s">
        <v>543</v>
      </c>
    </row>
    <row r="320" spans="2:4">
      <c r="B320">
        <v>318</v>
      </c>
      <c r="C320" t="s">
        <v>544</v>
      </c>
      <c r="D320" t="s">
        <v>505</v>
      </c>
    </row>
    <row r="321" spans="2:4">
      <c r="B321">
        <v>319</v>
      </c>
      <c r="C321" t="s">
        <v>545</v>
      </c>
      <c r="D321" t="s">
        <v>546</v>
      </c>
    </row>
    <row r="322" spans="2:4">
      <c r="B322">
        <v>320</v>
      </c>
      <c r="C322" t="s">
        <v>547</v>
      </c>
      <c r="D322" t="s">
        <v>548</v>
      </c>
    </row>
    <row r="323" spans="2:4">
      <c r="B323">
        <v>321</v>
      </c>
      <c r="C323" t="s">
        <v>549</v>
      </c>
      <c r="D323" t="s">
        <v>549</v>
      </c>
    </row>
    <row r="324" spans="2:4">
      <c r="B324">
        <v>322</v>
      </c>
      <c r="C324" t="s">
        <v>550</v>
      </c>
      <c r="D324" t="s">
        <v>550</v>
      </c>
    </row>
    <row r="325" spans="2:4">
      <c r="B325">
        <v>323</v>
      </c>
      <c r="C325" t="s">
        <v>551</v>
      </c>
      <c r="D325" t="s">
        <v>552</v>
      </c>
    </row>
    <row r="326" spans="2:4">
      <c r="B326">
        <v>324</v>
      </c>
      <c r="C326" t="s">
        <v>553</v>
      </c>
      <c r="D326" t="s">
        <v>554</v>
      </c>
    </row>
    <row r="1000" spans="1:1">
      <c r="A1000" t="s">
        <v>555</v>
      </c>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O997"/>
  <sheetViews>
    <sheetView showGridLines="0" zoomScaleNormal="100" workbookViewId="0"/>
  </sheetViews>
  <sheetFormatPr baseColWidth="10" defaultColWidth="11.453125" defaultRowHeight="14.5"/>
  <cols>
    <col min="1" max="1" width="62" style="63" customWidth="1"/>
    <col min="2" max="2" width="12.81640625" style="63" customWidth="1"/>
    <col min="3" max="3" width="13" style="63" customWidth="1"/>
    <col min="4" max="6" width="11.453125" style="63"/>
    <col min="7" max="9" width="0" style="63" hidden="1" customWidth="1"/>
    <col min="10" max="16384" width="11.453125" style="63"/>
  </cols>
  <sheetData>
    <row r="1" spans="1:9" ht="17">
      <c r="A1" s="61" t="str">
        <f>HLOOKUP(INDICE!$F$2,Nombres!$C$3:$D$636,15,FALSE)</f>
        <v>Chile</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74">
        <v>35.774999999999999</v>
      </c>
      <c r="C8" s="74">
        <v>36.613999999999997</v>
      </c>
      <c r="D8" s="74">
        <v>37.164000000000001</v>
      </c>
      <c r="E8" s="116">
        <v>42.386000000000003</v>
      </c>
      <c r="F8" s="74">
        <v>42.338000000000001</v>
      </c>
      <c r="G8" s="74">
        <v>0</v>
      </c>
      <c r="H8" s="74">
        <v>0</v>
      </c>
      <c r="I8" s="74">
        <v>0</v>
      </c>
    </row>
    <row r="9" spans="1:9">
      <c r="A9" s="17" t="str">
        <f>HLOOKUP(INDICE!$F$2,Nombres!$C$3:$D$636,34,FALSE)</f>
        <v>Net fees and commissions</v>
      </c>
      <c r="B9" s="77">
        <v>4.1100000000000003</v>
      </c>
      <c r="C9" s="77">
        <v>5.4420000000000002</v>
      </c>
      <c r="D9" s="77">
        <v>4.7279999999999998</v>
      </c>
      <c r="E9" s="78">
        <v>6.9530000000000003</v>
      </c>
      <c r="F9" s="77">
        <v>3.992</v>
      </c>
      <c r="G9" s="77">
        <v>0</v>
      </c>
      <c r="H9" s="77">
        <v>0</v>
      </c>
      <c r="I9" s="77">
        <v>0</v>
      </c>
    </row>
    <row r="10" spans="1:9">
      <c r="A10" s="17" t="str">
        <f>HLOOKUP(INDICE!$F$2,Nombres!$C$3:$D$636,35,FALSE)</f>
        <v>Net trading income</v>
      </c>
      <c r="B10" s="77">
        <v>0.13600000000000001</v>
      </c>
      <c r="C10" s="77">
        <v>0.68</v>
      </c>
      <c r="D10" s="77">
        <v>0.46600000000000003</v>
      </c>
      <c r="E10" s="78">
        <v>0.10199999999999999</v>
      </c>
      <c r="F10" s="77">
        <v>-3.0000000000000001E-3</v>
      </c>
      <c r="G10" s="77">
        <v>0</v>
      </c>
      <c r="H10" s="77">
        <v>0</v>
      </c>
      <c r="I10" s="77">
        <v>0</v>
      </c>
    </row>
    <row r="11" spans="1:9">
      <c r="A11" s="17" t="str">
        <f>HLOOKUP(INDICE!$F$2,Nombres!$C$3:$D$636,36,FALSE)</f>
        <v>Other operating income and expenses</v>
      </c>
      <c r="B11" s="77">
        <v>-0.13400000000000001</v>
      </c>
      <c r="C11" s="77">
        <v>-0.499</v>
      </c>
      <c r="D11" s="77">
        <v>-0.223</v>
      </c>
      <c r="E11" s="78">
        <v>-0.74399999999999999</v>
      </c>
      <c r="F11" s="77">
        <v>-0.35799999999999998</v>
      </c>
      <c r="G11" s="77">
        <v>0</v>
      </c>
      <c r="H11" s="77">
        <v>0</v>
      </c>
      <c r="I11" s="77">
        <v>0</v>
      </c>
    </row>
    <row r="12" spans="1:9">
      <c r="A12" s="25" t="str">
        <f>HLOOKUP(INDICE!$F$2,Nombres!$C$3:$D$636,37,FALSE)</f>
        <v>Gross income</v>
      </c>
      <c r="B12" s="74">
        <f t="shared" ref="B12:C12" si="0">+SUM(B8:B11)</f>
        <v>39.887</v>
      </c>
      <c r="C12" s="74">
        <f t="shared" si="0"/>
        <v>42.236999999999995</v>
      </c>
      <c r="D12" s="74">
        <f t="shared" ref="D12:E12" si="1">+SUM(D8:D11)</f>
        <v>42.135000000000005</v>
      </c>
      <c r="E12" s="116">
        <f t="shared" si="1"/>
        <v>48.697000000000003</v>
      </c>
      <c r="F12" s="74">
        <f t="shared" ref="F12:I12" si="2">+SUM(F8:F11)</f>
        <v>45.969000000000001</v>
      </c>
      <c r="G12" s="74">
        <f t="shared" si="2"/>
        <v>0</v>
      </c>
      <c r="H12" s="74">
        <f t="shared" si="2"/>
        <v>0</v>
      </c>
      <c r="I12" s="74">
        <f t="shared" si="2"/>
        <v>0</v>
      </c>
    </row>
    <row r="13" spans="1:9">
      <c r="A13" s="17" t="str">
        <f>HLOOKUP(INDICE!$F$2,Nombres!$C$3:$D$636,38,FALSE)</f>
        <v>Operating expenses</v>
      </c>
      <c r="B13" s="77">
        <v>-15.391000752</v>
      </c>
      <c r="C13" s="77">
        <v>-15.001000751999999</v>
      </c>
      <c r="D13" s="77">
        <v>-14.669000752000001</v>
      </c>
      <c r="E13" s="78">
        <v>-15.360000751999999</v>
      </c>
      <c r="F13" s="77">
        <v>-16.862877993999998</v>
      </c>
      <c r="G13" s="77">
        <v>0</v>
      </c>
      <c r="H13" s="77">
        <v>0</v>
      </c>
      <c r="I13" s="77">
        <v>0</v>
      </c>
    </row>
    <row r="14" spans="1:9">
      <c r="A14" s="17" t="str">
        <f>HLOOKUP(INDICE!$F$2,Nombres!$C$3:$D$636,39,FALSE)</f>
        <v xml:space="preserve">  Administration expenses</v>
      </c>
      <c r="B14" s="77">
        <v>-13.289000752</v>
      </c>
      <c r="C14" s="77">
        <v>-13.027000752000001</v>
      </c>
      <c r="D14" s="77">
        <v>-12.859000752</v>
      </c>
      <c r="E14" s="78">
        <v>-13.576000752000001</v>
      </c>
      <c r="F14" s="77">
        <v>-15.038877993999998</v>
      </c>
      <c r="G14" s="77">
        <v>0</v>
      </c>
      <c r="H14" s="77">
        <v>0</v>
      </c>
      <c r="I14" s="77">
        <v>0</v>
      </c>
    </row>
    <row r="15" spans="1:9">
      <c r="A15" s="79" t="str">
        <f>HLOOKUP(INDICE!$F$2,Nombres!$C$3:$D$636,40,FALSE)</f>
        <v xml:space="preserve">  Personnel expenses</v>
      </c>
      <c r="B15" s="77">
        <v>-5.6260000000000003</v>
      </c>
      <c r="C15" s="77">
        <v>-6.3890000000000002</v>
      </c>
      <c r="D15" s="77">
        <v>-6.3760000000000003</v>
      </c>
      <c r="E15" s="78">
        <v>-7.0579999999999998</v>
      </c>
      <c r="F15" s="77">
        <v>-6.94</v>
      </c>
      <c r="G15" s="77">
        <v>0</v>
      </c>
      <c r="H15" s="77">
        <v>0</v>
      </c>
      <c r="I15" s="77">
        <v>0</v>
      </c>
    </row>
    <row r="16" spans="1:9">
      <c r="A16" s="79" t="str">
        <f>HLOOKUP(INDICE!$F$2,Nombres!$C$3:$D$636,41,FALSE)</f>
        <v xml:space="preserve">  General and administrative expenses</v>
      </c>
      <c r="B16" s="77">
        <v>-7.6630007520000003</v>
      </c>
      <c r="C16" s="77">
        <v>-6.6380007519999999</v>
      </c>
      <c r="D16" s="77">
        <v>-6.4830007520000006</v>
      </c>
      <c r="E16" s="78">
        <v>-6.5180007520000007</v>
      </c>
      <c r="F16" s="77">
        <v>-8.0988779940000004</v>
      </c>
      <c r="G16" s="77">
        <v>0</v>
      </c>
      <c r="H16" s="77">
        <v>0</v>
      </c>
      <c r="I16" s="77">
        <v>0</v>
      </c>
    </row>
    <row r="17" spans="1:9">
      <c r="A17" s="17" t="str">
        <f>HLOOKUP(INDICE!$F$2,Nombres!$C$3:$D$636,42,FALSE)</f>
        <v xml:space="preserve">  Depreciation</v>
      </c>
      <c r="B17" s="77">
        <v>-2.1019999999999999</v>
      </c>
      <c r="C17" s="77">
        <v>-1.974</v>
      </c>
      <c r="D17" s="77">
        <v>-1.81</v>
      </c>
      <c r="E17" s="78">
        <v>-1.784</v>
      </c>
      <c r="F17" s="77">
        <v>-1.8240000000000001</v>
      </c>
      <c r="G17" s="77">
        <v>0</v>
      </c>
      <c r="H17" s="77">
        <v>0</v>
      </c>
      <c r="I17" s="77">
        <v>0</v>
      </c>
    </row>
    <row r="18" spans="1:9">
      <c r="A18" s="25" t="str">
        <f>HLOOKUP(INDICE!$F$2,Nombres!$C$3:$D$636,43,FALSE)</f>
        <v>Operating income</v>
      </c>
      <c r="B18" s="74">
        <f t="shared" ref="B18:I18" si="3">+B12+B13</f>
        <v>24.495999248</v>
      </c>
      <c r="C18" s="74">
        <f t="shared" si="3"/>
        <v>27.235999247999995</v>
      </c>
      <c r="D18" s="74">
        <f t="shared" si="3"/>
        <v>27.465999248000003</v>
      </c>
      <c r="E18" s="116">
        <f t="shared" si="3"/>
        <v>33.336999248000005</v>
      </c>
      <c r="F18" s="74">
        <f t="shared" si="3"/>
        <v>29.106122006000003</v>
      </c>
      <c r="G18" s="74">
        <f t="shared" si="3"/>
        <v>0</v>
      </c>
      <c r="H18" s="74">
        <f t="shared" si="3"/>
        <v>0</v>
      </c>
      <c r="I18" s="74">
        <f t="shared" si="3"/>
        <v>0</v>
      </c>
    </row>
    <row r="19" spans="1:9">
      <c r="A19" s="17" t="str">
        <f>HLOOKUP(INDICE!$F$2,Nombres!$C$3:$D$636,44,FALSE)</f>
        <v>Impaiment on financial assets not measured at fair value through profit or loss</v>
      </c>
      <c r="B19" s="77">
        <v>-16.353999999999999</v>
      </c>
      <c r="C19" s="77">
        <v>-14.936</v>
      </c>
      <c r="D19" s="77">
        <v>-12.417</v>
      </c>
      <c r="E19" s="78">
        <v>-19.021000000000001</v>
      </c>
      <c r="F19" s="77">
        <v>-15.734999999999999</v>
      </c>
      <c r="G19" s="77">
        <v>0</v>
      </c>
      <c r="H19" s="77">
        <v>0</v>
      </c>
      <c r="I19" s="77">
        <v>0</v>
      </c>
    </row>
    <row r="20" spans="1:9">
      <c r="A20" s="17" t="str">
        <f>HLOOKUP(INDICE!$F$2,Nombres!$C$3:$D$636,45,FALSE)</f>
        <v>Provisions or reversal of provisions and other results</v>
      </c>
      <c r="B20" s="77">
        <v>-4.7E-2</v>
      </c>
      <c r="C20" s="77">
        <v>0.25600000000000001</v>
      </c>
      <c r="D20" s="77">
        <v>-1.5530000000000002</v>
      </c>
      <c r="E20" s="78">
        <v>-0.83599999999999997</v>
      </c>
      <c r="F20" s="77">
        <v>0.28500000000000003</v>
      </c>
      <c r="G20" s="77">
        <v>0</v>
      </c>
      <c r="H20" s="77">
        <v>0</v>
      </c>
      <c r="I20" s="77">
        <v>0</v>
      </c>
    </row>
    <row r="21" spans="1:9">
      <c r="A21" s="25" t="str">
        <f>HLOOKUP(INDICE!$F$2,Nombres!$C$3:$D$636,46,FALSE)</f>
        <v>Profit/(loss) before tax</v>
      </c>
      <c r="B21" s="74">
        <f t="shared" ref="B21:I21" si="4">+B18+B19+B20</f>
        <v>8.0949992480000006</v>
      </c>
      <c r="C21" s="74">
        <f t="shared" si="4"/>
        <v>12.555999247999996</v>
      </c>
      <c r="D21" s="74">
        <f t="shared" si="4"/>
        <v>13.495999248000002</v>
      </c>
      <c r="E21" s="116">
        <f t="shared" si="4"/>
        <v>13.479999248000004</v>
      </c>
      <c r="F21" s="74">
        <f t="shared" si="4"/>
        <v>13.656122006000004</v>
      </c>
      <c r="G21" s="74">
        <f t="shared" si="4"/>
        <v>0</v>
      </c>
      <c r="H21" s="74">
        <f t="shared" si="4"/>
        <v>0</v>
      </c>
      <c r="I21" s="74">
        <f t="shared" si="4"/>
        <v>0</v>
      </c>
    </row>
    <row r="22" spans="1:9">
      <c r="A22" s="17" t="str">
        <f>HLOOKUP(INDICE!$F$2,Nombres!$C$3:$D$636,47,FALSE)</f>
        <v>Income tax</v>
      </c>
      <c r="B22" s="77">
        <v>-1.4562997744000001</v>
      </c>
      <c r="C22" s="77">
        <v>-1.8242997743999998</v>
      </c>
      <c r="D22" s="77">
        <v>-3.6222997744000001</v>
      </c>
      <c r="E22" s="78">
        <v>-3.5152997743999999</v>
      </c>
      <c r="F22" s="77">
        <v>-3.4520366018000002</v>
      </c>
      <c r="G22" s="77">
        <v>0</v>
      </c>
      <c r="H22" s="77">
        <v>0</v>
      </c>
      <c r="I22" s="77">
        <v>0</v>
      </c>
    </row>
    <row r="23" spans="1:9">
      <c r="A23" s="25" t="str">
        <f>HLOOKUP(INDICE!$F$2,Nombres!$C$3:$D$636,48,FALSE)</f>
        <v>Profit/(loss) for the year</v>
      </c>
      <c r="B23" s="74">
        <f t="shared" ref="B23:I23" si="5">+B21+B22</f>
        <v>6.6386994736000009</v>
      </c>
      <c r="C23" s="74">
        <f t="shared" si="5"/>
        <v>10.731699473599996</v>
      </c>
      <c r="D23" s="74">
        <f t="shared" si="5"/>
        <v>9.8736994736000021</v>
      </c>
      <c r="E23" s="116">
        <f t="shared" si="5"/>
        <v>9.9646994736000032</v>
      </c>
      <c r="F23" s="74">
        <f t="shared" si="5"/>
        <v>10.204085404200004</v>
      </c>
      <c r="G23" s="74">
        <f t="shared" si="5"/>
        <v>0</v>
      </c>
      <c r="H23" s="74">
        <f t="shared" si="5"/>
        <v>0</v>
      </c>
      <c r="I23" s="74">
        <f t="shared" si="5"/>
        <v>0</v>
      </c>
    </row>
    <row r="24" spans="1:9">
      <c r="A24" s="17" t="str">
        <f>HLOOKUP(INDICE!$F$2,Nombres!$C$3:$D$636,49,FALSE)</f>
        <v>Non-controlling interests</v>
      </c>
      <c r="B24" s="77">
        <v>0</v>
      </c>
      <c r="C24" s="77">
        <v>0</v>
      </c>
      <c r="D24" s="77">
        <v>0</v>
      </c>
      <c r="E24" s="78">
        <v>0</v>
      </c>
      <c r="F24" s="77">
        <v>0</v>
      </c>
      <c r="G24" s="77">
        <v>0</v>
      </c>
      <c r="H24" s="77">
        <v>0</v>
      </c>
      <c r="I24" s="77">
        <v>0</v>
      </c>
    </row>
    <row r="25" spans="1:9">
      <c r="A25" s="19" t="str">
        <f>HLOOKUP(INDICE!$F$2,Nombres!$C$3:$D$636,50,FALSE)</f>
        <v>Net attributable profit</v>
      </c>
      <c r="B25" s="96">
        <f t="shared" ref="B25:I25" si="6">+B23+B24</f>
        <v>6.6386994736000009</v>
      </c>
      <c r="C25" s="96">
        <f t="shared" si="6"/>
        <v>10.731699473599996</v>
      </c>
      <c r="D25" s="96">
        <f t="shared" si="6"/>
        <v>9.8736994736000021</v>
      </c>
      <c r="E25" s="112">
        <f t="shared" si="6"/>
        <v>9.9646994736000032</v>
      </c>
      <c r="F25" s="96">
        <f t="shared" si="6"/>
        <v>10.204085404200004</v>
      </c>
      <c r="G25" s="96">
        <f t="shared" si="6"/>
        <v>0</v>
      </c>
      <c r="H25" s="96">
        <f t="shared" si="6"/>
        <v>0</v>
      </c>
      <c r="I25" s="96">
        <f t="shared" si="6"/>
        <v>0</v>
      </c>
    </row>
    <row r="26" spans="1:9">
      <c r="A26" s="117"/>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 sheets</v>
      </c>
      <c r="B28" s="66"/>
      <c r="C28" s="66"/>
      <c r="D28" s="66"/>
      <c r="E28" s="66"/>
      <c r="F28" s="66"/>
      <c r="G28" s="66"/>
      <c r="H28" s="66"/>
      <c r="I28" s="66"/>
    </row>
    <row r="29" spans="1:9">
      <c r="A29" s="67"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Cash, cash balances at central banks and other demand deposits</v>
      </c>
      <c r="B31" s="77">
        <v>22.748999999999999</v>
      </c>
      <c r="C31" s="77">
        <v>45.284999999999997</v>
      </c>
      <c r="D31" s="77">
        <v>62.965000000000003</v>
      </c>
      <c r="E31" s="78">
        <v>43.92</v>
      </c>
      <c r="F31" s="77">
        <v>27.585000000000001</v>
      </c>
      <c r="G31" s="77">
        <v>0</v>
      </c>
      <c r="H31" s="77">
        <v>0</v>
      </c>
      <c r="I31" s="77">
        <v>0</v>
      </c>
    </row>
    <row r="32" spans="1:9">
      <c r="A32" s="17" t="str">
        <f>HLOOKUP(INDICE!$F$2,Nombres!$C$3:$D$636,53,FALSE)</f>
        <v xml:space="preserve">Financial assets designated at fair value </v>
      </c>
      <c r="B32" s="86">
        <v>0</v>
      </c>
      <c r="C32" s="86">
        <v>0</v>
      </c>
      <c r="D32" s="86">
        <v>0</v>
      </c>
      <c r="E32" s="97">
        <v>0</v>
      </c>
      <c r="F32" s="77">
        <v>0</v>
      </c>
      <c r="G32" s="77">
        <v>0</v>
      </c>
      <c r="H32" s="77">
        <v>0</v>
      </c>
      <c r="I32" s="77">
        <v>0</v>
      </c>
    </row>
    <row r="33" spans="1:9">
      <c r="A33" s="17" t="str">
        <f>HLOOKUP(INDICE!$F$2,Nombres!$C$3:$D$636,54,FALSE)</f>
        <v>Financial assets at amortized cost</v>
      </c>
      <c r="B33" s="77">
        <v>2143.5819999999999</v>
      </c>
      <c r="C33" s="77">
        <v>2061.7330000000002</v>
      </c>
      <c r="D33" s="77">
        <v>2060.2860000000001</v>
      </c>
      <c r="E33" s="78">
        <v>2267.422</v>
      </c>
      <c r="F33" s="77">
        <v>2205.9209999999998</v>
      </c>
      <c r="G33" s="77">
        <v>0</v>
      </c>
      <c r="H33" s="77">
        <v>0</v>
      </c>
      <c r="I33" s="77">
        <v>0</v>
      </c>
    </row>
    <row r="34" spans="1:9">
      <c r="A34" s="17" t="str">
        <f>HLOOKUP(INDICE!$F$2,Nombres!$C$3:$D$636,55,FALSE)</f>
        <v xml:space="preserve">    of which loans and advances to customers</v>
      </c>
      <c r="B34" s="77">
        <v>2141.431</v>
      </c>
      <c r="C34" s="77">
        <v>2020.2159999999999</v>
      </c>
      <c r="D34" s="77">
        <v>2056.52</v>
      </c>
      <c r="E34" s="78">
        <v>2248.9279999999999</v>
      </c>
      <c r="F34" s="77">
        <v>2195.9319999999998</v>
      </c>
      <c r="G34" s="77">
        <v>0</v>
      </c>
      <c r="H34" s="77">
        <v>0</v>
      </c>
      <c r="I34" s="77">
        <v>0</v>
      </c>
    </row>
    <row r="35" spans="1:9" hidden="1">
      <c r="A35" s="17"/>
      <c r="B35" s="77"/>
      <c r="C35" s="77"/>
      <c r="D35" s="77"/>
      <c r="E35" s="78"/>
      <c r="F35" s="77"/>
      <c r="G35" s="77"/>
      <c r="H35" s="77"/>
      <c r="I35" s="77"/>
    </row>
    <row r="36" spans="1:9">
      <c r="A36" s="17" t="str">
        <f>HLOOKUP(INDICE!$F$2,Nombres!$C$3:$D$636,56,FALSE)</f>
        <v>Tangible assets</v>
      </c>
      <c r="B36" s="77">
        <v>7</v>
      </c>
      <c r="C36" s="77">
        <v>6.5209999999999999</v>
      </c>
      <c r="D36" s="77">
        <v>6.8369999999999997</v>
      </c>
      <c r="E36" s="78">
        <v>6.8559999999999999</v>
      </c>
      <c r="F36" s="77">
        <v>6.58</v>
      </c>
      <c r="G36" s="77">
        <v>0</v>
      </c>
      <c r="H36" s="77">
        <v>0</v>
      </c>
      <c r="I36" s="77">
        <v>0</v>
      </c>
    </row>
    <row r="37" spans="1:9">
      <c r="A37" s="17" t="str">
        <f>HLOOKUP(INDICE!$F$2,Nombres!$C$3:$D$636,57,FALSE)</f>
        <v>Other assets</v>
      </c>
      <c r="B37" s="86">
        <f>+B38-B36-B33-B32-B31</f>
        <v>244.89499924800046</v>
      </c>
      <c r="C37" s="86">
        <f t="shared" ref="C37:I37" si="7">+C38-C36-C33-C32-C31</f>
        <v>209.10599849599961</v>
      </c>
      <c r="D37" s="86">
        <f t="shared" si="7"/>
        <v>200.80999774399984</v>
      </c>
      <c r="E37" s="97">
        <f t="shared" si="7"/>
        <v>238.86799699199997</v>
      </c>
      <c r="F37" s="77">
        <f t="shared" si="7"/>
        <v>266.47100000000006</v>
      </c>
      <c r="G37" s="77">
        <f t="shared" si="7"/>
        <v>0</v>
      </c>
      <c r="H37" s="77">
        <f t="shared" si="7"/>
        <v>0</v>
      </c>
      <c r="I37" s="77">
        <f t="shared" si="7"/>
        <v>0</v>
      </c>
    </row>
    <row r="38" spans="1:9">
      <c r="A38" s="19" t="str">
        <f>HLOOKUP(INDICE!$F$2,Nombres!$C$3:$D$636,58,FALSE)</f>
        <v>Total assets / Liabilities and equity</v>
      </c>
      <c r="B38" s="19">
        <v>2418.2259992480003</v>
      </c>
      <c r="C38" s="19">
        <v>2322.644998496</v>
      </c>
      <c r="D38" s="19">
        <v>2330.8979977439999</v>
      </c>
      <c r="E38" s="19">
        <v>2557.0659969920002</v>
      </c>
      <c r="F38" s="96">
        <v>2506.5569999999998</v>
      </c>
      <c r="G38" s="96">
        <v>0</v>
      </c>
      <c r="H38" s="96">
        <v>0</v>
      </c>
      <c r="I38" s="96">
        <v>0</v>
      </c>
    </row>
    <row r="39" spans="1:9">
      <c r="A39" s="17" t="str">
        <f>HLOOKUP(INDICE!$F$2,Nombres!$C$3:$D$636,59,FALSE)</f>
        <v>Financial liabilities held for trading and designated at fair value through profit or loss</v>
      </c>
      <c r="B39" s="86">
        <v>0</v>
      </c>
      <c r="C39" s="86">
        <v>0</v>
      </c>
      <c r="D39" s="86">
        <v>0</v>
      </c>
      <c r="E39" s="97">
        <v>0</v>
      </c>
      <c r="F39" s="77">
        <v>0</v>
      </c>
      <c r="G39" s="77">
        <v>0</v>
      </c>
      <c r="H39" s="77">
        <v>0</v>
      </c>
      <c r="I39" s="77">
        <v>0</v>
      </c>
    </row>
    <row r="40" spans="1:9">
      <c r="A40" s="17" t="str">
        <f>HLOOKUP(INDICE!$F$2,Nombres!$C$3:$D$636,60,FALSE)</f>
        <v>Deposits from central banks and credit institutions</v>
      </c>
      <c r="B40" s="86">
        <v>877.52</v>
      </c>
      <c r="C40" s="86">
        <v>786.16899999999998</v>
      </c>
      <c r="D40" s="86">
        <v>813.83500000000004</v>
      </c>
      <c r="E40" s="97">
        <v>819.95399999999995</v>
      </c>
      <c r="F40" s="77">
        <v>804.005</v>
      </c>
      <c r="G40" s="77">
        <v>0</v>
      </c>
      <c r="H40" s="77">
        <v>0</v>
      </c>
      <c r="I40" s="77">
        <v>0</v>
      </c>
    </row>
    <row r="41" spans="1:9" ht="15.75" customHeight="1">
      <c r="A41" s="17" t="str">
        <f>HLOOKUP(INDICE!$F$2,Nombres!$C$3:$D$636,61,FALSE)</f>
        <v>Deposits from customers</v>
      </c>
      <c r="B41" s="86">
        <v>1E-3</v>
      </c>
      <c r="C41" s="86">
        <v>2E-3</v>
      </c>
      <c r="D41" s="86">
        <v>8.9999999999999993E-3</v>
      </c>
      <c r="E41" s="97">
        <v>2.4E-2</v>
      </c>
      <c r="F41" s="77">
        <v>0</v>
      </c>
      <c r="G41" s="77">
        <v>0</v>
      </c>
      <c r="H41" s="77">
        <v>0</v>
      </c>
      <c r="I41" s="77">
        <v>0</v>
      </c>
    </row>
    <row r="42" spans="1:9">
      <c r="A42" s="17" t="str">
        <f>HLOOKUP(INDICE!$F$2,Nombres!$C$3:$D$636,62,FALSE)</f>
        <v>Debt certificates</v>
      </c>
      <c r="B42" s="77">
        <v>1087.5488192</v>
      </c>
      <c r="C42" s="77">
        <v>1104.0051344000001</v>
      </c>
      <c r="D42" s="77">
        <v>1041.4950846153183</v>
      </c>
      <c r="E42" s="78">
        <v>1191.5427601931872</v>
      </c>
      <c r="F42" s="77">
        <v>1134.5401292777983</v>
      </c>
      <c r="G42" s="77">
        <v>0</v>
      </c>
      <c r="H42" s="77">
        <v>0</v>
      </c>
      <c r="I42" s="77">
        <v>0</v>
      </c>
    </row>
    <row r="43" spans="1:9" hidden="1">
      <c r="A43" s="17"/>
      <c r="B43" s="77"/>
      <c r="C43" s="77"/>
      <c r="D43" s="77"/>
      <c r="E43" s="78"/>
      <c r="F43" s="77"/>
      <c r="G43" s="77"/>
      <c r="H43" s="77"/>
      <c r="I43" s="77"/>
    </row>
    <row r="44" spans="1:9">
      <c r="A44" s="17" t="str">
        <f>HLOOKUP(INDICE!$F$2,Nombres!$C$3:$D$636,63,FALSE)</f>
        <v>Other liabilities</v>
      </c>
      <c r="B44" s="86">
        <f>+B38-B39-B40-B41-B42-B45</f>
        <v>174.82402983700041</v>
      </c>
      <c r="C44" s="86">
        <f t="shared" ref="C44:I44" si="8">+C38-C39-C40-C41-C42-C45</f>
        <v>166.48392189600008</v>
      </c>
      <c r="D44" s="86">
        <f t="shared" si="8"/>
        <v>212.99236697680152</v>
      </c>
      <c r="E44" s="97">
        <f t="shared" si="8"/>
        <v>264.71003253077316</v>
      </c>
      <c r="F44" s="77">
        <f t="shared" si="8"/>
        <v>271.19365461932136</v>
      </c>
      <c r="G44" s="77">
        <f t="shared" si="8"/>
        <v>0</v>
      </c>
      <c r="H44" s="77">
        <f t="shared" si="8"/>
        <v>0</v>
      </c>
      <c r="I44" s="77">
        <f t="shared" si="8"/>
        <v>0</v>
      </c>
    </row>
    <row r="45" spans="1:9">
      <c r="A45" s="17" t="str">
        <f>HLOOKUP(INDICE!$F$2,Nombres!$C$3:$D$636,282,FALSE)</f>
        <v>Allocated regulatory capital</v>
      </c>
      <c r="B45" s="86">
        <v>278.33215021099994</v>
      </c>
      <c r="C45" s="86">
        <v>265.98494219999998</v>
      </c>
      <c r="D45" s="86">
        <v>262.56654615188</v>
      </c>
      <c r="E45" s="86">
        <v>280.83520426804006</v>
      </c>
      <c r="F45" s="86">
        <v>296.81821610288</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65" t="str">
        <f>HLOOKUP(INDICE!$F$2,Nombres!$C$3:$D$636,65,FALSE)</f>
        <v>Relevant business indicators</v>
      </c>
      <c r="B48" s="66"/>
      <c r="C48" s="66"/>
      <c r="D48" s="66"/>
      <c r="E48" s="66"/>
      <c r="F48" s="106"/>
      <c r="G48" s="106"/>
      <c r="H48" s="106"/>
      <c r="I48" s="106"/>
    </row>
    <row r="49" spans="1:9">
      <c r="A49" s="67" t="str">
        <f>HLOOKUP(INDICE!$F$2,Nombres!$C$3:$D$636,32,FALSE)</f>
        <v>(Million euros)</v>
      </c>
      <c r="B49" s="62"/>
      <c r="C49" s="62"/>
      <c r="D49" s="62"/>
      <c r="E49" s="62"/>
      <c r="F49" s="107"/>
      <c r="G49" s="77"/>
      <c r="H49" s="77"/>
      <c r="I49" s="77"/>
    </row>
    <row r="50" spans="1:9">
      <c r="A50" s="62"/>
      <c r="B50" s="87">
        <f t="shared" ref="B50:I50" si="9">+B$30</f>
        <v>45747</v>
      </c>
      <c r="C50" s="87">
        <f t="shared" si="9"/>
        <v>45838</v>
      </c>
      <c r="D50" s="87">
        <f t="shared" si="9"/>
        <v>45930</v>
      </c>
      <c r="E50" s="100">
        <f t="shared" si="9"/>
        <v>46022</v>
      </c>
      <c r="F50" s="87">
        <f t="shared" si="9"/>
        <v>46112</v>
      </c>
      <c r="G50" s="87">
        <f t="shared" si="9"/>
        <v>46203</v>
      </c>
      <c r="H50" s="87">
        <f t="shared" si="9"/>
        <v>46295</v>
      </c>
      <c r="I50" s="87">
        <f t="shared" si="9"/>
        <v>46387</v>
      </c>
    </row>
    <row r="51" spans="1:9">
      <c r="A51" s="17" t="str">
        <f>HLOOKUP(INDICE!$F$2,Nombres!$C$3:$D$636,66,FALSE)</f>
        <v>Loans and advances to customers (gross) (*)</v>
      </c>
      <c r="B51" s="77">
        <v>2226.4810000000002</v>
      </c>
      <c r="C51" s="77">
        <v>2098.6529999999998</v>
      </c>
      <c r="D51" s="77">
        <v>2133.5419999999999</v>
      </c>
      <c r="E51" s="78">
        <v>2334.9850000000001</v>
      </c>
      <c r="F51" s="77">
        <v>2281.41</v>
      </c>
      <c r="G51" s="77">
        <v>0</v>
      </c>
      <c r="H51" s="77">
        <v>0</v>
      </c>
      <c r="I51" s="77">
        <v>0</v>
      </c>
    </row>
    <row r="52" spans="1:9">
      <c r="A52" s="17" t="str">
        <f>HLOOKUP(INDICE!$F$2,Nombres!$C$3:$D$636,67,FALSE)</f>
        <v>Customer deposits under management (*)</v>
      </c>
      <c r="B52" s="77">
        <v>1E-3</v>
      </c>
      <c r="C52" s="77">
        <v>2E-3</v>
      </c>
      <c r="D52" s="77">
        <v>8.9999999999999993E-3</v>
      </c>
      <c r="E52" s="78">
        <v>2.4E-2</v>
      </c>
      <c r="F52" s="77">
        <v>0</v>
      </c>
      <c r="G52" s="77">
        <v>0</v>
      </c>
      <c r="H52" s="77">
        <v>0</v>
      </c>
      <c r="I52" s="77">
        <v>0</v>
      </c>
    </row>
    <row r="53" spans="1:9">
      <c r="A53" s="17" t="str">
        <f>HLOOKUP(INDICE!$F$2,Nombres!$C$3:$D$636,68,FALSE)</f>
        <v>Investment funds and managed portfolios</v>
      </c>
      <c r="B53" s="77">
        <v>0</v>
      </c>
      <c r="C53" s="77">
        <v>0</v>
      </c>
      <c r="D53" s="77">
        <v>0</v>
      </c>
      <c r="E53" s="78">
        <v>0</v>
      </c>
      <c r="F53" s="77">
        <v>0</v>
      </c>
      <c r="G53" s="77">
        <v>0</v>
      </c>
      <c r="H53" s="77">
        <v>0</v>
      </c>
      <c r="I53" s="77">
        <v>0</v>
      </c>
    </row>
    <row r="54" spans="1:9">
      <c r="A54" s="17" t="str">
        <f>HLOOKUP(INDICE!$F$2,Nombres!$C$3:$D$636,69,FALSE)</f>
        <v>Pension funds</v>
      </c>
      <c r="B54" s="77">
        <v>0</v>
      </c>
      <c r="C54" s="77">
        <v>0</v>
      </c>
      <c r="D54" s="77">
        <v>0</v>
      </c>
      <c r="E54" s="78">
        <v>0</v>
      </c>
      <c r="F54" s="77">
        <v>0</v>
      </c>
      <c r="G54" s="77">
        <v>0</v>
      </c>
      <c r="H54" s="77">
        <v>0</v>
      </c>
      <c r="I54" s="77">
        <v>0</v>
      </c>
    </row>
    <row r="55" spans="1:9">
      <c r="A55" s="17" t="str">
        <f>HLOOKUP(INDICE!$F$2,Nombres!$C$3:$D$636,70,FALSE)</f>
        <v>Other off balance-sheet funds</v>
      </c>
      <c r="B55" s="77">
        <v>0</v>
      </c>
      <c r="C55" s="77">
        <v>0</v>
      </c>
      <c r="D55" s="77">
        <v>0</v>
      </c>
      <c r="E55" s="78">
        <v>0</v>
      </c>
      <c r="F55" s="77">
        <v>0</v>
      </c>
      <c r="G55" s="77">
        <v>0</v>
      </c>
      <c r="H55" s="77">
        <v>0</v>
      </c>
      <c r="I55" s="77">
        <v>0</v>
      </c>
    </row>
    <row r="56" spans="1:9">
      <c r="A56" s="93" t="str">
        <f>HLOOKUP(INDICE!$F$2,Nombres!$C$3:$D$636,71,FALSE)</f>
        <v xml:space="preserve">(*) Excluding repos. </v>
      </c>
      <c r="B56" s="86"/>
      <c r="C56" s="86"/>
      <c r="D56" s="86"/>
      <c r="E56" s="86"/>
      <c r="F56" s="86"/>
      <c r="G56" s="86"/>
      <c r="H56" s="86"/>
      <c r="I56" s="86"/>
    </row>
    <row r="57" spans="1:9">
      <c r="A57" s="93">
        <f>HLOOKUP(INDICE!$F$2,Nombres!$C$3:$D$636,72,FALSE)</f>
        <v>0</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Income statement  </v>
      </c>
      <c r="B59" s="66"/>
      <c r="C59" s="66"/>
      <c r="D59" s="66"/>
      <c r="E59" s="66"/>
      <c r="F59" s="66"/>
      <c r="G59" s="66"/>
      <c r="H59" s="66"/>
      <c r="I59" s="66"/>
    </row>
    <row r="60" spans="1:9">
      <c r="A60" s="67" t="str">
        <f>HLOOKUP(INDICE!$F$2,Nombres!$C$3:$D$636,73,FALSE)</f>
        <v xml:space="preserve">(Constant million euros)    </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1Q</v>
      </c>
      <c r="C63" s="71" t="str">
        <f t="shared" ref="C63:I63" si="10">+C$7</f>
        <v>2Q</v>
      </c>
      <c r="D63" s="71" t="str">
        <f t="shared" si="10"/>
        <v>3Q</v>
      </c>
      <c r="E63" s="72" t="str">
        <f t="shared" si="10"/>
        <v>4Q</v>
      </c>
      <c r="F63" s="71" t="str">
        <f t="shared" si="10"/>
        <v>1Q</v>
      </c>
      <c r="G63" s="71" t="str">
        <f t="shared" si="10"/>
        <v>2Q</v>
      </c>
      <c r="H63" s="71" t="str">
        <f t="shared" si="10"/>
        <v>3Q</v>
      </c>
      <c r="I63" s="71" t="str">
        <f t="shared" si="10"/>
        <v>4Q</v>
      </c>
    </row>
    <row r="64" spans="1:9">
      <c r="A64" s="25" t="str">
        <f>HLOOKUP(INDICE!$F$2,Nombres!$C$3:$D$636,33,FALSE)</f>
        <v>Net interest income</v>
      </c>
      <c r="B64" s="74">
        <v>34.990933180216928</v>
      </c>
      <c r="C64" s="74">
        <v>37.926318335004758</v>
      </c>
      <c r="D64" s="74">
        <v>40.181262359367409</v>
      </c>
      <c r="E64" s="116">
        <v>44.425254807680375</v>
      </c>
      <c r="F64" s="74">
        <v>42.338000000000008</v>
      </c>
      <c r="G64" s="74">
        <v>0</v>
      </c>
      <c r="H64" s="74">
        <v>0</v>
      </c>
      <c r="I64" s="74">
        <v>0</v>
      </c>
    </row>
    <row r="65" spans="1:9">
      <c r="A65" s="17" t="str">
        <f>HLOOKUP(INDICE!$F$2,Nombres!$C$3:$D$636,34,FALSE)</f>
        <v>Net fees and commissions</v>
      </c>
      <c r="B65" s="77">
        <v>4.0199227217523843</v>
      </c>
      <c r="C65" s="77">
        <v>5.6017820465604498</v>
      </c>
      <c r="D65" s="77">
        <v>5.1204454067543246</v>
      </c>
      <c r="E65" s="78">
        <v>7.2713037796819719</v>
      </c>
      <c r="F65" s="77">
        <v>3.9920000000000009</v>
      </c>
      <c r="G65" s="77">
        <v>0</v>
      </c>
      <c r="H65" s="77">
        <v>0</v>
      </c>
      <c r="I65" s="77">
        <v>0</v>
      </c>
    </row>
    <row r="66" spans="1:9">
      <c r="A66" s="17" t="str">
        <f>HLOOKUP(INDICE!$F$2,Nombres!$C$3:$D$636,35,FALSE)</f>
        <v>Net trading income</v>
      </c>
      <c r="B66" s="77">
        <v>0.13301934067112578</v>
      </c>
      <c r="C66" s="77">
        <v>0.68893533802896534</v>
      </c>
      <c r="D66" s="77">
        <v>0.50153527399151165</v>
      </c>
      <c r="E66" s="78">
        <v>0.11138125125380235</v>
      </c>
      <c r="F66" s="77">
        <v>-3.0000000000000291E-3</v>
      </c>
      <c r="G66" s="77">
        <v>0</v>
      </c>
      <c r="H66" s="77">
        <v>0</v>
      </c>
      <c r="I66" s="77">
        <v>0</v>
      </c>
    </row>
    <row r="67" spans="1:9">
      <c r="A67" s="17" t="str">
        <f>HLOOKUP(INDICE!$F$2,Nombres!$C$3:$D$636,36,FALSE)</f>
        <v>Other operating income and expenses</v>
      </c>
      <c r="B67" s="77">
        <v>-0.13106317392139319</v>
      </c>
      <c r="C67" s="77">
        <v>-0.50655608043851663</v>
      </c>
      <c r="D67" s="77">
        <v>-0.24608386539527824</v>
      </c>
      <c r="E67" s="78">
        <v>-0.77510752030799235</v>
      </c>
      <c r="F67" s="77">
        <v>-0.3579999999139144</v>
      </c>
      <c r="G67" s="77">
        <v>0</v>
      </c>
      <c r="H67" s="77">
        <v>0</v>
      </c>
      <c r="I67" s="77">
        <v>0</v>
      </c>
    </row>
    <row r="68" spans="1:9">
      <c r="A68" s="25" t="str">
        <f>HLOOKUP(INDICE!$F$2,Nombres!$C$3:$D$636,37,FALSE)</f>
        <v>Gross income</v>
      </c>
      <c r="B68" s="74">
        <f t="shared" ref="B68:C68" si="11">+SUM(B64:B67)</f>
        <v>39.01281206871905</v>
      </c>
      <c r="C68" s="74">
        <f t="shared" si="11"/>
        <v>43.710479639155658</v>
      </c>
      <c r="D68" s="74">
        <f t="shared" ref="D68:I68" si="12">+SUM(D64:D67)</f>
        <v>45.557159174717974</v>
      </c>
      <c r="E68" s="116">
        <f t="shared" si="12"/>
        <v>51.032832318308159</v>
      </c>
      <c r="F68" s="74">
        <f t="shared" si="12"/>
        <v>45.969000000086098</v>
      </c>
      <c r="G68" s="74">
        <f t="shared" si="12"/>
        <v>0</v>
      </c>
      <c r="H68" s="74">
        <f t="shared" si="12"/>
        <v>0</v>
      </c>
      <c r="I68" s="74">
        <f t="shared" si="12"/>
        <v>0</v>
      </c>
    </row>
    <row r="69" spans="1:9">
      <c r="A69" s="17" t="str">
        <f>HLOOKUP(INDICE!$F$2,Nombres!$C$3:$D$636,38,FALSE)</f>
        <v>Operating expenses</v>
      </c>
      <c r="B69" s="77">
        <v>-15.053682149238629</v>
      </c>
      <c r="C69" s="77">
        <v>-15.560101957786458</v>
      </c>
      <c r="D69" s="77">
        <v>-15.905547986584526</v>
      </c>
      <c r="E69" s="78">
        <v>-16.122544590019817</v>
      </c>
      <c r="F69" s="77">
        <v>-16.862877994086087</v>
      </c>
      <c r="G69" s="77">
        <v>0</v>
      </c>
      <c r="H69" s="77">
        <v>0</v>
      </c>
      <c r="I69" s="77">
        <v>0</v>
      </c>
    </row>
    <row r="70" spans="1:9">
      <c r="A70" s="17" t="str">
        <f>HLOOKUP(INDICE!$F$2,Nombres!$C$3:$D$636,39,FALSE)</f>
        <v xml:space="preserve">  Administration expenses</v>
      </c>
      <c r="B70" s="77">
        <v>-12.997750869159914</v>
      </c>
      <c r="C70" s="77">
        <v>-13.51028903396619</v>
      </c>
      <c r="D70" s="77">
        <v>-13.934800878827676</v>
      </c>
      <c r="E70" s="78">
        <v>-14.247112394261444</v>
      </c>
      <c r="F70" s="77">
        <v>-15.038877994086089</v>
      </c>
      <c r="G70" s="77">
        <v>0</v>
      </c>
      <c r="H70" s="77">
        <v>0</v>
      </c>
      <c r="I70" s="77">
        <v>0</v>
      </c>
    </row>
    <row r="71" spans="1:9">
      <c r="A71" s="79" t="str">
        <f>HLOOKUP(INDICE!$F$2,Nombres!$C$3:$D$636,40,FALSE)</f>
        <v xml:space="preserve">  Personnel expenses</v>
      </c>
      <c r="B71" s="77">
        <v>-5.5026971368805189</v>
      </c>
      <c r="C71" s="77">
        <v>-6.5999811285381007</v>
      </c>
      <c r="D71" s="77">
        <v>-6.8835180839973527</v>
      </c>
      <c r="E71" s="78">
        <v>-7.3982236427853438</v>
      </c>
      <c r="F71" s="77">
        <v>-6.9400000000000022</v>
      </c>
      <c r="G71" s="77">
        <v>0</v>
      </c>
      <c r="H71" s="77">
        <v>0</v>
      </c>
      <c r="I71" s="77">
        <v>0</v>
      </c>
    </row>
    <row r="72" spans="1:9">
      <c r="A72" s="79" t="str">
        <f>HLOOKUP(INDICE!$F$2,Nombres!$C$3:$D$636,41,FALSE)</f>
        <v xml:space="preserve">  General and administrative expenses</v>
      </c>
      <c r="B72" s="77">
        <v>-7.4950537322793966</v>
      </c>
      <c r="C72" s="77">
        <v>-6.9103079054280885</v>
      </c>
      <c r="D72" s="77">
        <v>-7.0512827948303229</v>
      </c>
      <c r="E72" s="78">
        <v>-6.8488887514760997</v>
      </c>
      <c r="F72" s="77">
        <v>-8.0988779940860862</v>
      </c>
      <c r="G72" s="77">
        <v>0</v>
      </c>
      <c r="H72" s="77">
        <v>0</v>
      </c>
      <c r="I72" s="77">
        <v>0</v>
      </c>
    </row>
    <row r="73" spans="1:9">
      <c r="A73" s="17" t="str">
        <f>HLOOKUP(INDICE!$F$2,Nombres!$C$3:$D$636,42,FALSE)</f>
        <v xml:space="preserve">  Depreciation</v>
      </c>
      <c r="B73" s="77">
        <v>-2.0559312800787151</v>
      </c>
      <c r="C73" s="77">
        <v>-2.049812923820268</v>
      </c>
      <c r="D73" s="77">
        <v>-1.9707471077568499</v>
      </c>
      <c r="E73" s="78">
        <v>-1.8754321957583733</v>
      </c>
      <c r="F73" s="77">
        <v>-1.8240000000000001</v>
      </c>
      <c r="G73" s="77">
        <v>0</v>
      </c>
      <c r="H73" s="77">
        <v>0</v>
      </c>
      <c r="I73" s="77">
        <v>0</v>
      </c>
    </row>
    <row r="74" spans="1:9">
      <c r="A74" s="25" t="str">
        <f>HLOOKUP(INDICE!$F$2,Nombres!$C$3:$D$636,43,FALSE)</f>
        <v>Operating income</v>
      </c>
      <c r="B74" s="74">
        <f t="shared" ref="B74:I74" si="13">+B68+B69</f>
        <v>23.959129919480421</v>
      </c>
      <c r="C74" s="74">
        <f t="shared" si="13"/>
        <v>28.1503776813692</v>
      </c>
      <c r="D74" s="74">
        <f t="shared" si="13"/>
        <v>29.651611188133447</v>
      </c>
      <c r="E74" s="116">
        <f t="shared" si="13"/>
        <v>34.910287728288338</v>
      </c>
      <c r="F74" s="74">
        <f t="shared" si="13"/>
        <v>29.10612200600001</v>
      </c>
      <c r="G74" s="74">
        <f t="shared" si="13"/>
        <v>0</v>
      </c>
      <c r="H74" s="74">
        <f t="shared" si="13"/>
        <v>0</v>
      </c>
      <c r="I74" s="74">
        <f t="shared" si="13"/>
        <v>0</v>
      </c>
    </row>
    <row r="75" spans="1:9">
      <c r="A75" s="17" t="str">
        <f>HLOOKUP(INDICE!$F$2,Nombres!$C$3:$D$636,44,FALSE)</f>
        <v>Impaiment on financial assets not measured at fair value through profit or loss</v>
      </c>
      <c r="B75" s="77">
        <v>-15.995575715702799</v>
      </c>
      <c r="C75" s="77">
        <v>-15.522759941804361</v>
      </c>
      <c r="D75" s="77">
        <v>-13.603173985466238</v>
      </c>
      <c r="E75" s="78">
        <v>-19.912161513881639</v>
      </c>
      <c r="F75" s="77">
        <v>-15.735000000000003</v>
      </c>
      <c r="G75" s="77">
        <v>0</v>
      </c>
      <c r="H75" s="77">
        <v>0</v>
      </c>
      <c r="I75" s="77">
        <v>0</v>
      </c>
    </row>
    <row r="76" spans="1:9">
      <c r="A76" s="17" t="str">
        <f>HLOOKUP(INDICE!$F$2,Nombres!$C$3:$D$636,45,FALSE)</f>
        <v>Provisions or reversal of provisions and other results</v>
      </c>
      <c r="B76" s="77">
        <v>-4.5969919202521484E-2</v>
      </c>
      <c r="C76" s="77">
        <v>0.25649507587938231</v>
      </c>
      <c r="D76" s="77">
        <v>-1.5980216437420047</v>
      </c>
      <c r="E76" s="78">
        <v>-0.87263301047892083</v>
      </c>
      <c r="F76" s="77">
        <v>0.28499999999999953</v>
      </c>
      <c r="G76" s="77">
        <v>0</v>
      </c>
      <c r="H76" s="77">
        <v>0</v>
      </c>
      <c r="I76" s="77">
        <v>0</v>
      </c>
    </row>
    <row r="77" spans="1:9">
      <c r="A77" s="25" t="str">
        <f>HLOOKUP(INDICE!$F$2,Nombres!$C$3:$D$636,46,FALSE)</f>
        <v>Profit/(loss) before tax</v>
      </c>
      <c r="B77" s="74">
        <f t="shared" ref="B77:I77" si="14">+B74+B75+B76</f>
        <v>7.917584284575101</v>
      </c>
      <c r="C77" s="74">
        <f t="shared" si="14"/>
        <v>12.884112815444221</v>
      </c>
      <c r="D77" s="74">
        <f t="shared" si="14"/>
        <v>14.450415558925204</v>
      </c>
      <c r="E77" s="116">
        <f t="shared" si="14"/>
        <v>14.125493203927778</v>
      </c>
      <c r="F77" s="74">
        <f t="shared" si="14"/>
        <v>13.656122006000007</v>
      </c>
      <c r="G77" s="74">
        <f t="shared" si="14"/>
        <v>0</v>
      </c>
      <c r="H77" s="74">
        <f t="shared" si="14"/>
        <v>0</v>
      </c>
      <c r="I77" s="74">
        <f t="shared" si="14"/>
        <v>0</v>
      </c>
    </row>
    <row r="78" spans="1:9">
      <c r="A78" s="17" t="str">
        <f>HLOOKUP(INDICE!$F$2,Nombres!$C$3:$D$636,47,FALSE)</f>
        <v>Income tax</v>
      </c>
      <c r="B78" s="77">
        <v>-1.4243826162514421</v>
      </c>
      <c r="C78" s="77">
        <v>-1.8801567809024384</v>
      </c>
      <c r="D78" s="77">
        <v>-3.821761615870197</v>
      </c>
      <c r="E78" s="78">
        <v>-3.6748361850367979</v>
      </c>
      <c r="F78" s="77">
        <v>-3.4520366018000006</v>
      </c>
      <c r="G78" s="77">
        <v>0</v>
      </c>
      <c r="H78" s="77">
        <v>0</v>
      </c>
      <c r="I78" s="77">
        <v>0</v>
      </c>
    </row>
    <row r="79" spans="1:9">
      <c r="A79" s="25" t="str">
        <f>HLOOKUP(INDICE!$F$2,Nombres!$C$3:$D$636,48,FALSE)</f>
        <v>Profit/(loss) for the year</v>
      </c>
      <c r="B79" s="74">
        <f t="shared" ref="B79:I79" si="15">+B77+B78</f>
        <v>6.4932016683236586</v>
      </c>
      <c r="C79" s="74">
        <f t="shared" si="15"/>
        <v>11.003956034541782</v>
      </c>
      <c r="D79" s="74">
        <f t="shared" si="15"/>
        <v>10.628653943055006</v>
      </c>
      <c r="E79" s="116">
        <f t="shared" si="15"/>
        <v>10.450657018890981</v>
      </c>
      <c r="F79" s="74">
        <f t="shared" si="15"/>
        <v>10.204085404200008</v>
      </c>
      <c r="G79" s="74">
        <f t="shared" si="15"/>
        <v>0</v>
      </c>
      <c r="H79" s="74">
        <f t="shared" si="15"/>
        <v>0</v>
      </c>
      <c r="I79" s="74">
        <f t="shared" si="15"/>
        <v>0</v>
      </c>
    </row>
    <row r="80" spans="1:9">
      <c r="A80" s="17" t="str">
        <f>HLOOKUP(INDICE!$F$2,Nombres!$C$3:$D$636,49,FALSE)</f>
        <v>Non-controlling interests</v>
      </c>
      <c r="B80" s="77">
        <v>0</v>
      </c>
      <c r="C80" s="77">
        <v>0</v>
      </c>
      <c r="D80" s="77">
        <v>0</v>
      </c>
      <c r="E80" s="78">
        <v>0</v>
      </c>
      <c r="F80" s="77">
        <v>0</v>
      </c>
      <c r="G80" s="77">
        <v>0</v>
      </c>
      <c r="H80" s="77">
        <v>0</v>
      </c>
      <c r="I80" s="77">
        <v>0</v>
      </c>
    </row>
    <row r="81" spans="1:9">
      <c r="A81" s="19" t="str">
        <f>HLOOKUP(INDICE!$F$2,Nombres!$C$3:$D$636,50,FALSE)</f>
        <v>Net attributable profit</v>
      </c>
      <c r="B81" s="96">
        <f t="shared" ref="B81:I81" si="16">+B79+B80</f>
        <v>6.4932016683236586</v>
      </c>
      <c r="C81" s="96">
        <f t="shared" si="16"/>
        <v>11.003956034541782</v>
      </c>
      <c r="D81" s="96">
        <f t="shared" si="16"/>
        <v>10.628653943055006</v>
      </c>
      <c r="E81" s="112">
        <f t="shared" si="16"/>
        <v>10.450657018890981</v>
      </c>
      <c r="F81" s="96">
        <f t="shared" si="16"/>
        <v>10.204085404200008</v>
      </c>
      <c r="G81" s="96">
        <f t="shared" si="16"/>
        <v>0</v>
      </c>
      <c r="H81" s="96">
        <f t="shared" si="16"/>
        <v>0</v>
      </c>
      <c r="I81" s="96">
        <f t="shared" si="16"/>
        <v>0</v>
      </c>
    </row>
    <row r="82" spans="1:9">
      <c r="A82" s="117"/>
      <c r="B82" s="101">
        <v>7.9936057773011271E-15</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7">+B$30</f>
        <v>45747</v>
      </c>
      <c r="C86" s="87">
        <f t="shared" si="17"/>
        <v>45838</v>
      </c>
      <c r="D86" s="87">
        <f t="shared" si="17"/>
        <v>45930</v>
      </c>
      <c r="E86" s="100">
        <f t="shared" si="17"/>
        <v>46022</v>
      </c>
      <c r="F86" s="87">
        <f t="shared" si="17"/>
        <v>46112</v>
      </c>
      <c r="G86" s="87">
        <f t="shared" si="17"/>
        <v>46203</v>
      </c>
      <c r="H86" s="87">
        <f t="shared" si="17"/>
        <v>46295</v>
      </c>
      <c r="I86" s="87">
        <f t="shared" si="17"/>
        <v>46387</v>
      </c>
    </row>
    <row r="87" spans="1:9">
      <c r="A87" s="17" t="str">
        <f>HLOOKUP(INDICE!$F$2,Nombres!$C$3:$D$636,52,FALSE)</f>
        <v>Cash, cash balances at central banks and other demand deposits</v>
      </c>
      <c r="B87" s="77">
        <v>21.731418634730666</v>
      </c>
      <c r="C87" s="77">
        <v>46.365973196278546</v>
      </c>
      <c r="D87" s="77">
        <v>66.343492790474343</v>
      </c>
      <c r="E87" s="78">
        <v>43.705080983275693</v>
      </c>
      <c r="F87" s="77">
        <v>27.58499999999999</v>
      </c>
      <c r="G87" s="77">
        <v>0</v>
      </c>
      <c r="H87" s="77">
        <v>0</v>
      </c>
      <c r="I87" s="77">
        <v>0</v>
      </c>
    </row>
    <row r="88" spans="1:9">
      <c r="A88" s="17" t="str">
        <f>HLOOKUP(INDICE!$F$2,Nombres!$C$3:$D$636,53,FALSE)</f>
        <v xml:space="preserve">Financial assets designated at fair value </v>
      </c>
      <c r="B88" s="86">
        <v>0</v>
      </c>
      <c r="C88" s="86">
        <v>0</v>
      </c>
      <c r="D88" s="86">
        <v>0</v>
      </c>
      <c r="E88" s="97">
        <v>0</v>
      </c>
      <c r="F88" s="77">
        <v>0</v>
      </c>
      <c r="G88" s="77">
        <v>0</v>
      </c>
      <c r="H88" s="77">
        <v>0</v>
      </c>
      <c r="I88" s="77">
        <v>0</v>
      </c>
    </row>
    <row r="89" spans="1:9">
      <c r="A89" s="17" t="str">
        <f>HLOOKUP(INDICE!$F$2,Nombres!$C$3:$D$636,54,FALSE)</f>
        <v>Financial assets at amortized cost</v>
      </c>
      <c r="B89" s="77">
        <v>2047.6978249537653</v>
      </c>
      <c r="C89" s="77">
        <v>2110.9474884814604</v>
      </c>
      <c r="D89" s="77">
        <v>2170.8341044598624</v>
      </c>
      <c r="E89" s="78">
        <v>2256.3265513037545</v>
      </c>
      <c r="F89" s="77">
        <v>2205.9209999999994</v>
      </c>
      <c r="G89" s="77">
        <v>0</v>
      </c>
      <c r="H89" s="77">
        <v>0</v>
      </c>
      <c r="I89" s="77">
        <v>0</v>
      </c>
    </row>
    <row r="90" spans="1:9">
      <c r="A90" s="17" t="str">
        <f>HLOOKUP(INDICE!$F$2,Nombres!$C$3:$D$636,55,FALSE)</f>
        <v xml:space="preserve">    of which loans and advances to customers</v>
      </c>
      <c r="B90" s="77">
        <v>2045.6430409420154</v>
      </c>
      <c r="C90" s="77">
        <v>2068.439459129801</v>
      </c>
      <c r="D90" s="77">
        <v>2166.8660334069132</v>
      </c>
      <c r="E90" s="78">
        <v>2237.9230502175819</v>
      </c>
      <c r="F90" s="77">
        <v>2195.9319999999993</v>
      </c>
      <c r="G90" s="77">
        <v>0</v>
      </c>
      <c r="H90" s="77">
        <v>0</v>
      </c>
      <c r="I90" s="77">
        <v>0</v>
      </c>
    </row>
    <row r="91" spans="1:9" hidden="1">
      <c r="A91" s="17"/>
      <c r="B91" s="77"/>
      <c r="C91" s="77"/>
      <c r="D91" s="77"/>
      <c r="E91" s="78"/>
      <c r="F91" s="77"/>
      <c r="G91" s="77"/>
      <c r="H91" s="77"/>
      <c r="I91" s="77"/>
    </row>
    <row r="92" spans="1:9">
      <c r="A92" s="17" t="str">
        <f>HLOOKUP(INDICE!$F$2,Nombres!$C$3:$D$636,56,FALSE)</f>
        <v>Tangible assets</v>
      </c>
      <c r="B92" s="77">
        <v>6.6868842781271551</v>
      </c>
      <c r="C92" s="77">
        <v>6.6766591854462272</v>
      </c>
      <c r="D92" s="77">
        <v>7.2038507140232344</v>
      </c>
      <c r="E92" s="78">
        <v>6.8224507108683508</v>
      </c>
      <c r="F92" s="77">
        <v>6.5799999999999965</v>
      </c>
      <c r="G92" s="77">
        <v>0</v>
      </c>
      <c r="H92" s="77">
        <v>0</v>
      </c>
      <c r="I92" s="77">
        <v>0</v>
      </c>
    </row>
    <row r="93" spans="1:9">
      <c r="A93" s="17" t="str">
        <f>HLOOKUP(INDICE!$F$2,Nombres!$C$3:$D$636,57,FALSE)</f>
        <v>Other assets</v>
      </c>
      <c r="B93" s="86">
        <f>+B94-B92-B89-B88-B87</f>
        <v>233.94064553324901</v>
      </c>
      <c r="C93" s="86">
        <f t="shared" ref="C93:I93" si="18">+C94-C92-C89-C88-C87</f>
        <v>214.09745224105097</v>
      </c>
      <c r="D93" s="86">
        <f t="shared" si="18"/>
        <v>211.58479515552085</v>
      </c>
      <c r="E93" s="97">
        <f t="shared" si="18"/>
        <v>237.69911550300151</v>
      </c>
      <c r="F93" s="77">
        <f t="shared" si="18"/>
        <v>266.47100015535312</v>
      </c>
      <c r="G93" s="77">
        <f t="shared" si="18"/>
        <v>0</v>
      </c>
      <c r="H93" s="77">
        <f t="shared" si="18"/>
        <v>0</v>
      </c>
      <c r="I93" s="77">
        <f t="shared" si="18"/>
        <v>0</v>
      </c>
    </row>
    <row r="94" spans="1:9">
      <c r="A94" s="19" t="str">
        <f>HLOOKUP(INDICE!$F$2,Nombres!$C$3:$D$636,58,FALSE)</f>
        <v>Total assets / Liabilities and equity</v>
      </c>
      <c r="B94" s="19">
        <v>2310.0567733998723</v>
      </c>
      <c r="C94" s="19">
        <v>2378.0875731042361</v>
      </c>
      <c r="D94" s="19">
        <v>2455.9662431198808</v>
      </c>
      <c r="E94" s="19">
        <v>2544.5531985009002</v>
      </c>
      <c r="F94" s="96">
        <v>2506.5570001553524</v>
      </c>
      <c r="G94" s="96">
        <v>0</v>
      </c>
      <c r="H94" s="96">
        <v>0</v>
      </c>
      <c r="I94" s="96">
        <v>0</v>
      </c>
    </row>
    <row r="95" spans="1:9">
      <c r="A95" s="17" t="str">
        <f>HLOOKUP(INDICE!$F$2,Nombres!$C$3:$D$636,59,FALSE)</f>
        <v>Financial liabilities held for trading and designated at fair value through profit or loss</v>
      </c>
      <c r="B95" s="86">
        <v>0</v>
      </c>
      <c r="C95" s="86">
        <v>0</v>
      </c>
      <c r="D95" s="86">
        <v>0</v>
      </c>
      <c r="E95" s="97">
        <v>0</v>
      </c>
      <c r="F95" s="77">
        <v>0</v>
      </c>
      <c r="G95" s="77">
        <v>0</v>
      </c>
      <c r="H95" s="77">
        <v>0</v>
      </c>
      <c r="I95" s="77">
        <v>0</v>
      </c>
    </row>
    <row r="96" spans="1:9">
      <c r="A96" s="17" t="str">
        <f>HLOOKUP(INDICE!$F$2,Nombres!$C$3:$D$636,60,FALSE)</f>
        <v>Deposits from central banks and credit institutions</v>
      </c>
      <c r="B96" s="86">
        <v>838.26781310602018</v>
      </c>
      <c r="C96" s="86">
        <v>804.93520551496306</v>
      </c>
      <c r="D96" s="86">
        <v>857.50268331828295</v>
      </c>
      <c r="E96" s="97">
        <v>815.9416205045726</v>
      </c>
      <c r="F96" s="77">
        <v>804.00499999999977</v>
      </c>
      <c r="G96" s="77">
        <v>0</v>
      </c>
      <c r="H96" s="77">
        <v>0</v>
      </c>
      <c r="I96" s="77">
        <v>0</v>
      </c>
    </row>
    <row r="97" spans="1:9">
      <c r="A97" s="17" t="str">
        <f>HLOOKUP(INDICE!$F$2,Nombres!$C$3:$D$636,61,FALSE)</f>
        <v>Deposits from customers</v>
      </c>
      <c r="B97" s="86">
        <v>9.5525816842168573E-4</v>
      </c>
      <c r="C97" s="86">
        <v>2.0477429361548277E-3</v>
      </c>
      <c r="D97" s="86">
        <v>9.4829052650369696E-3</v>
      </c>
      <c r="E97" s="97">
        <v>2.3882557941844688E-2</v>
      </c>
      <c r="F97" s="77">
        <v>1.8129713833332062E-8</v>
      </c>
      <c r="G97" s="77">
        <v>0</v>
      </c>
      <c r="H97" s="77">
        <v>0</v>
      </c>
      <c r="I97" s="77">
        <v>0</v>
      </c>
    </row>
    <row r="98" spans="1:9">
      <c r="A98" s="17" t="str">
        <f>HLOOKUP(INDICE!$F$2,Nombres!$C$3:$D$636,62,FALSE)</f>
        <v>Debt certificates</v>
      </c>
      <c r="B98" s="77">
        <v>1038.7313476477902</v>
      </c>
      <c r="C98" s="77">
        <v>1130.3582300465948</v>
      </c>
      <c r="D98" s="77">
        <v>1097.3782520049365</v>
      </c>
      <c r="E98" s="78">
        <v>1185.7120407395053</v>
      </c>
      <c r="F98" s="77">
        <v>1134.5401292777981</v>
      </c>
      <c r="G98" s="77">
        <v>0</v>
      </c>
      <c r="H98" s="77">
        <v>0</v>
      </c>
      <c r="I98" s="77">
        <v>0</v>
      </c>
    </row>
    <row r="99" spans="1:9" hidden="1">
      <c r="A99" s="17"/>
      <c r="B99" s="77"/>
      <c r="C99" s="77"/>
      <c r="D99" s="77"/>
      <c r="E99" s="78"/>
      <c r="F99" s="77"/>
      <c r="G99" s="77"/>
      <c r="H99" s="77"/>
      <c r="I99" s="77"/>
    </row>
    <row r="100" spans="1:9">
      <c r="A100" s="17" t="str">
        <f>HLOOKUP(INDICE!$F$2,Nombres!$C$3:$D$636,63,FALSE)</f>
        <v>Other liabilities</v>
      </c>
      <c r="B100" s="86">
        <f>+B94-B95-B96-B97-B98-B101</f>
        <v>167.66642769546763</v>
      </c>
      <c r="C100" s="86">
        <f t="shared" ref="C100:I100" si="19">+C94-C95-C96-C97-C98-C101</f>
        <v>170.45796951810098</v>
      </c>
      <c r="D100" s="86">
        <f t="shared" si="19"/>
        <v>224.42082992841085</v>
      </c>
      <c r="E100" s="97">
        <f t="shared" si="19"/>
        <v>263.41469510119862</v>
      </c>
      <c r="F100" s="77">
        <f t="shared" si="19"/>
        <v>271.19365461932108</v>
      </c>
      <c r="G100" s="77">
        <f t="shared" si="19"/>
        <v>0</v>
      </c>
      <c r="H100" s="77">
        <f t="shared" si="19"/>
        <v>0</v>
      </c>
      <c r="I100" s="77">
        <f t="shared" si="19"/>
        <v>0</v>
      </c>
    </row>
    <row r="101" spans="1:9">
      <c r="A101" s="17" t="str">
        <f>HLOOKUP(INDICE!$F$2,Nombres!$C$3:$D$636,282,FALSE)</f>
        <v>Allocated regulatory capital</v>
      </c>
      <c r="B101" s="86">
        <v>265.39022969242581</v>
      </c>
      <c r="C101" s="86">
        <v>272.33412028164116</v>
      </c>
      <c r="D101" s="86">
        <v>276.6549949629856</v>
      </c>
      <c r="E101" s="86">
        <v>279.46095959768184</v>
      </c>
      <c r="F101" s="86">
        <v>296.81821624010394</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Relevant business indicators</v>
      </c>
      <c r="B104" s="66"/>
      <c r="C104" s="66"/>
      <c r="D104" s="66"/>
      <c r="E104" s="66"/>
      <c r="F104" s="106"/>
      <c r="G104" s="106"/>
      <c r="H104" s="106"/>
      <c r="I104" s="106"/>
    </row>
    <row r="105" spans="1:9">
      <c r="A105" s="67" t="str">
        <f>HLOOKUP(INDICE!$F$2,Nombres!$C$3:$D$636,73,FALSE)</f>
        <v xml:space="preserve">(Constant million euros)    </v>
      </c>
      <c r="B105" s="62"/>
      <c r="C105" s="62"/>
      <c r="D105" s="62"/>
      <c r="E105" s="62"/>
      <c r="F105" s="107"/>
      <c r="G105" s="77"/>
      <c r="H105" s="77"/>
      <c r="I105" s="77"/>
    </row>
    <row r="106" spans="1:9">
      <c r="A106" s="62"/>
      <c r="B106" s="87">
        <f t="shared" ref="B106:I106" si="20">+B$30</f>
        <v>45747</v>
      </c>
      <c r="C106" s="87">
        <f t="shared" si="20"/>
        <v>45838</v>
      </c>
      <c r="D106" s="87">
        <f t="shared" si="20"/>
        <v>45930</v>
      </c>
      <c r="E106" s="100">
        <f t="shared" si="20"/>
        <v>46022</v>
      </c>
      <c r="F106" s="87">
        <f t="shared" si="20"/>
        <v>46112</v>
      </c>
      <c r="G106" s="87">
        <f t="shared" si="20"/>
        <v>46203</v>
      </c>
      <c r="H106" s="87">
        <f t="shared" si="20"/>
        <v>46295</v>
      </c>
      <c r="I106" s="87">
        <f t="shared" si="20"/>
        <v>46387</v>
      </c>
    </row>
    <row r="107" spans="1:9">
      <c r="A107" s="17" t="str">
        <f>HLOOKUP(INDICE!$F$2,Nombres!$C$3:$D$636,66,FALSE)</f>
        <v>Loans and advances to customers (gross) (*)</v>
      </c>
      <c r="B107" s="77">
        <v>2126.8886849212604</v>
      </c>
      <c r="C107" s="77">
        <v>2148.7487853878665</v>
      </c>
      <c r="D107" s="77">
        <v>2248.0207781334743</v>
      </c>
      <c r="E107" s="78">
        <v>2323.5589371524125</v>
      </c>
      <c r="F107" s="77">
        <v>2281.4099999999994</v>
      </c>
      <c r="G107" s="77">
        <v>0</v>
      </c>
      <c r="H107" s="77">
        <v>0</v>
      </c>
      <c r="I107" s="77">
        <v>0</v>
      </c>
    </row>
    <row r="108" spans="1:9">
      <c r="A108" s="17" t="str">
        <f>HLOOKUP(INDICE!$F$2,Nombres!$C$3:$D$636,67,FALSE)</f>
        <v>Customer deposits under management (*)</v>
      </c>
      <c r="B108" s="77">
        <v>9.5525816842168573E-4</v>
      </c>
      <c r="C108" s="77">
        <v>2.0477429361548277E-3</v>
      </c>
      <c r="D108" s="77">
        <v>9.4829052650369696E-3</v>
      </c>
      <c r="E108" s="78">
        <v>2.3882557941844688E-2</v>
      </c>
      <c r="F108" s="77">
        <v>1.8129713833332062E-8</v>
      </c>
      <c r="G108" s="77">
        <v>0</v>
      </c>
      <c r="H108" s="77">
        <v>0</v>
      </c>
      <c r="I108" s="77">
        <v>0</v>
      </c>
    </row>
    <row r="109" spans="1:9">
      <c r="A109" s="17" t="str">
        <f>HLOOKUP(INDICE!$F$2,Nombres!$C$3:$D$636,68,FALSE)</f>
        <v>Investment funds and managed portfolios</v>
      </c>
      <c r="B109" s="77">
        <v>0</v>
      </c>
      <c r="C109" s="77">
        <v>0</v>
      </c>
      <c r="D109" s="77">
        <v>0</v>
      </c>
      <c r="E109" s="78">
        <v>0</v>
      </c>
      <c r="F109" s="77">
        <v>0</v>
      </c>
      <c r="G109" s="77">
        <v>0</v>
      </c>
      <c r="H109" s="77">
        <v>0</v>
      </c>
      <c r="I109" s="77">
        <v>0</v>
      </c>
    </row>
    <row r="110" spans="1:9">
      <c r="A110" s="17" t="str">
        <f>HLOOKUP(INDICE!$F$2,Nombres!$C$3:$D$636,69,FALSE)</f>
        <v>Pension funds</v>
      </c>
      <c r="B110" s="77">
        <v>0</v>
      </c>
      <c r="C110" s="77">
        <v>0</v>
      </c>
      <c r="D110" s="77">
        <v>0</v>
      </c>
      <c r="E110" s="78">
        <v>0</v>
      </c>
      <c r="F110" s="77">
        <v>0</v>
      </c>
      <c r="G110" s="77">
        <v>0</v>
      </c>
      <c r="H110" s="77">
        <v>0</v>
      </c>
      <c r="I110" s="77">
        <v>0</v>
      </c>
    </row>
    <row r="111" spans="1:9">
      <c r="A111" s="17" t="str">
        <f>HLOOKUP(INDICE!$F$2,Nombres!$C$3:$D$636,70,FALSE)</f>
        <v>Other off balance-sheet funds</v>
      </c>
      <c r="B111" s="77">
        <v>0</v>
      </c>
      <c r="C111" s="77">
        <v>0</v>
      </c>
      <c r="D111" s="77">
        <v>0</v>
      </c>
      <c r="E111" s="78">
        <v>0</v>
      </c>
      <c r="F111" s="77">
        <v>0</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Income statement  </v>
      </c>
      <c r="B115" s="66"/>
      <c r="C115" s="66"/>
      <c r="D115" s="66"/>
      <c r="E115" s="66"/>
      <c r="F115" s="66"/>
      <c r="G115" s="66"/>
      <c r="H115" s="66"/>
      <c r="I115" s="66"/>
    </row>
    <row r="116" spans="1:9">
      <c r="A116" s="67" t="str">
        <f>HLOOKUP(INDICE!$F$2,Nombres!$C$3:$D$636,81,FALSE)</f>
        <v>(Million Chilean pesos)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1Q</v>
      </c>
      <c r="C119" s="71" t="str">
        <f t="shared" ref="C119:I119" si="21">+C$7</f>
        <v>2Q</v>
      </c>
      <c r="D119" s="71" t="str">
        <f t="shared" si="21"/>
        <v>3Q</v>
      </c>
      <c r="E119" s="72" t="str">
        <f t="shared" si="21"/>
        <v>4Q</v>
      </c>
      <c r="F119" s="71" t="str">
        <f t="shared" si="21"/>
        <v>1Q</v>
      </c>
      <c r="G119" s="71" t="str">
        <f t="shared" si="21"/>
        <v>2Q</v>
      </c>
      <c r="H119" s="71" t="str">
        <f t="shared" si="21"/>
        <v>3Q</v>
      </c>
      <c r="I119" s="71" t="str">
        <f t="shared" si="21"/>
        <v>4Q</v>
      </c>
    </row>
    <row r="120" spans="1:9">
      <c r="A120" s="25" t="str">
        <f>HLOOKUP(INDICE!$F$2,Nombres!$C$3:$D$636,33,FALSE)</f>
        <v>Net interest income</v>
      </c>
      <c r="B120" s="74">
        <v>36272.841779044327</v>
      </c>
      <c r="C120" s="74">
        <v>39315.76609123082</v>
      </c>
      <c r="D120" s="74">
        <v>41653.321005672238</v>
      </c>
      <c r="E120" s="116">
        <v>46052.794029048186</v>
      </c>
      <c r="F120" s="74">
        <v>43889.071701278321</v>
      </c>
      <c r="G120" s="74">
        <v>0</v>
      </c>
      <c r="H120" s="74">
        <v>0</v>
      </c>
      <c r="I120" s="74">
        <v>0</v>
      </c>
    </row>
    <row r="121" spans="1:9">
      <c r="A121" s="17" t="str">
        <f>HLOOKUP(INDICE!$F$2,Nombres!$C$3:$D$636,34,FALSE)</f>
        <v>Net fees and commissions</v>
      </c>
      <c r="B121" s="77">
        <v>4167.1944014499586</v>
      </c>
      <c r="C121" s="77">
        <v>5807.0058551756129</v>
      </c>
      <c r="D121" s="77">
        <v>5308.0352307506619</v>
      </c>
      <c r="E121" s="78">
        <v>7537.6912690310855</v>
      </c>
      <c r="F121" s="77">
        <v>4138.2487182082996</v>
      </c>
      <c r="G121" s="77">
        <v>0</v>
      </c>
      <c r="H121" s="77">
        <v>0</v>
      </c>
      <c r="I121" s="77">
        <v>0</v>
      </c>
    </row>
    <row r="122" spans="1:9">
      <c r="A122" s="17" t="str">
        <f>HLOOKUP(INDICE!$F$2,Nombres!$C$3:$D$636,35,FALSE)</f>
        <v>Net trading income</v>
      </c>
      <c r="B122" s="77">
        <v>137.89256413557098</v>
      </c>
      <c r="C122" s="77">
        <v>714.17479447063306</v>
      </c>
      <c r="D122" s="77">
        <v>519.90924467225</v>
      </c>
      <c r="E122" s="78">
        <v>115.46175356550199</v>
      </c>
      <c r="F122" s="77">
        <v>-3.10990635135895</v>
      </c>
      <c r="G122" s="77">
        <v>0</v>
      </c>
      <c r="H122" s="77">
        <v>0</v>
      </c>
      <c r="I122" s="77">
        <v>0</v>
      </c>
    </row>
    <row r="123" spans="1:9">
      <c r="A123" s="17" t="str">
        <f>HLOOKUP(INDICE!$F$2,Nombres!$C$3:$D$636,36,FALSE)</f>
        <v>Other operating income and expenses</v>
      </c>
      <c r="B123" s="77">
        <v>-135.86473233580116</v>
      </c>
      <c r="C123" s="77">
        <v>-525.11399062507735</v>
      </c>
      <c r="D123" s="77">
        <v>-255.09925865324789</v>
      </c>
      <c r="E123" s="78">
        <v>-803.50393346395731</v>
      </c>
      <c r="F123" s="77">
        <v>-371.11549117293021</v>
      </c>
      <c r="G123" s="77">
        <v>0</v>
      </c>
      <c r="H123" s="77">
        <v>0</v>
      </c>
      <c r="I123" s="77">
        <v>0</v>
      </c>
    </row>
    <row r="124" spans="1:9">
      <c r="A124" s="25" t="str">
        <f>HLOOKUP(INDICE!$F$2,Nombres!$C$3:$D$636,37,FALSE)</f>
        <v>Gross income</v>
      </c>
      <c r="B124" s="74">
        <f t="shared" ref="B124:C124" si="22">+SUM(B120:B123)</f>
        <v>40442.06401229406</v>
      </c>
      <c r="C124" s="74">
        <f t="shared" si="22"/>
        <v>45311.832750251997</v>
      </c>
      <c r="D124" s="74">
        <f t="shared" ref="D124:F124" si="23">+SUM(D120:D123)</f>
        <v>47226.166222441905</v>
      </c>
      <c r="E124" s="116">
        <f t="shared" si="23"/>
        <v>52902.443118180818</v>
      </c>
      <c r="F124" s="74">
        <f t="shared" si="23"/>
        <v>47653.095021962326</v>
      </c>
      <c r="G124" s="74">
        <f t="shared" ref="G124:I124" si="24">+SUM(G120:G123)</f>
        <v>0</v>
      </c>
      <c r="H124" s="74">
        <f t="shared" si="24"/>
        <v>0</v>
      </c>
      <c r="I124" s="74">
        <f t="shared" si="24"/>
        <v>0</v>
      </c>
    </row>
    <row r="125" spans="1:9">
      <c r="A125" s="17" t="str">
        <f>HLOOKUP(INDICE!$F$2,Nombres!$C$3:$D$636,38,FALSE)</f>
        <v>Operating expenses</v>
      </c>
      <c r="B125" s="77">
        <v>-15605.180575751983</v>
      </c>
      <c r="C125" s="77">
        <v>-16130.153302104276</v>
      </c>
      <c r="D125" s="77">
        <v>-16488.254901774555</v>
      </c>
      <c r="E125" s="78">
        <v>-16713.20127352346</v>
      </c>
      <c r="F125" s="77">
        <v>-17480.657125333088</v>
      </c>
      <c r="G125" s="77">
        <v>0</v>
      </c>
      <c r="H125" s="77">
        <v>0</v>
      </c>
      <c r="I125" s="77">
        <v>0</v>
      </c>
    </row>
    <row r="126" spans="1:9">
      <c r="A126" s="17" t="str">
        <f>HLOOKUP(INDICE!$F$2,Nombres!$C$3:$D$636,39,FALSE)</f>
        <v xml:space="preserve">  Administration expenses</v>
      </c>
      <c r="B126" s="77">
        <v>-13473.929327127213</v>
      </c>
      <c r="C126" s="77">
        <v>-14005.244558475511</v>
      </c>
      <c r="D126" s="77">
        <v>-14445.308585996125</v>
      </c>
      <c r="E126" s="78">
        <v>-14769.061774479456</v>
      </c>
      <c r="F126" s="77">
        <v>-15589.834063706852</v>
      </c>
      <c r="G126" s="77">
        <v>0</v>
      </c>
      <c r="H126" s="77">
        <v>0</v>
      </c>
      <c r="I126" s="77">
        <v>0</v>
      </c>
    </row>
    <row r="127" spans="1:9">
      <c r="A127" s="79" t="str">
        <f>HLOOKUP(INDICE!$F$2,Nombres!$C$3:$D$636,40,FALSE)</f>
        <v xml:space="preserve">  Personnel expenses</v>
      </c>
      <c r="B127" s="77">
        <v>-5704.2909251964638</v>
      </c>
      <c r="C127" s="77">
        <v>-6841.7744101632697</v>
      </c>
      <c r="D127" s="77">
        <v>-7135.6988697058359</v>
      </c>
      <c r="E127" s="78">
        <v>-7669.2608984906765</v>
      </c>
      <c r="F127" s="77">
        <v>-7194.250026143689</v>
      </c>
      <c r="G127" s="77">
        <v>0</v>
      </c>
      <c r="H127" s="77">
        <v>0</v>
      </c>
      <c r="I127" s="77">
        <v>0</v>
      </c>
    </row>
    <row r="128" spans="1:9">
      <c r="A128" s="79" t="str">
        <f>HLOOKUP(INDICE!$F$2,Nombres!$C$3:$D$636,41,FALSE)</f>
        <v xml:space="preserve">  General and administrative expenses</v>
      </c>
      <c r="B128" s="77">
        <v>-7769.6384019307488</v>
      </c>
      <c r="C128" s="77">
        <v>-7163.4701483122417</v>
      </c>
      <c r="D128" s="77">
        <v>-7309.609716290287</v>
      </c>
      <c r="E128" s="78">
        <v>-7099.8008759887789</v>
      </c>
      <c r="F128" s="77">
        <v>-8395.5840375631633</v>
      </c>
      <c r="G128" s="77">
        <v>0</v>
      </c>
      <c r="H128" s="77">
        <v>0</v>
      </c>
      <c r="I128" s="77">
        <v>0</v>
      </c>
    </row>
    <row r="129" spans="1:9">
      <c r="A129" s="17" t="str">
        <f>HLOOKUP(INDICE!$F$2,Nombres!$C$3:$D$636,42,FALSE)</f>
        <v xml:space="preserve">  Depreciation</v>
      </c>
      <c r="B129" s="77">
        <v>-2131.251248624772</v>
      </c>
      <c r="C129" s="77">
        <v>-2124.9087436287655</v>
      </c>
      <c r="D129" s="77">
        <v>-2042.946315778431</v>
      </c>
      <c r="E129" s="78">
        <v>-1944.1394990440044</v>
      </c>
      <c r="F129" s="77">
        <v>-1890.8230616262372</v>
      </c>
      <c r="G129" s="77">
        <v>0</v>
      </c>
      <c r="H129" s="77">
        <v>0</v>
      </c>
      <c r="I129" s="77">
        <v>0</v>
      </c>
    </row>
    <row r="130" spans="1:9">
      <c r="A130" s="25" t="str">
        <f>HLOOKUP(INDICE!$F$2,Nombres!$C$3:$D$636,43,FALSE)</f>
        <v>Operating income</v>
      </c>
      <c r="B130" s="74">
        <f t="shared" ref="B130:I130" si="25">+B124+B125</f>
        <v>24836.883436542077</v>
      </c>
      <c r="C130" s="74">
        <f t="shared" si="25"/>
        <v>29181.679448147719</v>
      </c>
      <c r="D130" s="74">
        <f t="shared" si="25"/>
        <v>30737.91132066735</v>
      </c>
      <c r="E130" s="116">
        <f t="shared" si="25"/>
        <v>36189.241844657357</v>
      </c>
      <c r="F130" s="74">
        <f t="shared" si="25"/>
        <v>30172.437896629239</v>
      </c>
      <c r="G130" s="74">
        <f t="shared" si="25"/>
        <v>0</v>
      </c>
      <c r="H130" s="74">
        <f t="shared" si="25"/>
        <v>0</v>
      </c>
      <c r="I130" s="74">
        <f t="shared" si="25"/>
        <v>0</v>
      </c>
    </row>
    <row r="131" spans="1:9">
      <c r="A131" s="17" t="str">
        <f>HLOOKUP(INDICE!$F$2,Nombres!$C$3:$D$636,44,FALSE)</f>
        <v>Impaiment on financial assets not measured at fair value through profit or loss</v>
      </c>
      <c r="B131" s="77">
        <v>-16581.580837302336</v>
      </c>
      <c r="C131" s="77">
        <v>-16091.44324454585</v>
      </c>
      <c r="D131" s="77">
        <v>-14101.532392014065</v>
      </c>
      <c r="E131" s="78">
        <v>-20641.652520435211</v>
      </c>
      <c r="F131" s="77">
        <v>-16311.45881287766</v>
      </c>
      <c r="G131" s="77">
        <v>0</v>
      </c>
      <c r="H131" s="77">
        <v>0</v>
      </c>
      <c r="I131" s="77">
        <v>0</v>
      </c>
    </row>
    <row r="132" spans="1:9">
      <c r="A132" s="17" t="str">
        <f>HLOOKUP(INDICE!$F$2,Nombres!$C$3:$D$636,45,FALSE)</f>
        <v>Provisions or reversal of provisions and other results</v>
      </c>
      <c r="B132" s="77">
        <v>-47.654047899792999</v>
      </c>
      <c r="C132" s="77">
        <v>265.89188852319501</v>
      </c>
      <c r="D132" s="77">
        <v>-1656.5658864941061</v>
      </c>
      <c r="E132" s="78">
        <v>-904.60231389795683</v>
      </c>
      <c r="F132" s="77">
        <v>295.44110337909916</v>
      </c>
      <c r="G132" s="77">
        <v>0</v>
      </c>
      <c r="H132" s="77">
        <v>0</v>
      </c>
      <c r="I132" s="77">
        <v>0</v>
      </c>
    </row>
    <row r="133" spans="1:9">
      <c r="A133" s="25" t="str">
        <f>HLOOKUP(INDICE!$F$2,Nombres!$C$3:$D$636,46,FALSE)</f>
        <v>Profit/(loss) before tax</v>
      </c>
      <c r="B133" s="74">
        <f t="shared" ref="B133:I133" si="26">+B130+B131+B132</f>
        <v>8207.6485513399493</v>
      </c>
      <c r="C133" s="74">
        <f t="shared" si="26"/>
        <v>13356.128092125064</v>
      </c>
      <c r="D133" s="74">
        <f t="shared" si="26"/>
        <v>14979.813042159178</v>
      </c>
      <c r="E133" s="116">
        <f t="shared" si="26"/>
        <v>14642.98701032419</v>
      </c>
      <c r="F133" s="74">
        <f t="shared" si="26"/>
        <v>14156.420187130678</v>
      </c>
      <c r="G133" s="74">
        <f t="shared" si="26"/>
        <v>0</v>
      </c>
      <c r="H133" s="74">
        <f t="shared" si="26"/>
        <v>0</v>
      </c>
      <c r="I133" s="74">
        <f t="shared" si="26"/>
        <v>0</v>
      </c>
    </row>
    <row r="134" spans="1:9">
      <c r="A134" s="17" t="str">
        <f>HLOOKUP(INDICE!$F$2,Nombres!$C$3:$D$636,47,FALSE)</f>
        <v>Income tax</v>
      </c>
      <c r="B134" s="77">
        <v>-1476.5655150152106</v>
      </c>
      <c r="C134" s="77">
        <v>-1949.037171493025</v>
      </c>
      <c r="D134" s="77">
        <v>-3961.7735741915149</v>
      </c>
      <c r="E134" s="78">
        <v>-3809.4654640165318</v>
      </c>
      <c r="F134" s="77">
        <v>-3578.5035176871211</v>
      </c>
      <c r="G134" s="77">
        <v>0</v>
      </c>
      <c r="H134" s="77">
        <v>0</v>
      </c>
      <c r="I134" s="77">
        <v>0</v>
      </c>
    </row>
    <row r="135" spans="1:9">
      <c r="A135" s="25" t="str">
        <f>HLOOKUP(INDICE!$F$2,Nombres!$C$3:$D$636,48,FALSE)</f>
        <v>Profit/(loss) for the year</v>
      </c>
      <c r="B135" s="74">
        <f t="shared" ref="B135:I135" si="27">+B133+B134</f>
        <v>6731.0830363247387</v>
      </c>
      <c r="C135" s="74">
        <f t="shared" si="27"/>
        <v>11407.090920632039</v>
      </c>
      <c r="D135" s="74">
        <f t="shared" si="27"/>
        <v>11018.039467967663</v>
      </c>
      <c r="E135" s="116">
        <f t="shared" si="27"/>
        <v>10833.521546307658</v>
      </c>
      <c r="F135" s="74">
        <f t="shared" si="27"/>
        <v>10577.916669443557</v>
      </c>
      <c r="G135" s="74">
        <f t="shared" si="27"/>
        <v>0</v>
      </c>
      <c r="H135" s="74">
        <f t="shared" si="27"/>
        <v>0</v>
      </c>
      <c r="I135" s="74">
        <f t="shared" si="27"/>
        <v>0</v>
      </c>
    </row>
    <row r="136" spans="1:9">
      <c r="A136" s="17" t="str">
        <f>HLOOKUP(INDICE!$F$2,Nombres!$C$3:$D$636,49,FALSE)</f>
        <v>Non-controlling interests</v>
      </c>
      <c r="B136" s="77">
        <v>0</v>
      </c>
      <c r="C136" s="77">
        <v>0</v>
      </c>
      <c r="D136" s="77">
        <v>0</v>
      </c>
      <c r="E136" s="78">
        <v>0</v>
      </c>
      <c r="F136" s="77">
        <v>0</v>
      </c>
      <c r="G136" s="77">
        <v>0</v>
      </c>
      <c r="H136" s="77">
        <v>0</v>
      </c>
      <c r="I136" s="77">
        <v>0</v>
      </c>
    </row>
    <row r="137" spans="1:9">
      <c r="A137" s="19" t="str">
        <f>HLOOKUP(INDICE!$F$2,Nombres!$C$3:$D$636,50,FALSE)</f>
        <v>Net attributable profit</v>
      </c>
      <c r="B137" s="96">
        <f t="shared" ref="B137:I137" si="28">+B135+B136</f>
        <v>6731.0830363247387</v>
      </c>
      <c r="C137" s="96">
        <f t="shared" si="28"/>
        <v>11407.090920632039</v>
      </c>
      <c r="D137" s="96">
        <f t="shared" si="28"/>
        <v>11018.039467967663</v>
      </c>
      <c r="E137" s="112">
        <f t="shared" si="28"/>
        <v>10833.521546307658</v>
      </c>
      <c r="F137" s="96">
        <f t="shared" si="28"/>
        <v>10577.916669443557</v>
      </c>
      <c r="G137" s="96">
        <f t="shared" si="28"/>
        <v>0</v>
      </c>
      <c r="H137" s="96">
        <f t="shared" si="28"/>
        <v>0</v>
      </c>
      <c r="I137" s="96">
        <f t="shared" si="28"/>
        <v>0</v>
      </c>
    </row>
    <row r="138" spans="1:9">
      <c r="A138" s="117"/>
      <c r="B138" s="101">
        <v>0</v>
      </c>
      <c r="C138" s="101">
        <v>0</v>
      </c>
      <c r="D138" s="101">
        <v>0</v>
      </c>
      <c r="E138" s="101">
        <v>0</v>
      </c>
      <c r="F138" s="101">
        <v>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 sheets</v>
      </c>
      <c r="B140" s="66"/>
      <c r="C140" s="66"/>
      <c r="D140" s="66"/>
      <c r="E140" s="66"/>
      <c r="F140" s="106"/>
      <c r="G140" s="106"/>
      <c r="H140" s="106"/>
      <c r="I140" s="106"/>
    </row>
    <row r="141" spans="1:9">
      <c r="A141" s="67" t="str">
        <f>HLOOKUP(INDICE!$F$2,Nombres!$C$3:$D$636,81,FALSE)</f>
        <v>(Million Chilean pesos)</v>
      </c>
      <c r="B141" s="62"/>
      <c r="C141" s="85"/>
      <c r="D141" s="85"/>
      <c r="E141" s="85"/>
      <c r="F141" s="107"/>
      <c r="G141" s="77"/>
      <c r="H141" s="77"/>
      <c r="I141" s="77"/>
    </row>
    <row r="142" spans="1:9">
      <c r="A142" s="62"/>
      <c r="B142" s="87">
        <f t="shared" ref="B142:I142" si="29">+B$30</f>
        <v>45747</v>
      </c>
      <c r="C142" s="87">
        <f t="shared" si="29"/>
        <v>45838</v>
      </c>
      <c r="D142" s="87">
        <f t="shared" si="29"/>
        <v>45930</v>
      </c>
      <c r="E142" s="100">
        <f t="shared" si="29"/>
        <v>46022</v>
      </c>
      <c r="F142" s="87">
        <f t="shared" si="29"/>
        <v>46112</v>
      </c>
      <c r="G142" s="87">
        <f t="shared" si="29"/>
        <v>46203</v>
      </c>
      <c r="H142" s="87">
        <f t="shared" si="29"/>
        <v>46295</v>
      </c>
      <c r="I142" s="87">
        <f t="shared" si="29"/>
        <v>46387</v>
      </c>
    </row>
    <row r="143" spans="1:9">
      <c r="A143" s="17" t="str">
        <f>HLOOKUP(INDICE!$F$2,Nombres!$C$3:$D$636,52,FALSE)</f>
        <v>Cash, cash balances at central banks and other demand deposits</v>
      </c>
      <c r="B143" s="77">
        <v>23276.939445230815</v>
      </c>
      <c r="C143" s="77">
        <v>49663.483482119504</v>
      </c>
      <c r="D143" s="77">
        <v>71061.788014195947</v>
      </c>
      <c r="E143" s="78">
        <v>46813.350780089342</v>
      </c>
      <c r="F143" s="77">
        <v>29546.822754153331</v>
      </c>
      <c r="G143" s="77">
        <v>0</v>
      </c>
      <c r="H143" s="77">
        <v>0</v>
      </c>
      <c r="I143" s="77">
        <v>0</v>
      </c>
    </row>
    <row r="144" spans="1:9">
      <c r="A144" s="17" t="str">
        <f>HLOOKUP(INDICE!$F$2,Nombres!$C$3:$D$636,53,FALSE)</f>
        <v xml:space="preserve">Financial assets designated at fair value </v>
      </c>
      <c r="B144" s="86">
        <v>0</v>
      </c>
      <c r="C144" s="86">
        <v>0</v>
      </c>
      <c r="D144" s="86">
        <v>0</v>
      </c>
      <c r="E144" s="97">
        <v>0</v>
      </c>
      <c r="F144" s="77">
        <v>0</v>
      </c>
      <c r="G144" s="77">
        <v>0</v>
      </c>
      <c r="H144" s="77">
        <v>0</v>
      </c>
      <c r="I144" s="77">
        <v>0</v>
      </c>
    </row>
    <row r="145" spans="1:9">
      <c r="A145" s="17" t="str">
        <f>HLOOKUP(INDICE!$F$2,Nombres!$C$3:$D$636,54,FALSE)</f>
        <v>Financial assets at amortized cost</v>
      </c>
      <c r="B145" s="77">
        <v>2193328.4280577935</v>
      </c>
      <c r="C145" s="77">
        <v>2261076.3561894819</v>
      </c>
      <c r="D145" s="77">
        <v>2325222.0595666757</v>
      </c>
      <c r="E145" s="78">
        <v>2416794.6596651124</v>
      </c>
      <c r="F145" s="77">
        <v>2362804.3065675069</v>
      </c>
      <c r="G145" s="77">
        <v>0</v>
      </c>
      <c r="H145" s="77">
        <v>0</v>
      </c>
      <c r="I145" s="77">
        <v>0</v>
      </c>
    </row>
    <row r="146" spans="1:9">
      <c r="A146" s="17" t="str">
        <f>HLOOKUP(INDICE!$F$2,Nombres!$C$3:$D$636,55,FALSE)</f>
        <v xml:space="preserve">    of which loans and advances to customers</v>
      </c>
      <c r="B146" s="77">
        <v>2191127.5094791004</v>
      </c>
      <c r="C146" s="77">
        <v>2215545.1903790114</v>
      </c>
      <c r="D146" s="77">
        <v>2320971.7825292516</v>
      </c>
      <c r="E146" s="78">
        <v>2397082.3165565743</v>
      </c>
      <c r="F146" s="77">
        <v>2352104.8970155311</v>
      </c>
      <c r="G146" s="77">
        <v>0</v>
      </c>
      <c r="H146" s="77">
        <v>0</v>
      </c>
      <c r="I146" s="77">
        <v>0</v>
      </c>
    </row>
    <row r="147" spans="1:9" hidden="1">
      <c r="A147" s="17"/>
      <c r="B147" s="77"/>
      <c r="C147" s="77"/>
      <c r="D147" s="77"/>
      <c r="E147" s="78"/>
      <c r="F147" s="77"/>
      <c r="G147" s="77"/>
      <c r="H147" s="77"/>
      <c r="I147" s="77"/>
    </row>
    <row r="148" spans="1:9">
      <c r="A148" s="17" t="str">
        <f>HLOOKUP(INDICE!$F$2,Nombres!$C$3:$D$636,56,FALSE)</f>
        <v>Tangible assets</v>
      </c>
      <c r="B148" s="77">
        <v>7162.450046886267</v>
      </c>
      <c r="C148" s="77">
        <v>7151.4977539340025</v>
      </c>
      <c r="D148" s="77">
        <v>7716.1827150489571</v>
      </c>
      <c r="E148" s="78">
        <v>7307.6578540139444</v>
      </c>
      <c r="F148" s="77">
        <v>7047.9642458701783</v>
      </c>
      <c r="G148" s="77">
        <v>0</v>
      </c>
      <c r="H148" s="77">
        <v>0</v>
      </c>
      <c r="I148" s="77">
        <v>0</v>
      </c>
    </row>
    <row r="149" spans="1:9">
      <c r="A149" s="17" t="str">
        <f>HLOOKUP(INDICE!$F$2,Nombres!$C$3:$D$636,57,FALSE)</f>
        <v>Other assets</v>
      </c>
      <c r="B149" s="86">
        <f>+B150-B148-B145-B144-B143</f>
        <v>250578.31388664601</v>
      </c>
      <c r="C149" s="86">
        <f t="shared" ref="C149:I149" si="30">+C150-C148-C145-C144-C143</f>
        <v>229323.88883386378</v>
      </c>
      <c r="D149" s="86">
        <f t="shared" si="30"/>
        <v>226632.53362095487</v>
      </c>
      <c r="E149" s="97">
        <f t="shared" si="30"/>
        <v>254604.08318238804</v>
      </c>
      <c r="F149" s="77">
        <f t="shared" si="30"/>
        <v>285422.20085960318</v>
      </c>
      <c r="G149" s="77">
        <f t="shared" si="30"/>
        <v>0</v>
      </c>
      <c r="H149" s="77">
        <f t="shared" si="30"/>
        <v>0</v>
      </c>
      <c r="I149" s="77">
        <f t="shared" si="30"/>
        <v>0</v>
      </c>
    </row>
    <row r="150" spans="1:9">
      <c r="A150" s="19" t="str">
        <f>HLOOKUP(INDICE!$F$2,Nombres!$C$3:$D$636,58,FALSE)</f>
        <v>Total assets / Liabilities and equity</v>
      </c>
      <c r="B150" s="19">
        <v>2474346.1314365566</v>
      </c>
      <c r="C150" s="19">
        <v>2547215.2262593992</v>
      </c>
      <c r="D150" s="19">
        <v>2630632.5639168755</v>
      </c>
      <c r="E150" s="19">
        <v>2725519.7514816038</v>
      </c>
      <c r="F150" s="96">
        <v>2684821.2944271336</v>
      </c>
      <c r="G150" s="96">
        <v>0</v>
      </c>
      <c r="H150" s="96">
        <v>0</v>
      </c>
      <c r="I150" s="96">
        <v>0</v>
      </c>
    </row>
    <row r="151" spans="1:9">
      <c r="A151" s="17" t="str">
        <f>HLOOKUP(INDICE!$F$2,Nombres!$C$3:$D$636,59,FALSE)</f>
        <v>Financial liabilities held for trading and designated at fair value through profit or loss</v>
      </c>
      <c r="B151" s="86">
        <v>0</v>
      </c>
      <c r="C151" s="86">
        <v>0</v>
      </c>
      <c r="D151" s="86">
        <v>0</v>
      </c>
      <c r="E151" s="97">
        <v>0</v>
      </c>
      <c r="F151" s="77">
        <v>0</v>
      </c>
      <c r="G151" s="77">
        <v>0</v>
      </c>
      <c r="H151" s="77">
        <v>0</v>
      </c>
      <c r="I151" s="77">
        <v>0</v>
      </c>
    </row>
    <row r="152" spans="1:9">
      <c r="A152" s="17" t="str">
        <f>HLOOKUP(INDICE!$F$2,Nombres!$C$3:$D$636,60,FALSE)</f>
        <v>Deposits from central banks and credit institutions</v>
      </c>
      <c r="B152" s="86">
        <v>897884.73787766253</v>
      </c>
      <c r="C152" s="86">
        <v>862181.54235739005</v>
      </c>
      <c r="D152" s="86">
        <v>918487.57640805468</v>
      </c>
      <c r="E152" s="97">
        <v>873970.7246251679</v>
      </c>
      <c r="F152" s="77">
        <v>861185.18138310849</v>
      </c>
      <c r="G152" s="77">
        <v>0</v>
      </c>
      <c r="H152" s="77">
        <v>0</v>
      </c>
      <c r="I152" s="77">
        <v>0</v>
      </c>
    </row>
    <row r="153" spans="1:9">
      <c r="A153" s="17" t="str">
        <f>HLOOKUP(INDICE!$F$2,Nombres!$C$3:$D$636,61,FALSE)</f>
        <v>Deposits from customers</v>
      </c>
      <c r="B153" s="86">
        <v>1.0231953520698547</v>
      </c>
      <c r="C153" s="86">
        <v>2.1933767475299835</v>
      </c>
      <c r="D153" s="86">
        <v>10.157321771268844</v>
      </c>
      <c r="E153" s="97">
        <v>25.581066029489516</v>
      </c>
      <c r="F153" s="77">
        <v>1.9419082641601561E-5</v>
      </c>
      <c r="G153" s="77">
        <v>0</v>
      </c>
      <c r="H153" s="77">
        <v>0</v>
      </c>
      <c r="I153" s="77">
        <v>0</v>
      </c>
    </row>
    <row r="154" spans="1:9">
      <c r="A154" s="17" t="str">
        <f>HLOOKUP(INDICE!$F$2,Nombres!$C$3:$D$636,62,FALSE)</f>
        <v>Debt certificates</v>
      </c>
      <c r="B154" s="77">
        <v>1112787.7272957349</v>
      </c>
      <c r="C154" s="77">
        <v>1210748.3881296131</v>
      </c>
      <c r="D154" s="77">
        <v>1175422.900353543</v>
      </c>
      <c r="E154" s="78">
        <v>1270038.9162659275</v>
      </c>
      <c r="F154" s="77">
        <v>1215227.700099522</v>
      </c>
      <c r="G154" s="77">
        <v>0</v>
      </c>
      <c r="H154" s="77">
        <v>0</v>
      </c>
      <c r="I154" s="77">
        <v>0</v>
      </c>
    </row>
    <row r="155" spans="1:9" hidden="1">
      <c r="A155" s="17"/>
      <c r="B155" s="77"/>
      <c r="C155" s="77"/>
      <c r="D155" s="77"/>
      <c r="E155" s="78"/>
      <c r="F155" s="77"/>
      <c r="G155" s="77"/>
      <c r="H155" s="77"/>
      <c r="I155" s="77"/>
    </row>
    <row r="156" spans="1:9">
      <c r="A156" s="17" t="str">
        <f>HLOOKUP(INDICE!$F$2,Nombres!$C$3:$D$636,63,FALSE)</f>
        <v>Other liabilities</v>
      </c>
      <c r="B156" s="86">
        <f>+B150-B151-B152-B153-B154-B157</f>
        <v>178881.19710133044</v>
      </c>
      <c r="C156" s="86">
        <f t="shared" ref="C156:I156" si="31">+C150-C151-C152-C153-C154-C157</f>
        <v>182580.7995430954</v>
      </c>
      <c r="D156" s="86">
        <f t="shared" si="31"/>
        <v>240381.45674224244</v>
      </c>
      <c r="E156" s="97">
        <f t="shared" si="31"/>
        <v>282148.53387690574</v>
      </c>
      <c r="F156" s="77">
        <f t="shared" si="31"/>
        <v>290480.7266662367</v>
      </c>
      <c r="G156" s="77">
        <f t="shared" si="31"/>
        <v>0</v>
      </c>
      <c r="H156" s="77">
        <f t="shared" si="31"/>
        <v>0</v>
      </c>
      <c r="I156" s="77">
        <f t="shared" si="31"/>
        <v>0</v>
      </c>
    </row>
    <row r="157" spans="1:9">
      <c r="A157" s="17" t="str">
        <f>HLOOKUP(INDICE!$F$2,Nombres!$C$3:$D$636,282,FALSE)</f>
        <v>Allocated regulatory capital</v>
      </c>
      <c r="B157" s="86">
        <v>284791.44596647652</v>
      </c>
      <c r="C157" s="86">
        <v>291702.3028525532</v>
      </c>
      <c r="D157" s="86">
        <v>296330.47309126402</v>
      </c>
      <c r="E157" s="86">
        <v>299335.99564757332</v>
      </c>
      <c r="F157" s="86">
        <v>317927.68625884742</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Relevant business indicators</v>
      </c>
      <c r="B160" s="66"/>
      <c r="C160" s="66"/>
      <c r="D160" s="66"/>
      <c r="E160" s="66"/>
      <c r="F160" s="106"/>
      <c r="G160" s="106"/>
      <c r="H160" s="106"/>
      <c r="I160" s="106"/>
    </row>
    <row r="161" spans="1:15">
      <c r="A161" s="67" t="str">
        <f>HLOOKUP(INDICE!$F$2,Nombres!$C$3:$D$636,81,FALSE)</f>
        <v>(Million Chilean pesos)</v>
      </c>
      <c r="B161" s="62"/>
      <c r="C161" s="62"/>
      <c r="D161" s="62"/>
      <c r="E161" s="62"/>
      <c r="F161" s="107"/>
      <c r="G161" s="77"/>
      <c r="H161" s="77"/>
      <c r="I161" s="77"/>
    </row>
    <row r="162" spans="1:15" ht="15.75" customHeight="1">
      <c r="A162" s="62"/>
      <c r="B162" s="87">
        <f t="shared" ref="B162:I162" si="32">+B$30</f>
        <v>45747</v>
      </c>
      <c r="C162" s="87">
        <f t="shared" si="32"/>
        <v>45838</v>
      </c>
      <c r="D162" s="87">
        <f t="shared" si="32"/>
        <v>45930</v>
      </c>
      <c r="E162" s="100">
        <f t="shared" si="32"/>
        <v>46022</v>
      </c>
      <c r="F162" s="87">
        <f t="shared" si="32"/>
        <v>46112</v>
      </c>
      <c r="G162" s="87">
        <f t="shared" si="32"/>
        <v>46203</v>
      </c>
      <c r="H162" s="87">
        <f t="shared" si="32"/>
        <v>46295</v>
      </c>
      <c r="I162" s="87">
        <f t="shared" si="32"/>
        <v>46387</v>
      </c>
    </row>
    <row r="163" spans="1:15" ht="15.75" customHeight="1">
      <c r="A163" s="17" t="str">
        <f>HLOOKUP(INDICE!$F$2,Nombres!$C$3:$D$636,66,FALSE)</f>
        <v>Loans and advances to customers (gross) (*)</v>
      </c>
      <c r="B163" s="77">
        <v>2278151.2775487686</v>
      </c>
      <c r="C163" s="77">
        <v>2301566.0505730491</v>
      </c>
      <c r="D163" s="77">
        <v>2407898.1866653492</v>
      </c>
      <c r="E163" s="78">
        <v>2488808.5580884996</v>
      </c>
      <c r="F163" s="77">
        <v>2443662.022822293</v>
      </c>
      <c r="G163" s="77">
        <v>0</v>
      </c>
      <c r="H163" s="77">
        <v>0</v>
      </c>
      <c r="I163" s="77">
        <v>0</v>
      </c>
    </row>
    <row r="164" spans="1:15" ht="15.75" customHeight="1">
      <c r="A164" s="17" t="str">
        <f>HLOOKUP(INDICE!$F$2,Nombres!$C$3:$D$636,67,FALSE)</f>
        <v>Customer deposits under management (*)</v>
      </c>
      <c r="B164" s="77">
        <v>1.0231953520698547</v>
      </c>
      <c r="C164" s="77">
        <v>2.1933767475299835</v>
      </c>
      <c r="D164" s="77">
        <v>10.157321771268844</v>
      </c>
      <c r="E164" s="78">
        <v>25.581066029489516</v>
      </c>
      <c r="F164" s="77">
        <v>1.9419082641601561E-5</v>
      </c>
      <c r="G164" s="77">
        <v>0</v>
      </c>
      <c r="H164" s="77">
        <v>0</v>
      </c>
      <c r="I164" s="77">
        <v>0</v>
      </c>
    </row>
    <row r="165" spans="1:15" ht="15.75" customHeight="1">
      <c r="A165" s="17" t="str">
        <f>HLOOKUP(INDICE!$F$2,Nombres!$C$3:$D$636,68,FALSE)</f>
        <v>Investment funds and managed portfolios</v>
      </c>
      <c r="B165" s="77">
        <v>0</v>
      </c>
      <c r="C165" s="77">
        <v>0</v>
      </c>
      <c r="D165" s="77">
        <v>0</v>
      </c>
      <c r="E165" s="78">
        <v>0</v>
      </c>
      <c r="F165" s="77">
        <v>0</v>
      </c>
      <c r="G165" s="77">
        <v>0</v>
      </c>
      <c r="H165" s="77">
        <v>0</v>
      </c>
      <c r="I165" s="77">
        <v>0</v>
      </c>
    </row>
    <row r="166" spans="1:15" ht="15.75" customHeight="1">
      <c r="A166" s="17" t="str">
        <f>HLOOKUP(INDICE!$F$2,Nombres!$C$3:$D$636,69,FALSE)</f>
        <v>Pension funds</v>
      </c>
      <c r="B166" s="77">
        <v>0</v>
      </c>
      <c r="C166" s="77">
        <v>0</v>
      </c>
      <c r="D166" s="77">
        <v>0</v>
      </c>
      <c r="E166" s="78">
        <v>0</v>
      </c>
      <c r="F166" s="77">
        <v>0</v>
      </c>
      <c r="G166" s="77">
        <v>0</v>
      </c>
      <c r="H166" s="77">
        <v>0</v>
      </c>
      <c r="I166" s="77">
        <v>0</v>
      </c>
    </row>
    <row r="167" spans="1:15">
      <c r="A167" s="17" t="str">
        <f>HLOOKUP(INDICE!$F$2,Nombres!$C$3:$D$636,70,FALSE)</f>
        <v>Other off balance-sheet funds</v>
      </c>
      <c r="B167" s="77">
        <v>0</v>
      </c>
      <c r="C167" s="77">
        <v>0</v>
      </c>
      <c r="D167" s="77">
        <v>0</v>
      </c>
      <c r="E167" s="78">
        <v>0</v>
      </c>
      <c r="F167" s="77">
        <v>0</v>
      </c>
      <c r="G167" s="77">
        <v>0</v>
      </c>
      <c r="H167" s="77">
        <v>0</v>
      </c>
      <c r="I167" s="77">
        <v>0</v>
      </c>
    </row>
    <row r="168" spans="1:15">
      <c r="A168" s="93" t="str">
        <f>HLOOKUP(INDICE!$F$2,Nombres!$C$3:$D$636,71,FALSE)</f>
        <v xml:space="preserve">(*) Excluding repos. </v>
      </c>
      <c r="B168" s="77"/>
      <c r="C168" s="86"/>
      <c r="D168" s="86"/>
      <c r="E168" s="86"/>
      <c r="F168" s="77"/>
      <c r="G168" s="77"/>
      <c r="H168" s="77"/>
      <c r="I168" s="77"/>
    </row>
    <row r="169" spans="1:15">
      <c r="A169" s="93">
        <f>HLOOKUP(INDICE!$F$2,Nombres!$C$3:$D$636,72,FALSE)</f>
        <v>0</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997" spans="1:1">
      <c r="A997" s="63" t="s">
        <v>555</v>
      </c>
    </row>
  </sheetData>
  <mergeCells count="6">
    <mergeCell ref="B6:E6"/>
    <mergeCell ref="F6:I6"/>
    <mergeCell ref="B62:E62"/>
    <mergeCell ref="F62:I62"/>
    <mergeCell ref="B118:E118"/>
    <mergeCell ref="F118:I118"/>
  </mergeCells>
  <conditionalFormatting sqref="B26:I26">
    <cfRule type="cellIs" dxfId="29" priority="3" operator="notBetween">
      <formula>0.5</formula>
      <formula>-0.5</formula>
    </cfRule>
  </conditionalFormatting>
  <conditionalFormatting sqref="B82:I82">
    <cfRule type="cellIs" dxfId="28" priority="2" operator="notBetween">
      <formula>0.5</formula>
      <formula>-0.5</formula>
    </cfRule>
  </conditionalFormatting>
  <conditionalFormatting sqref="B138:I138">
    <cfRule type="cellIs" dxfId="27" priority="1" operator="notBetween">
      <formula>0.5</formula>
      <formula>-0.5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O1006"/>
  <sheetViews>
    <sheetView showGridLines="0" workbookViewId="0"/>
  </sheetViews>
  <sheetFormatPr baseColWidth="10" defaultColWidth="11.453125" defaultRowHeight="14.5"/>
  <cols>
    <col min="1" max="1" width="62" style="63" customWidth="1"/>
    <col min="2" max="6" width="12.26953125" style="63" customWidth="1"/>
    <col min="7" max="9" width="12.26953125" style="63" hidden="1" customWidth="1"/>
    <col min="10" max="16384" width="11.453125" style="63"/>
  </cols>
  <sheetData>
    <row r="1" spans="1:9" ht="17">
      <c r="A1" s="61" t="str">
        <f>HLOOKUP(INDICE!$F$2,Nombres!$C$3:$D$636,16,FALSE)</f>
        <v>Colombia</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25">
        <v>235.02400020000005</v>
      </c>
      <c r="C8" s="25">
        <v>238.06200010000009</v>
      </c>
      <c r="D8" s="25">
        <v>251.04099979999978</v>
      </c>
      <c r="E8" s="73">
        <v>274.65317021300018</v>
      </c>
      <c r="F8" s="74">
        <v>296.10800000000012</v>
      </c>
      <c r="G8" s="74">
        <v>0</v>
      </c>
      <c r="H8" s="74">
        <v>0</v>
      </c>
      <c r="I8" s="74">
        <v>0</v>
      </c>
    </row>
    <row r="9" spans="1:9">
      <c r="A9" s="17" t="str">
        <f>HLOOKUP(INDICE!$F$2,Nombres!$C$3:$D$636,34,FALSE)</f>
        <v>Net fees and commissions</v>
      </c>
      <c r="B9" s="77">
        <v>26.026827151999989</v>
      </c>
      <c r="C9" s="77">
        <v>25.481160183000096</v>
      </c>
      <c r="D9" s="77">
        <v>31.924326347999923</v>
      </c>
      <c r="E9" s="78">
        <v>48.053529163000057</v>
      </c>
      <c r="F9" s="77">
        <v>39.034285130999997</v>
      </c>
      <c r="G9" s="77">
        <v>0</v>
      </c>
      <c r="H9" s="77">
        <v>0</v>
      </c>
      <c r="I9" s="77">
        <v>0</v>
      </c>
    </row>
    <row r="10" spans="1:9">
      <c r="A10" s="17" t="str">
        <f>HLOOKUP(INDICE!$F$2,Nombres!$C$3:$D$636,35,FALSE)</f>
        <v>Net trading income</v>
      </c>
      <c r="B10" s="77">
        <v>27.148708508000002</v>
      </c>
      <c r="C10" s="77">
        <v>14.100616618999988</v>
      </c>
      <c r="D10" s="77">
        <v>25.189196771999988</v>
      </c>
      <c r="E10" s="78">
        <v>14.316023576999918</v>
      </c>
      <c r="F10" s="77">
        <v>24.728047349000029</v>
      </c>
      <c r="G10" s="77">
        <v>0</v>
      </c>
      <c r="H10" s="77">
        <v>0</v>
      </c>
      <c r="I10" s="77">
        <v>0</v>
      </c>
    </row>
    <row r="11" spans="1:9">
      <c r="A11" s="17" t="str">
        <f>HLOOKUP(INDICE!$F$2,Nombres!$C$3:$D$636,36,FALSE)</f>
        <v>Other operating income and expenses</v>
      </c>
      <c r="B11" s="77">
        <v>-6.3759999999999959</v>
      </c>
      <c r="C11" s="77">
        <v>-3.5079999999999942</v>
      </c>
      <c r="D11" s="77">
        <v>-14.220000000000017</v>
      </c>
      <c r="E11" s="78">
        <v>-50.812000000000005</v>
      </c>
      <c r="F11" s="77">
        <v>2.4992767349999996</v>
      </c>
      <c r="G11" s="77">
        <v>0</v>
      </c>
      <c r="H11" s="77">
        <v>0</v>
      </c>
      <c r="I11" s="77">
        <v>0</v>
      </c>
    </row>
    <row r="12" spans="1:9">
      <c r="A12" s="25" t="str">
        <f>HLOOKUP(INDICE!$F$2,Nombres!$C$3:$D$636,37,FALSE)</f>
        <v>Gross income</v>
      </c>
      <c r="B12" s="25">
        <f>+SUM(B8:B11)</f>
        <v>281.82353586000011</v>
      </c>
      <c r="C12" s="25">
        <f t="shared" ref="C12:I12" si="0">+SUM(C8:C11)</f>
        <v>274.1357769020002</v>
      </c>
      <c r="D12" s="25">
        <f t="shared" si="0"/>
        <v>293.93452291999967</v>
      </c>
      <c r="E12" s="73">
        <f t="shared" si="0"/>
        <v>286.21072295300013</v>
      </c>
      <c r="F12" s="74">
        <f t="shared" si="0"/>
        <v>362.36960921500014</v>
      </c>
      <c r="G12" s="74">
        <f t="shared" si="0"/>
        <v>0</v>
      </c>
      <c r="H12" s="74">
        <f t="shared" si="0"/>
        <v>0</v>
      </c>
      <c r="I12" s="74">
        <f t="shared" si="0"/>
        <v>0</v>
      </c>
    </row>
    <row r="13" spans="1:9">
      <c r="A13" s="17" t="str">
        <f>HLOOKUP(INDICE!$F$2,Nombres!$C$3:$D$636,38,FALSE)</f>
        <v>Operating expenses</v>
      </c>
      <c r="B13" s="77">
        <v>-129.43529107499998</v>
      </c>
      <c r="C13" s="77">
        <v>-121.76759007499996</v>
      </c>
      <c r="D13" s="77">
        <v>-132.77430179000007</v>
      </c>
      <c r="E13" s="78">
        <v>-142.47253264699998</v>
      </c>
      <c r="F13" s="77">
        <v>-144.48280173199998</v>
      </c>
      <c r="G13" s="77">
        <v>0</v>
      </c>
      <c r="H13" s="77">
        <v>0</v>
      </c>
      <c r="I13" s="77">
        <v>0</v>
      </c>
    </row>
    <row r="14" spans="1:9">
      <c r="A14" s="17" t="str">
        <f>HLOOKUP(INDICE!$F$2,Nombres!$C$3:$D$636,39,FALSE)</f>
        <v xml:space="preserve">  Administration expenses</v>
      </c>
      <c r="B14" s="77">
        <v>-119.72129107499998</v>
      </c>
      <c r="C14" s="77">
        <v>-112.82859007499995</v>
      </c>
      <c r="D14" s="77">
        <v>-123.33030179000006</v>
      </c>
      <c r="E14" s="78">
        <v>-132.66453264699999</v>
      </c>
      <c r="F14" s="77">
        <v>-133.63780173199999</v>
      </c>
      <c r="G14" s="77">
        <v>0</v>
      </c>
      <c r="H14" s="77">
        <v>0</v>
      </c>
      <c r="I14" s="77">
        <v>0</v>
      </c>
    </row>
    <row r="15" spans="1:9">
      <c r="A15" s="79" t="str">
        <f>HLOOKUP(INDICE!$F$2,Nombres!$C$3:$D$636,40,FALSE)</f>
        <v xml:space="preserve">  Personnel expenses</v>
      </c>
      <c r="B15" s="77">
        <v>-50.321999999999996</v>
      </c>
      <c r="C15" s="77">
        <v>-50.726999999999975</v>
      </c>
      <c r="D15" s="77">
        <v>-59.474000000000032</v>
      </c>
      <c r="E15" s="78">
        <v>-65.056000000000012</v>
      </c>
      <c r="F15" s="77">
        <v>-58.622999999999998</v>
      </c>
      <c r="G15" s="77">
        <v>0</v>
      </c>
      <c r="H15" s="77">
        <v>0</v>
      </c>
      <c r="I15" s="77">
        <v>0</v>
      </c>
    </row>
    <row r="16" spans="1:9">
      <c r="A16" s="79" t="str">
        <f>HLOOKUP(INDICE!$F$2,Nombres!$C$3:$D$636,41,FALSE)</f>
        <v xml:space="preserve">  General and administrative expenses</v>
      </c>
      <c r="B16" s="77">
        <v>-69.399291075000008</v>
      </c>
      <c r="C16" s="77">
        <v>-62.101590074999976</v>
      </c>
      <c r="D16" s="77">
        <v>-63.856301790000039</v>
      </c>
      <c r="E16" s="78">
        <v>-67.608532646999976</v>
      </c>
      <c r="F16" s="77">
        <v>-75.014801731999981</v>
      </c>
      <c r="G16" s="77">
        <v>0</v>
      </c>
      <c r="H16" s="77">
        <v>0</v>
      </c>
      <c r="I16" s="77">
        <v>0</v>
      </c>
    </row>
    <row r="17" spans="1:9">
      <c r="A17" s="17" t="str">
        <f>HLOOKUP(INDICE!$F$2,Nombres!$C$3:$D$636,42,FALSE)</f>
        <v xml:space="preserve">  Depreciation</v>
      </c>
      <c r="B17" s="77">
        <v>-9.7140000000000004</v>
      </c>
      <c r="C17" s="77">
        <v>-8.9390000000000036</v>
      </c>
      <c r="D17" s="77">
        <v>-9.4440000000000008</v>
      </c>
      <c r="E17" s="78">
        <v>-9.8079999999999963</v>
      </c>
      <c r="F17" s="77">
        <v>-10.845000000000001</v>
      </c>
      <c r="G17" s="77">
        <v>0</v>
      </c>
      <c r="H17" s="77">
        <v>0</v>
      </c>
      <c r="I17" s="77">
        <v>0</v>
      </c>
    </row>
    <row r="18" spans="1:9">
      <c r="A18" s="25" t="str">
        <f>HLOOKUP(INDICE!$F$2,Nombres!$C$3:$D$636,43,FALSE)</f>
        <v>Operating income</v>
      </c>
      <c r="B18" s="25">
        <f>+B12+B13</f>
        <v>152.38824478500013</v>
      </c>
      <c r="C18" s="25">
        <f t="shared" ref="C18:I18" si="1">+C12+C13</f>
        <v>152.36818682700024</v>
      </c>
      <c r="D18" s="25">
        <f t="shared" si="1"/>
        <v>161.1602211299996</v>
      </c>
      <c r="E18" s="73">
        <f t="shared" si="1"/>
        <v>143.73819030600015</v>
      </c>
      <c r="F18" s="74">
        <f t="shared" si="1"/>
        <v>217.88680748300015</v>
      </c>
      <c r="G18" s="74">
        <f t="shared" si="1"/>
        <v>0</v>
      </c>
      <c r="H18" s="74">
        <f t="shared" si="1"/>
        <v>0</v>
      </c>
      <c r="I18" s="74">
        <f t="shared" si="1"/>
        <v>0</v>
      </c>
    </row>
    <row r="19" spans="1:9">
      <c r="A19" s="17" t="str">
        <f>HLOOKUP(INDICE!$F$2,Nombres!$C$3:$D$636,44,FALSE)</f>
        <v>Impaiment on financial assets not measured at fair value through profit or loss</v>
      </c>
      <c r="B19" s="77">
        <v>-108.70199999999997</v>
      </c>
      <c r="C19" s="77">
        <v>-94.292000000000002</v>
      </c>
      <c r="D19" s="77">
        <v>-79.387999999999906</v>
      </c>
      <c r="E19" s="78">
        <v>-94.137000000000029</v>
      </c>
      <c r="F19" s="77">
        <v>-90.77000000000001</v>
      </c>
      <c r="G19" s="77">
        <v>0</v>
      </c>
      <c r="H19" s="77">
        <v>0</v>
      </c>
      <c r="I19" s="77">
        <v>0</v>
      </c>
    </row>
    <row r="20" spans="1:9">
      <c r="A20" s="17" t="str">
        <f>HLOOKUP(INDICE!$F$2,Nombres!$C$3:$D$636,45,FALSE)</f>
        <v>Provisions or reversal of provisions and other results</v>
      </c>
      <c r="B20" s="77">
        <v>-0.29399999999999982</v>
      </c>
      <c r="C20" s="77">
        <v>-1.4579999999999995</v>
      </c>
      <c r="D20" s="77">
        <v>-5.8809999999999976</v>
      </c>
      <c r="E20" s="78">
        <v>8.1339999999999986</v>
      </c>
      <c r="F20" s="77">
        <v>-3.399</v>
      </c>
      <c r="G20" s="77">
        <v>0</v>
      </c>
      <c r="H20" s="77">
        <v>0</v>
      </c>
      <c r="I20" s="77">
        <v>0</v>
      </c>
    </row>
    <row r="21" spans="1:9">
      <c r="A21" s="25" t="str">
        <f>HLOOKUP(INDICE!$F$2,Nombres!$C$3:$D$636,46,FALSE)</f>
        <v>Profit/(loss) before tax</v>
      </c>
      <c r="B21" s="25">
        <f>+B18+B19+B20</f>
        <v>43.392244785000159</v>
      </c>
      <c r="C21" s="25">
        <f t="shared" ref="C21:I21" si="2">+C18+C19+C20</f>
        <v>56.618186827000244</v>
      </c>
      <c r="D21" s="25">
        <f t="shared" si="2"/>
        <v>75.891221129999693</v>
      </c>
      <c r="E21" s="73">
        <f t="shared" si="2"/>
        <v>57.735190306000121</v>
      </c>
      <c r="F21" s="74">
        <f t="shared" si="2"/>
        <v>123.71780748300014</v>
      </c>
      <c r="G21" s="74">
        <f t="shared" si="2"/>
        <v>0</v>
      </c>
      <c r="H21" s="74">
        <f t="shared" si="2"/>
        <v>0</v>
      </c>
      <c r="I21" s="74">
        <f t="shared" si="2"/>
        <v>0</v>
      </c>
    </row>
    <row r="22" spans="1:9">
      <c r="A22" s="17" t="str">
        <f>HLOOKUP(INDICE!$F$2,Nombres!$C$3:$D$636,47,FALSE)</f>
        <v>Income tax</v>
      </c>
      <c r="B22" s="77">
        <v>-10.103123630020008</v>
      </c>
      <c r="C22" s="77">
        <v>-15.961513526769991</v>
      </c>
      <c r="D22" s="77">
        <v>-26.433429192889943</v>
      </c>
      <c r="E22" s="78">
        <v>-35.578699426780076</v>
      </c>
      <c r="F22" s="77">
        <v>-43.703880474870026</v>
      </c>
      <c r="G22" s="77">
        <v>0</v>
      </c>
      <c r="H22" s="77">
        <v>0</v>
      </c>
      <c r="I22" s="77">
        <v>0</v>
      </c>
    </row>
    <row r="23" spans="1:9">
      <c r="A23" s="25" t="str">
        <f>HLOOKUP(INDICE!$F$2,Nombres!$C$3:$D$636,48,FALSE)</f>
        <v>Profit/(loss) for the year</v>
      </c>
      <c r="B23" s="25">
        <f>+B21+B22</f>
        <v>33.289121154980151</v>
      </c>
      <c r="C23" s="25">
        <f t="shared" ref="C23:I23" si="3">+C21+C22</f>
        <v>40.656673300230253</v>
      </c>
      <c r="D23" s="25">
        <f t="shared" si="3"/>
        <v>49.457791937109747</v>
      </c>
      <c r="E23" s="73">
        <f t="shared" si="3"/>
        <v>22.156490879220044</v>
      </c>
      <c r="F23" s="74">
        <f t="shared" si="3"/>
        <v>80.013927008130111</v>
      </c>
      <c r="G23" s="74">
        <f t="shared" si="3"/>
        <v>0</v>
      </c>
      <c r="H23" s="74">
        <f t="shared" si="3"/>
        <v>0</v>
      </c>
      <c r="I23" s="74">
        <f t="shared" si="3"/>
        <v>0</v>
      </c>
    </row>
    <row r="24" spans="1:9">
      <c r="A24" s="17" t="str">
        <f>HLOOKUP(INDICE!$F$2,Nombres!$C$3:$D$636,49,FALSE)</f>
        <v>Non-controlling interests</v>
      </c>
      <c r="B24" s="77">
        <v>-0.3783103599999999</v>
      </c>
      <c r="C24" s="77">
        <v>-0.59074666499999906</v>
      </c>
      <c r="D24" s="77">
        <v>-0.95965426100000206</v>
      </c>
      <c r="E24" s="78">
        <v>-1.2521140849999977</v>
      </c>
      <c r="F24" s="77">
        <v>-1.819195551</v>
      </c>
      <c r="G24" s="77">
        <v>0</v>
      </c>
      <c r="H24" s="77">
        <v>0</v>
      </c>
      <c r="I24" s="77">
        <v>0</v>
      </c>
    </row>
    <row r="25" spans="1:9">
      <c r="A25" s="19" t="str">
        <f>HLOOKUP(INDICE!$F$2,Nombres!$C$3:$D$636,50,FALSE)</f>
        <v>Net attributable profit</v>
      </c>
      <c r="B25" s="19">
        <f>+B23+B24</f>
        <v>32.910810794980151</v>
      </c>
      <c r="C25" s="19">
        <f t="shared" ref="C25:I25" si="4">+C23+C24</f>
        <v>40.065926635230255</v>
      </c>
      <c r="D25" s="19">
        <f t="shared" si="4"/>
        <v>48.498137676109742</v>
      </c>
      <c r="E25" s="19">
        <f t="shared" si="4"/>
        <v>20.904376794220045</v>
      </c>
      <c r="F25" s="96">
        <f t="shared" si="4"/>
        <v>78.194731457130104</v>
      </c>
      <c r="G25" s="96">
        <f t="shared" si="4"/>
        <v>0</v>
      </c>
      <c r="H25" s="96">
        <f t="shared" si="4"/>
        <v>0</v>
      </c>
      <c r="I25" s="96">
        <f t="shared" si="4"/>
        <v>0</v>
      </c>
    </row>
    <row r="26" spans="1:9">
      <c r="A26" s="93"/>
      <c r="B26" s="101">
        <v>9.9475983006414026E-14</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 sheets</v>
      </c>
      <c r="B28" s="66"/>
      <c r="C28" s="66"/>
      <c r="D28" s="66"/>
      <c r="E28" s="66"/>
      <c r="F28" s="66"/>
      <c r="G28" s="66"/>
      <c r="H28" s="66"/>
      <c r="I28" s="66"/>
    </row>
    <row r="29" spans="1:9">
      <c r="A29" s="67"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Cash, cash balances at central banks and other demand deposits</v>
      </c>
      <c r="B31" s="77">
        <v>1313.6270000000002</v>
      </c>
      <c r="C31" s="77">
        <v>1237.963999999999</v>
      </c>
      <c r="D31" s="77">
        <v>1670.346</v>
      </c>
      <c r="E31" s="78">
        <v>1698.7080000000001</v>
      </c>
      <c r="F31" s="77">
        <v>1772.7120000000002</v>
      </c>
      <c r="G31" s="77">
        <v>0</v>
      </c>
      <c r="H31" s="77">
        <v>0</v>
      </c>
      <c r="I31" s="77">
        <v>0</v>
      </c>
    </row>
    <row r="32" spans="1:9">
      <c r="A32" s="17" t="str">
        <f>HLOOKUP(INDICE!$F$2,Nombres!$C$3:$D$636,53,FALSE)</f>
        <v xml:space="preserve">Financial assets designated at fair value </v>
      </c>
      <c r="B32" s="86">
        <v>3648.1770000000001</v>
      </c>
      <c r="C32" s="86">
        <v>3651.262999999999</v>
      </c>
      <c r="D32" s="86">
        <v>3838.3080000000009</v>
      </c>
      <c r="E32" s="97">
        <v>3868.212</v>
      </c>
      <c r="F32" s="77">
        <v>4356.3829999999989</v>
      </c>
      <c r="G32" s="77">
        <v>0</v>
      </c>
      <c r="H32" s="77">
        <v>0</v>
      </c>
      <c r="I32" s="77">
        <v>0</v>
      </c>
    </row>
    <row r="33" spans="1:9">
      <c r="A33" s="17" t="str">
        <f>HLOOKUP(INDICE!$F$2,Nombres!$C$3:$D$636,54,FALSE)</f>
        <v>Financial assets at amortized cost</v>
      </c>
      <c r="B33" s="77">
        <v>17446.546999999995</v>
      </c>
      <c r="C33" s="77">
        <v>16636.006000000001</v>
      </c>
      <c r="D33" s="77">
        <v>17478.888999999999</v>
      </c>
      <c r="E33" s="78">
        <v>18559.471000000001</v>
      </c>
      <c r="F33" s="77">
        <v>19871.241000000002</v>
      </c>
      <c r="G33" s="77">
        <v>0</v>
      </c>
      <c r="H33" s="77">
        <v>0</v>
      </c>
      <c r="I33" s="77">
        <v>0</v>
      </c>
    </row>
    <row r="34" spans="1:9">
      <c r="A34" s="17" t="str">
        <f>HLOOKUP(INDICE!$F$2,Nombres!$C$3:$D$636,55,FALSE)</f>
        <v xml:space="preserve">    of which loans and advances to customers</v>
      </c>
      <c r="B34" s="77">
        <v>16237.472999999996</v>
      </c>
      <c r="C34" s="77">
        <v>15714.430000000002</v>
      </c>
      <c r="D34" s="77">
        <v>16648.394000000004</v>
      </c>
      <c r="E34" s="78">
        <v>17438.096000000001</v>
      </c>
      <c r="F34" s="77">
        <v>18589.742000000002</v>
      </c>
      <c r="G34" s="77">
        <v>0</v>
      </c>
      <c r="H34" s="77">
        <v>0</v>
      </c>
      <c r="I34" s="77">
        <v>0</v>
      </c>
    </row>
    <row r="35" spans="1:9" hidden="1">
      <c r="A35" s="17"/>
      <c r="B35" s="77"/>
      <c r="C35" s="77"/>
      <c r="D35" s="77"/>
      <c r="E35" s="78"/>
      <c r="F35" s="77"/>
      <c r="G35" s="77"/>
      <c r="H35" s="77"/>
      <c r="I35" s="77"/>
    </row>
    <row r="36" spans="1:9">
      <c r="A36" s="17" t="str">
        <f>HLOOKUP(INDICE!$F$2,Nombres!$C$3:$D$636,56,FALSE)</f>
        <v>Tangible assets</v>
      </c>
      <c r="B36" s="77">
        <v>98.962999999999994</v>
      </c>
      <c r="C36" s="77">
        <v>90.220999999999933</v>
      </c>
      <c r="D36" s="77">
        <v>91.762000000000029</v>
      </c>
      <c r="E36" s="78">
        <v>97.109000000000023</v>
      </c>
      <c r="F36" s="77">
        <v>96.795999999999935</v>
      </c>
      <c r="G36" s="77">
        <v>0</v>
      </c>
      <c r="H36" s="77">
        <v>0</v>
      </c>
      <c r="I36" s="77">
        <v>0</v>
      </c>
    </row>
    <row r="37" spans="1:9">
      <c r="A37" s="17" t="str">
        <f>HLOOKUP(INDICE!$F$2,Nombres!$C$3:$D$636,57,FALSE)</f>
        <v>Other assets</v>
      </c>
      <c r="B37" s="86">
        <f>+B38-B36-B33-B32-B31</f>
        <v>1033.4709344250039</v>
      </c>
      <c r="C37" s="86">
        <f t="shared" ref="C37:I37" si="5">+C38-C36-C33-C32-C31</f>
        <v>992.58299999999599</v>
      </c>
      <c r="D37" s="86">
        <f t="shared" si="5"/>
        <v>1048.661999999998</v>
      </c>
      <c r="E37" s="97">
        <f t="shared" si="5"/>
        <v>1170.3359999999939</v>
      </c>
      <c r="F37" s="77">
        <f t="shared" si="5"/>
        <v>1000.9490000019998</v>
      </c>
      <c r="G37" s="77">
        <f t="shared" si="5"/>
        <v>0</v>
      </c>
      <c r="H37" s="77">
        <f t="shared" si="5"/>
        <v>0</v>
      </c>
      <c r="I37" s="77">
        <f t="shared" si="5"/>
        <v>0</v>
      </c>
    </row>
    <row r="38" spans="1:9">
      <c r="A38" s="19" t="str">
        <f>HLOOKUP(INDICE!$F$2,Nombres!$C$3:$D$636,58,FALSE)</f>
        <v>Total assets / Liabilities and equity</v>
      </c>
      <c r="B38" s="19">
        <v>23540.784934424999</v>
      </c>
      <c r="C38" s="19">
        <v>22608.036999999997</v>
      </c>
      <c r="D38" s="19">
        <v>24127.966999999997</v>
      </c>
      <c r="E38" s="19">
        <v>25393.835999999996</v>
      </c>
      <c r="F38" s="96">
        <v>27098.081000001999</v>
      </c>
      <c r="G38" s="96">
        <v>0</v>
      </c>
      <c r="H38" s="96">
        <v>0</v>
      </c>
      <c r="I38" s="96">
        <v>0</v>
      </c>
    </row>
    <row r="39" spans="1:9">
      <c r="A39" s="17" t="str">
        <f>HLOOKUP(INDICE!$F$2,Nombres!$C$3:$D$636,59,FALSE)</f>
        <v>Financial liabilities held for trading and designated at fair value through profit or loss</v>
      </c>
      <c r="B39" s="86">
        <v>1197.152</v>
      </c>
      <c r="C39" s="86">
        <v>1426.6690000000001</v>
      </c>
      <c r="D39" s="86">
        <v>2230.875</v>
      </c>
      <c r="E39" s="97">
        <v>2183.502</v>
      </c>
      <c r="F39" s="77">
        <v>2322.393</v>
      </c>
      <c r="G39" s="77">
        <v>0</v>
      </c>
      <c r="H39" s="77">
        <v>0</v>
      </c>
      <c r="I39" s="77">
        <v>0</v>
      </c>
    </row>
    <row r="40" spans="1:9">
      <c r="A40" s="17" t="str">
        <f>HLOOKUP(INDICE!$F$2,Nombres!$C$3:$D$636,60,FALSE)</f>
        <v>Deposits from central banks and credit institutions</v>
      </c>
      <c r="B40" s="86">
        <v>729.2220000279998</v>
      </c>
      <c r="C40" s="86">
        <v>648.63299999900005</v>
      </c>
      <c r="D40" s="86">
        <v>657.09600002599961</v>
      </c>
      <c r="E40" s="97">
        <v>623.0420000190004</v>
      </c>
      <c r="F40" s="77">
        <v>753.30700012699992</v>
      </c>
      <c r="G40" s="77">
        <v>0</v>
      </c>
      <c r="H40" s="77">
        <v>0</v>
      </c>
      <c r="I40" s="77">
        <v>0</v>
      </c>
    </row>
    <row r="41" spans="1:9" ht="15.75" customHeight="1">
      <c r="A41" s="17" t="str">
        <f>HLOOKUP(INDICE!$F$2,Nombres!$C$3:$D$636,61,FALSE)</f>
        <v>Deposits from customers</v>
      </c>
      <c r="B41" s="86">
        <v>17366.615999972</v>
      </c>
      <c r="C41" s="86">
        <v>16820.548000000999</v>
      </c>
      <c r="D41" s="86">
        <v>17295.082999974002</v>
      </c>
      <c r="E41" s="97">
        <v>18614.074999981</v>
      </c>
      <c r="F41" s="77">
        <v>20055.976999872997</v>
      </c>
      <c r="G41" s="77">
        <v>0</v>
      </c>
      <c r="H41" s="77">
        <v>0</v>
      </c>
      <c r="I41" s="77">
        <v>0</v>
      </c>
    </row>
    <row r="42" spans="1:9">
      <c r="A42" s="17" t="str">
        <f>HLOOKUP(INDICE!$F$2,Nombres!$C$3:$D$636,62,FALSE)</f>
        <v>Debt certificates</v>
      </c>
      <c r="B42" s="77">
        <v>1393.0425152280002</v>
      </c>
      <c r="C42" s="77">
        <v>963.3892639674001</v>
      </c>
      <c r="D42" s="77">
        <v>1050.0462951469281</v>
      </c>
      <c r="E42" s="78">
        <v>1099.2507067676784</v>
      </c>
      <c r="F42" s="77">
        <v>1131.2124779158253</v>
      </c>
      <c r="G42" s="77">
        <v>0</v>
      </c>
      <c r="H42" s="77">
        <v>0</v>
      </c>
      <c r="I42" s="77">
        <v>0</v>
      </c>
    </row>
    <row r="43" spans="1:9" hidden="1">
      <c r="A43" s="17"/>
      <c r="B43" s="77"/>
      <c r="C43" s="77"/>
      <c r="D43" s="77"/>
      <c r="E43" s="78"/>
      <c r="F43" s="77"/>
      <c r="G43" s="77"/>
      <c r="H43" s="77"/>
      <c r="I43" s="77"/>
    </row>
    <row r="44" spans="1:9">
      <c r="A44" s="17" t="str">
        <f>HLOOKUP(INDICE!$F$2,Nombres!$C$3:$D$636,63,FALSE)</f>
        <v>Other liabilities</v>
      </c>
      <c r="B44" s="86">
        <f>+B38-B39-B40-B41-B42-B45</f>
        <v>406.35868204799772</v>
      </c>
      <c r="C44" s="86">
        <f t="shared" ref="C44:I44" si="6">+C38-C39-C40-C41-C42-C45</f>
        <v>467.04478677859515</v>
      </c>
      <c r="D44" s="86">
        <f t="shared" si="6"/>
        <v>632.54448145446759</v>
      </c>
      <c r="E44" s="97">
        <f t="shared" si="6"/>
        <v>416.66626558243752</v>
      </c>
      <c r="F44" s="77">
        <f t="shared" si="6"/>
        <v>346.15622724023342</v>
      </c>
      <c r="G44" s="77">
        <f t="shared" si="6"/>
        <v>0</v>
      </c>
      <c r="H44" s="77">
        <f t="shared" si="6"/>
        <v>0</v>
      </c>
      <c r="I44" s="77">
        <f t="shared" si="6"/>
        <v>0</v>
      </c>
    </row>
    <row r="45" spans="1:9">
      <c r="A45" s="17" t="str">
        <f>HLOOKUP(INDICE!$F$2,Nombres!$C$3:$D$636,282,FALSE)</f>
        <v>Allocated regulatory capital</v>
      </c>
      <c r="B45" s="86">
        <v>2448.3937371489992</v>
      </c>
      <c r="C45" s="86">
        <v>2281.7529492539993</v>
      </c>
      <c r="D45" s="86">
        <v>2262.3222233986012</v>
      </c>
      <c r="E45" s="86">
        <v>2457.300027649881</v>
      </c>
      <c r="F45" s="86">
        <v>2489.0352948459445</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65" t="str">
        <f>HLOOKUP(INDICE!$F$2,Nombres!$C$3:$D$636,65,FALSE)</f>
        <v>Relevant business indicators</v>
      </c>
      <c r="B48" s="66"/>
      <c r="C48" s="66"/>
      <c r="D48" s="66"/>
      <c r="E48" s="66"/>
      <c r="F48" s="106"/>
      <c r="G48" s="106"/>
      <c r="H48" s="106"/>
      <c r="I48" s="106"/>
    </row>
    <row r="49" spans="1:9">
      <c r="A49" s="67" t="str">
        <f>HLOOKUP(INDICE!$F$2,Nombres!$C$3:$D$636,32,FALSE)</f>
        <v>(Million euros)</v>
      </c>
      <c r="B49" s="62"/>
      <c r="C49" s="62"/>
      <c r="D49" s="62"/>
      <c r="E49" s="62"/>
      <c r="F49" s="107"/>
      <c r="G49" s="77"/>
      <c r="H49" s="77"/>
      <c r="I49" s="77"/>
    </row>
    <row r="50" spans="1:9">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9">
      <c r="A51" s="17" t="str">
        <f>HLOOKUP(INDICE!$F$2,Nombres!$C$3:$D$636,66,FALSE)</f>
        <v>Loans and advances to customers (gross) (*)</v>
      </c>
      <c r="B51" s="77">
        <v>17006.394999999997</v>
      </c>
      <c r="C51" s="77">
        <v>16421.999000000003</v>
      </c>
      <c r="D51" s="77">
        <v>17353.187000000005</v>
      </c>
      <c r="E51" s="78">
        <v>18139.624</v>
      </c>
      <c r="F51" s="77">
        <v>19280.857000000004</v>
      </c>
      <c r="G51" s="77">
        <v>0</v>
      </c>
      <c r="H51" s="77">
        <v>0</v>
      </c>
      <c r="I51" s="77">
        <v>0</v>
      </c>
    </row>
    <row r="52" spans="1:9">
      <c r="A52" s="17" t="str">
        <f>HLOOKUP(INDICE!$F$2,Nombres!$C$3:$D$636,67,FALSE)</f>
        <v>Customer deposits under management (*)</v>
      </c>
      <c r="B52" s="77">
        <v>17366.615999972</v>
      </c>
      <c r="C52" s="77">
        <v>16820.548000000999</v>
      </c>
      <c r="D52" s="77">
        <v>17295.082999973998</v>
      </c>
      <c r="E52" s="78">
        <v>18614.074999981</v>
      </c>
      <c r="F52" s="77">
        <v>20055.976999873001</v>
      </c>
      <c r="G52" s="77">
        <v>0</v>
      </c>
      <c r="H52" s="77">
        <v>0</v>
      </c>
      <c r="I52" s="77">
        <v>0</v>
      </c>
    </row>
    <row r="53" spans="1:9">
      <c r="A53" s="17" t="str">
        <f>HLOOKUP(INDICE!$F$2,Nombres!$C$3:$D$636,68,FALSE)</f>
        <v>Investment funds and managed portfolios</v>
      </c>
      <c r="B53" s="77">
        <v>2640.183878294215</v>
      </c>
      <c r="C53" s="77">
        <v>2486.2928748909349</v>
      </c>
      <c r="D53" s="77">
        <v>2822.394925418916</v>
      </c>
      <c r="E53" s="78">
        <v>2985.2810328798682</v>
      </c>
      <c r="F53" s="77">
        <v>3310.5360683872441</v>
      </c>
      <c r="G53" s="77">
        <v>0</v>
      </c>
      <c r="H53" s="77">
        <v>0</v>
      </c>
      <c r="I53" s="77">
        <v>0</v>
      </c>
    </row>
    <row r="54" spans="1:9">
      <c r="A54" s="17" t="str">
        <f>HLOOKUP(INDICE!$F$2,Nombres!$C$3:$D$636,69,FALSE)</f>
        <v>Pension funds</v>
      </c>
      <c r="B54" s="77">
        <v>0</v>
      </c>
      <c r="C54" s="77">
        <v>0</v>
      </c>
      <c r="D54" s="77">
        <v>0</v>
      </c>
      <c r="E54" s="78">
        <v>0</v>
      </c>
      <c r="F54" s="77">
        <v>0</v>
      </c>
      <c r="G54" s="77">
        <v>0</v>
      </c>
      <c r="H54" s="77">
        <v>0</v>
      </c>
      <c r="I54" s="77">
        <v>0</v>
      </c>
    </row>
    <row r="55" spans="1:9">
      <c r="A55" s="17" t="str">
        <f>HLOOKUP(INDICE!$F$2,Nombres!$C$3:$D$636,70,FALSE)</f>
        <v>Other off balance-sheet funds</v>
      </c>
      <c r="B55" s="77">
        <v>0</v>
      </c>
      <c r="C55" s="77">
        <v>0</v>
      </c>
      <c r="D55" s="77">
        <v>0</v>
      </c>
      <c r="E55" s="78">
        <v>0</v>
      </c>
      <c r="F55" s="77">
        <v>0</v>
      </c>
      <c r="G55" s="77">
        <v>0</v>
      </c>
      <c r="H55" s="77">
        <v>0</v>
      </c>
      <c r="I55" s="77">
        <v>0</v>
      </c>
    </row>
    <row r="56" spans="1:9">
      <c r="A56" s="93" t="str">
        <f>HLOOKUP(INDICE!$F$2,Nombres!$C$3:$D$636,71,FALSE)</f>
        <v xml:space="preserve">(*) Excluding repos. </v>
      </c>
      <c r="B56" s="86"/>
      <c r="C56" s="86"/>
      <c r="D56" s="86"/>
      <c r="E56" s="86"/>
      <c r="F56" s="86"/>
      <c r="G56" s="86"/>
      <c r="H56" s="86"/>
      <c r="I56" s="86"/>
    </row>
    <row r="57" spans="1:9">
      <c r="A57" s="93">
        <f>HLOOKUP(INDICE!$F$2,Nombres!$C$3:$D$636,72,FALSE)</f>
        <v>0</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Income statement  </v>
      </c>
      <c r="B59" s="66"/>
      <c r="C59" s="66"/>
      <c r="D59" s="66"/>
      <c r="E59" s="66"/>
      <c r="F59" s="66"/>
      <c r="G59" s="66"/>
      <c r="H59" s="66"/>
      <c r="I59" s="66"/>
    </row>
    <row r="60" spans="1:9">
      <c r="A60" s="67" t="str">
        <f>HLOOKUP(INDICE!$F$2,Nombres!$C$3:$D$636,73,FALSE)</f>
        <v xml:space="preserve">(Constant million euros)    </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1Q</v>
      </c>
      <c r="C63" s="71" t="str">
        <f t="shared" ref="C63:I63" si="8">+C$7</f>
        <v>2Q</v>
      </c>
      <c r="D63" s="71" t="str">
        <f t="shared" si="8"/>
        <v>3Q</v>
      </c>
      <c r="E63" s="72" t="str">
        <f t="shared" si="8"/>
        <v>4Q</v>
      </c>
      <c r="F63" s="71" t="str">
        <f t="shared" si="8"/>
        <v>1Q</v>
      </c>
      <c r="G63" s="71" t="str">
        <f t="shared" si="8"/>
        <v>2Q</v>
      </c>
      <c r="H63" s="71" t="str">
        <f t="shared" si="8"/>
        <v>3Q</v>
      </c>
      <c r="I63" s="71" t="str">
        <f t="shared" si="8"/>
        <v>4Q</v>
      </c>
    </row>
    <row r="64" spans="1:9">
      <c r="A64" s="25" t="str">
        <f>HLOOKUP(INDICE!$F$2,Nombres!$C$3:$D$636,33,FALSE)</f>
        <v>Net interest income</v>
      </c>
      <c r="B64" s="25">
        <v>239.64533977182745</v>
      </c>
      <c r="C64" s="25">
        <v>261.90715555778496</v>
      </c>
      <c r="D64" s="25">
        <v>271.52448035855417</v>
      </c>
      <c r="E64" s="73">
        <v>283.33411147812268</v>
      </c>
      <c r="F64" s="74">
        <v>296.10800000089506</v>
      </c>
      <c r="G64" s="74">
        <v>0</v>
      </c>
      <c r="H64" s="74">
        <v>0</v>
      </c>
      <c r="I64" s="74">
        <v>0</v>
      </c>
    </row>
    <row r="65" spans="1:9">
      <c r="A65" s="17" t="str">
        <f>HLOOKUP(INDICE!$F$2,Nombres!$C$3:$D$636,34,FALSE)</f>
        <v>Net fees and commissions</v>
      </c>
      <c r="B65" s="77">
        <v>26.538599592934787</v>
      </c>
      <c r="C65" s="77">
        <v>28.068722460442789</v>
      </c>
      <c r="D65" s="77">
        <v>34.464899708330442</v>
      </c>
      <c r="E65" s="78">
        <v>50.000525491510196</v>
      </c>
      <c r="F65" s="77">
        <v>39.034285131001084</v>
      </c>
      <c r="G65" s="77">
        <v>0</v>
      </c>
      <c r="H65" s="77">
        <v>0</v>
      </c>
      <c r="I65" s="77">
        <v>0</v>
      </c>
    </row>
    <row r="66" spans="1:9">
      <c r="A66" s="17" t="str">
        <f>HLOOKUP(INDICE!$F$2,Nombres!$C$3:$D$636,35,FALSE)</f>
        <v>Net trading income</v>
      </c>
      <c r="B66" s="77">
        <v>27.682540801128344</v>
      </c>
      <c r="C66" s="77">
        <v>16.048835597733785</v>
      </c>
      <c r="D66" s="77">
        <v>27.198296947991668</v>
      </c>
      <c r="E66" s="78">
        <v>14.484514594920707</v>
      </c>
      <c r="F66" s="77">
        <v>24.728047349000395</v>
      </c>
      <c r="G66" s="77">
        <v>0</v>
      </c>
      <c r="H66" s="77">
        <v>0</v>
      </c>
      <c r="I66" s="77">
        <v>0</v>
      </c>
    </row>
    <row r="67" spans="1:9">
      <c r="A67" s="17" t="str">
        <f>HLOOKUP(INDICE!$F$2,Nombres!$C$3:$D$636,36,FALSE)</f>
        <v>Other operating income and expenses</v>
      </c>
      <c r="B67" s="77">
        <v>-6.5013729872639008</v>
      </c>
      <c r="C67" s="77">
        <v>-3.9773663121903389</v>
      </c>
      <c r="D67" s="77">
        <v>-15.254657495451118</v>
      </c>
      <c r="E67" s="78">
        <v>-53.505353995145484</v>
      </c>
      <c r="F67" s="77">
        <v>2.4992767340894146</v>
      </c>
      <c r="G67" s="77">
        <v>0</v>
      </c>
      <c r="H67" s="77">
        <v>0</v>
      </c>
      <c r="I67" s="77">
        <v>0</v>
      </c>
    </row>
    <row r="68" spans="1:9">
      <c r="A68" s="25" t="str">
        <f>HLOOKUP(INDICE!$F$2,Nombres!$C$3:$D$636,37,FALSE)</f>
        <v>Gross income</v>
      </c>
      <c r="B68" s="25">
        <f>+SUM(B64:B67)</f>
        <v>287.36510717862672</v>
      </c>
      <c r="C68" s="25">
        <f t="shared" ref="C68:I68" si="9">+SUM(C64:C67)</f>
        <v>302.04734730377123</v>
      </c>
      <c r="D68" s="25">
        <f t="shared" si="9"/>
        <v>317.93301951942516</v>
      </c>
      <c r="E68" s="73">
        <f t="shared" si="9"/>
        <v>294.31379756940811</v>
      </c>
      <c r="F68" s="74">
        <f t="shared" si="9"/>
        <v>362.36960921498593</v>
      </c>
      <c r="G68" s="74">
        <f t="shared" si="9"/>
        <v>0</v>
      </c>
      <c r="H68" s="74">
        <f t="shared" si="9"/>
        <v>0</v>
      </c>
      <c r="I68" s="74">
        <f t="shared" si="9"/>
        <v>0</v>
      </c>
    </row>
    <row r="69" spans="1:9">
      <c r="A69" s="17" t="str">
        <f>HLOOKUP(INDICE!$F$2,Nombres!$C$3:$D$636,38,FALSE)</f>
        <v>Operating expenses</v>
      </c>
      <c r="B69" s="77">
        <v>-131.98041171033245</v>
      </c>
      <c r="C69" s="77">
        <v>-134.33783020578963</v>
      </c>
      <c r="D69" s="77">
        <v>-143.61526322691012</v>
      </c>
      <c r="E69" s="78">
        <v>-146.89304479284971</v>
      </c>
      <c r="F69" s="77">
        <v>-144.48280173198521</v>
      </c>
      <c r="G69" s="77">
        <v>0</v>
      </c>
      <c r="H69" s="77">
        <v>0</v>
      </c>
      <c r="I69" s="77">
        <v>0</v>
      </c>
    </row>
    <row r="70" spans="1:9">
      <c r="A70" s="17" t="str">
        <f>HLOOKUP(INDICE!$F$2,Nombres!$C$3:$D$636,39,FALSE)</f>
        <v xml:space="preserve">  Administration expenses</v>
      </c>
      <c r="B70" s="77">
        <v>-122.07540273861953</v>
      </c>
      <c r="C70" s="77">
        <v>-124.46745227222607</v>
      </c>
      <c r="D70" s="77">
        <v>-133.3943321066867</v>
      </c>
      <c r="E70" s="78">
        <v>-136.79719494285644</v>
      </c>
      <c r="F70" s="77">
        <v>-133.63780173198521</v>
      </c>
      <c r="G70" s="77">
        <v>0</v>
      </c>
      <c r="H70" s="77">
        <v>0</v>
      </c>
      <c r="I70" s="77">
        <v>0</v>
      </c>
    </row>
    <row r="71" spans="1:9">
      <c r="A71" s="79" t="str">
        <f>HLOOKUP(INDICE!$F$2,Nombres!$C$3:$D$636,40,FALSE)</f>
        <v xml:space="preserve">  Personnel expenses</v>
      </c>
      <c r="B71" s="77">
        <v>-51.311494901640714</v>
      </c>
      <c r="C71" s="77">
        <v>-55.817817884039094</v>
      </c>
      <c r="D71" s="77">
        <v>-64.244818203653836</v>
      </c>
      <c r="E71" s="78">
        <v>-67.221071152490737</v>
      </c>
      <c r="F71" s="77">
        <v>-58.622999999999983</v>
      </c>
      <c r="G71" s="77">
        <v>0</v>
      </c>
      <c r="H71" s="77">
        <v>0</v>
      </c>
      <c r="I71" s="77">
        <v>0</v>
      </c>
    </row>
    <row r="72" spans="1:9">
      <c r="A72" s="79" t="str">
        <f>HLOOKUP(INDICE!$F$2,Nombres!$C$3:$D$636,41,FALSE)</f>
        <v xml:space="preserve">  General and administrative expenses</v>
      </c>
      <c r="B72" s="77">
        <v>-70.763907836978817</v>
      </c>
      <c r="C72" s="77">
        <v>-68.649634388186982</v>
      </c>
      <c r="D72" s="77">
        <v>-69.149513903032869</v>
      </c>
      <c r="E72" s="78">
        <v>-69.576123790365713</v>
      </c>
      <c r="F72" s="77">
        <v>-75.01480173198523</v>
      </c>
      <c r="G72" s="77">
        <v>0</v>
      </c>
      <c r="H72" s="77">
        <v>0</v>
      </c>
      <c r="I72" s="77">
        <v>0</v>
      </c>
    </row>
    <row r="73" spans="1:9">
      <c r="A73" s="17" t="str">
        <f>HLOOKUP(INDICE!$F$2,Nombres!$C$3:$D$636,42,FALSE)</f>
        <v xml:space="preserve">  Depreciation</v>
      </c>
      <c r="B73" s="77">
        <v>-9.9050089717129168</v>
      </c>
      <c r="C73" s="77">
        <v>-9.8703779335635691</v>
      </c>
      <c r="D73" s="77">
        <v>-10.220931120223401</v>
      </c>
      <c r="E73" s="78">
        <v>-10.095849849993302</v>
      </c>
      <c r="F73" s="77">
        <v>-10.844999999999999</v>
      </c>
      <c r="G73" s="77">
        <v>0</v>
      </c>
      <c r="H73" s="77">
        <v>0</v>
      </c>
      <c r="I73" s="77">
        <v>0</v>
      </c>
    </row>
    <row r="74" spans="1:9">
      <c r="A74" s="25" t="str">
        <f>HLOOKUP(INDICE!$F$2,Nombres!$C$3:$D$636,43,FALSE)</f>
        <v>Operating income</v>
      </c>
      <c r="B74" s="25">
        <f>+B68+B69</f>
        <v>155.38469546829427</v>
      </c>
      <c r="C74" s="25">
        <f t="shared" ref="C74:I74" si="10">+C68+C69</f>
        <v>167.7095170979816</v>
      </c>
      <c r="D74" s="25">
        <f t="shared" si="10"/>
        <v>174.31775629251504</v>
      </c>
      <c r="E74" s="73">
        <f t="shared" si="10"/>
        <v>147.4207527765584</v>
      </c>
      <c r="F74" s="74">
        <f t="shared" si="10"/>
        <v>217.88680748300072</v>
      </c>
      <c r="G74" s="74">
        <f t="shared" si="10"/>
        <v>0</v>
      </c>
      <c r="H74" s="74">
        <f t="shared" si="10"/>
        <v>0</v>
      </c>
      <c r="I74" s="74">
        <f t="shared" si="10"/>
        <v>0</v>
      </c>
    </row>
    <row r="75" spans="1:9">
      <c r="A75" s="17" t="str">
        <f>HLOOKUP(INDICE!$F$2,Nombres!$C$3:$D$636,44,FALSE)</f>
        <v>Impaiment on financial assets not measured at fair value through profit or loss</v>
      </c>
      <c r="B75" s="77">
        <v>-110.83943640551138</v>
      </c>
      <c r="C75" s="77">
        <v>-104.36910321008378</v>
      </c>
      <c r="D75" s="77">
        <v>-86.262089870709929</v>
      </c>
      <c r="E75" s="78">
        <v>-96.774007271716926</v>
      </c>
      <c r="F75" s="77">
        <v>-90.770000000000024</v>
      </c>
      <c r="G75" s="77">
        <v>0</v>
      </c>
      <c r="H75" s="77">
        <v>0</v>
      </c>
      <c r="I75" s="77">
        <v>0</v>
      </c>
    </row>
    <row r="76" spans="1:9">
      <c r="A76" s="17" t="str">
        <f>HLOOKUP(INDICE!$F$2,Nombres!$C$3:$D$636,45,FALSE)</f>
        <v>Provisions or reversal of provisions and other results</v>
      </c>
      <c r="B76" s="77">
        <v>-0.2997810003792043</v>
      </c>
      <c r="C76" s="77">
        <v>-1.5576402111173071</v>
      </c>
      <c r="D76" s="77">
        <v>-6.2915589461231862</v>
      </c>
      <c r="E76" s="78">
        <v>8.6788885102281217</v>
      </c>
      <c r="F76" s="77">
        <v>-3.3989999999999991</v>
      </c>
      <c r="G76" s="77">
        <v>0</v>
      </c>
      <c r="H76" s="77">
        <v>0</v>
      </c>
      <c r="I76" s="77">
        <v>0</v>
      </c>
    </row>
    <row r="77" spans="1:9">
      <c r="A77" s="25" t="str">
        <f>HLOOKUP(INDICE!$F$2,Nombres!$C$3:$D$636,46,FALSE)</f>
        <v>Profit/(loss) before tax</v>
      </c>
      <c r="B77" s="25">
        <f>+B74+B75+B76</f>
        <v>44.245478062403684</v>
      </c>
      <c r="C77" s="25">
        <f t="shared" ref="C77:I77" si="11">+C74+C75+C76</f>
        <v>61.782773676780515</v>
      </c>
      <c r="D77" s="25">
        <f t="shared" si="11"/>
        <v>81.764107475681925</v>
      </c>
      <c r="E77" s="73">
        <f t="shared" si="11"/>
        <v>59.325634015069596</v>
      </c>
      <c r="F77" s="74">
        <f t="shared" si="11"/>
        <v>123.7178074830007</v>
      </c>
      <c r="G77" s="74">
        <f t="shared" si="11"/>
        <v>0</v>
      </c>
      <c r="H77" s="74">
        <f t="shared" si="11"/>
        <v>0</v>
      </c>
      <c r="I77" s="74">
        <f t="shared" si="11"/>
        <v>0</v>
      </c>
    </row>
    <row r="78" spans="1:9">
      <c r="A78" s="17" t="str">
        <f>HLOOKUP(INDICE!$F$2,Nombres!$C$3:$D$636,47,FALSE)</f>
        <v>Income tax</v>
      </c>
      <c r="B78" s="77">
        <v>-10.301784043408787</v>
      </c>
      <c r="C78" s="77">
        <v>-17.331212489115103</v>
      </c>
      <c r="D78" s="77">
        <v>-28.413865906483604</v>
      </c>
      <c r="E78" s="78">
        <v>-37.112047452572199</v>
      </c>
      <c r="F78" s="77">
        <v>-43.703880474870004</v>
      </c>
      <c r="G78" s="77">
        <v>0</v>
      </c>
      <c r="H78" s="77">
        <v>0</v>
      </c>
      <c r="I78" s="77">
        <v>0</v>
      </c>
    </row>
    <row r="79" spans="1:9">
      <c r="A79" s="25" t="str">
        <f>HLOOKUP(INDICE!$F$2,Nombres!$C$3:$D$636,48,FALSE)</f>
        <v>Profit/(loss) for the year</v>
      </c>
      <c r="B79" s="25">
        <f>+B77+B78</f>
        <v>33.943694018994897</v>
      </c>
      <c r="C79" s="25">
        <f t="shared" ref="C79:I79" si="12">+C77+C78</f>
        <v>44.451561187665412</v>
      </c>
      <c r="D79" s="25">
        <f t="shared" si="12"/>
        <v>53.350241569198317</v>
      </c>
      <c r="E79" s="73">
        <f t="shared" si="12"/>
        <v>22.213586562497397</v>
      </c>
      <c r="F79" s="74">
        <f t="shared" si="12"/>
        <v>80.013927008130693</v>
      </c>
      <c r="G79" s="74">
        <f t="shared" si="12"/>
        <v>0</v>
      </c>
      <c r="H79" s="74">
        <f t="shared" si="12"/>
        <v>0</v>
      </c>
      <c r="I79" s="74">
        <f t="shared" si="12"/>
        <v>0</v>
      </c>
    </row>
    <row r="80" spans="1:9">
      <c r="A80" s="17" t="str">
        <f>HLOOKUP(INDICE!$F$2,Nombres!$C$3:$D$636,49,FALSE)</f>
        <v>Non-controlling interests</v>
      </c>
      <c r="B80" s="77">
        <v>-0.38574917746468368</v>
      </c>
      <c r="C80" s="77">
        <v>-0.64161787355398447</v>
      </c>
      <c r="D80" s="77">
        <v>-1.0317224287915241</v>
      </c>
      <c r="E80" s="78">
        <v>-1.3052736584765796</v>
      </c>
      <c r="F80" s="77">
        <v>-1.8191955510000013</v>
      </c>
      <c r="G80" s="77">
        <v>0</v>
      </c>
      <c r="H80" s="77">
        <v>0</v>
      </c>
      <c r="I80" s="77">
        <v>0</v>
      </c>
    </row>
    <row r="81" spans="1:9">
      <c r="A81" s="19" t="str">
        <f>HLOOKUP(INDICE!$F$2,Nombres!$C$3:$D$636,50,FALSE)</f>
        <v>Net attributable profit</v>
      </c>
      <c r="B81" s="19">
        <f>+B79+B80</f>
        <v>33.557944841530215</v>
      </c>
      <c r="C81" s="19">
        <f t="shared" ref="C81:I81" si="13">+C79+C80</f>
        <v>43.809943314111429</v>
      </c>
      <c r="D81" s="19">
        <f t="shared" si="13"/>
        <v>52.318519140406792</v>
      </c>
      <c r="E81" s="19">
        <f t="shared" si="13"/>
        <v>20.908312904020818</v>
      </c>
      <c r="F81" s="96">
        <f t="shared" si="13"/>
        <v>78.194731457130686</v>
      </c>
      <c r="G81" s="96">
        <f t="shared" si="13"/>
        <v>0</v>
      </c>
      <c r="H81" s="96">
        <f t="shared" si="13"/>
        <v>0</v>
      </c>
      <c r="I81" s="96">
        <f t="shared" si="13"/>
        <v>0</v>
      </c>
    </row>
    <row r="82" spans="1:9">
      <c r="A82" s="93"/>
      <c r="B82" s="101">
        <v>7.1054273576010019E-14</v>
      </c>
      <c r="C82" s="101">
        <v>0</v>
      </c>
      <c r="D82" s="101">
        <v>-7.1054273576010019E-14</v>
      </c>
      <c r="E82" s="101">
        <v>4.2632564145606011E-14</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Cash, cash balances at central banks and other demand deposits</v>
      </c>
      <c r="B87" s="77">
        <v>1411.5467845678158</v>
      </c>
      <c r="C87" s="77">
        <v>1399.3011373015222</v>
      </c>
      <c r="D87" s="77">
        <v>1813.1599954439173</v>
      </c>
      <c r="E87" s="78">
        <v>1777.1472161107358</v>
      </c>
      <c r="F87" s="77">
        <v>1772.711999999605</v>
      </c>
      <c r="G87" s="77">
        <v>0</v>
      </c>
      <c r="H87" s="77">
        <v>0</v>
      </c>
      <c r="I87" s="77">
        <v>0</v>
      </c>
    </row>
    <row r="88" spans="1:9">
      <c r="A88" s="17" t="str">
        <f>HLOOKUP(INDICE!$F$2,Nombres!$C$3:$D$636,53,FALSE)</f>
        <v xml:space="preserve">Financial assets designated at fair value </v>
      </c>
      <c r="B88" s="86">
        <v>3920.1177456659884</v>
      </c>
      <c r="C88" s="86">
        <v>4127.1123138348858</v>
      </c>
      <c r="D88" s="86">
        <v>4166.4819838461472</v>
      </c>
      <c r="E88" s="97">
        <v>4046.829818383645</v>
      </c>
      <c r="F88" s="77">
        <v>4356.3829999999953</v>
      </c>
      <c r="G88" s="77">
        <v>0</v>
      </c>
      <c r="H88" s="77">
        <v>0</v>
      </c>
      <c r="I88" s="77">
        <v>0</v>
      </c>
    </row>
    <row r="89" spans="1:9">
      <c r="A89" s="17" t="str">
        <f>HLOOKUP(INDICE!$F$2,Nombres!$C$3:$D$636,54,FALSE)</f>
        <v>Financial assets at amortized cost</v>
      </c>
      <c r="B89" s="77">
        <v>18747.039547503387</v>
      </c>
      <c r="C89" s="77">
        <v>18804.08648066008</v>
      </c>
      <c r="D89" s="77">
        <v>18973.32786116967</v>
      </c>
      <c r="E89" s="78">
        <v>19416.469587557895</v>
      </c>
      <c r="F89" s="77">
        <v>19871.240999999241</v>
      </c>
      <c r="G89" s="77">
        <v>0</v>
      </c>
      <c r="H89" s="77">
        <v>0</v>
      </c>
      <c r="I89" s="77">
        <v>0</v>
      </c>
    </row>
    <row r="90" spans="1:9">
      <c r="A90" s="17" t="str">
        <f>HLOOKUP(INDICE!$F$2,Nombres!$C$3:$D$636,55,FALSE)</f>
        <v xml:space="preserve">    of which loans and advances to customers</v>
      </c>
      <c r="B90" s="77">
        <v>17447.839304964895</v>
      </c>
      <c r="C90" s="77">
        <v>17762.406476306878</v>
      </c>
      <c r="D90" s="77">
        <v>18071.825830802565</v>
      </c>
      <c r="E90" s="78">
        <v>18243.314189769466</v>
      </c>
      <c r="F90" s="77">
        <v>18589.741999999245</v>
      </c>
      <c r="G90" s="77">
        <v>0</v>
      </c>
      <c r="H90" s="77">
        <v>0</v>
      </c>
      <c r="I90" s="77">
        <v>0</v>
      </c>
    </row>
    <row r="91" spans="1:9" hidden="1">
      <c r="A91" s="17"/>
      <c r="B91" s="77"/>
      <c r="C91" s="77"/>
      <c r="D91" s="77"/>
      <c r="E91" s="78"/>
      <c r="F91" s="77"/>
      <c r="G91" s="77"/>
      <c r="H91" s="77"/>
      <c r="I91" s="77"/>
    </row>
    <row r="92" spans="1:9">
      <c r="A92" s="17" t="str">
        <f>HLOOKUP(INDICE!$F$2,Nombres!$C$3:$D$636,56,FALSE)</f>
        <v>Tangible assets</v>
      </c>
      <c r="B92" s="77">
        <v>106.33985479990233</v>
      </c>
      <c r="C92" s="77">
        <v>101.97901385534182</v>
      </c>
      <c r="D92" s="77">
        <v>99.607618722022806</v>
      </c>
      <c r="E92" s="78">
        <v>101.59308663367393</v>
      </c>
      <c r="F92" s="77">
        <v>96.796000000000006</v>
      </c>
      <c r="G92" s="77">
        <v>0</v>
      </c>
      <c r="H92" s="77">
        <v>0</v>
      </c>
      <c r="I92" s="77">
        <v>0</v>
      </c>
    </row>
    <row r="93" spans="1:9">
      <c r="A93" s="17" t="str">
        <f>HLOOKUP(INDICE!$F$2,Nombres!$C$3:$D$636,57,FALSE)</f>
        <v>Other assets</v>
      </c>
      <c r="B93" s="86">
        <f>+B94-B92-B89-B88-B87</f>
        <v>1110.5074533570946</v>
      </c>
      <c r="C93" s="86">
        <f t="shared" ref="C93:I93" si="15">+C94-C92-C89-C88-C87</f>
        <v>1121.9409617463264</v>
      </c>
      <c r="D93" s="86">
        <f t="shared" si="15"/>
        <v>1138.3222321271812</v>
      </c>
      <c r="E93" s="97">
        <f t="shared" si="15"/>
        <v>1224.3772115711527</v>
      </c>
      <c r="F93" s="77">
        <f t="shared" si="15"/>
        <v>1000.9490000007252</v>
      </c>
      <c r="G93" s="77">
        <f t="shared" si="15"/>
        <v>0</v>
      </c>
      <c r="H93" s="77">
        <f t="shared" si="15"/>
        <v>0</v>
      </c>
      <c r="I93" s="77">
        <f t="shared" si="15"/>
        <v>0</v>
      </c>
    </row>
    <row r="94" spans="1:9">
      <c r="A94" s="19" t="str">
        <f>HLOOKUP(INDICE!$F$2,Nombres!$C$3:$D$636,58,FALSE)</f>
        <v>Total assets / Liabilities and equity</v>
      </c>
      <c r="B94" s="19">
        <v>25295.551385894189</v>
      </c>
      <c r="C94" s="19">
        <v>25554.419907398158</v>
      </c>
      <c r="D94" s="19">
        <v>26190.89969130894</v>
      </c>
      <c r="E94" s="19">
        <v>26566.416920257103</v>
      </c>
      <c r="F94" s="96">
        <v>27098.080999999565</v>
      </c>
      <c r="G94" s="96">
        <v>0</v>
      </c>
      <c r="H94" s="96">
        <v>0</v>
      </c>
      <c r="I94" s="96">
        <v>0</v>
      </c>
    </row>
    <row r="95" spans="1:9">
      <c r="A95" s="17" t="str">
        <f>HLOOKUP(INDICE!$F$2,Nombres!$C$3:$D$636,59,FALSE)</f>
        <v>Financial liabilities held for trading and designated at fair value through profit or loss</v>
      </c>
      <c r="B95" s="86">
        <v>1286.389558253212</v>
      </c>
      <c r="C95" s="86">
        <v>1612.5990370089748</v>
      </c>
      <c r="D95" s="86">
        <v>2421.6140277728559</v>
      </c>
      <c r="E95" s="97">
        <v>2284.3269712467463</v>
      </c>
      <c r="F95" s="77">
        <v>2322.393</v>
      </c>
      <c r="G95" s="77">
        <v>0</v>
      </c>
      <c r="H95" s="77">
        <v>0</v>
      </c>
      <c r="I95" s="77">
        <v>0</v>
      </c>
    </row>
    <row r="96" spans="1:9">
      <c r="A96" s="17" t="str">
        <f>HLOOKUP(INDICE!$F$2,Nombres!$C$3:$D$636,60,FALSE)</f>
        <v>Deposits from central banks and credit institutions</v>
      </c>
      <c r="B96" s="86">
        <v>783.57933368870056</v>
      </c>
      <c r="C96" s="86">
        <v>733.16582274573841</v>
      </c>
      <c r="D96" s="86">
        <v>713.27747688973727</v>
      </c>
      <c r="E96" s="97">
        <v>651.81146839477071</v>
      </c>
      <c r="F96" s="77">
        <v>753.30700012699981</v>
      </c>
      <c r="G96" s="77">
        <v>0</v>
      </c>
      <c r="H96" s="77">
        <v>0</v>
      </c>
      <c r="I96" s="77">
        <v>0</v>
      </c>
    </row>
    <row r="97" spans="1:9">
      <c r="A97" s="17" t="str">
        <f>HLOOKUP(INDICE!$F$2,Nombres!$C$3:$D$636,61,FALSE)</f>
        <v>Deposits from customers</v>
      </c>
      <c r="B97" s="86">
        <v>18661.150367335631</v>
      </c>
      <c r="C97" s="86">
        <v>19012.678839146218</v>
      </c>
      <c r="D97" s="86">
        <v>18773.806512796335</v>
      </c>
      <c r="E97" s="97">
        <v>19473.594971411057</v>
      </c>
      <c r="F97" s="77">
        <v>20055.976999872604</v>
      </c>
      <c r="G97" s="77">
        <v>0</v>
      </c>
      <c r="H97" s="77">
        <v>0</v>
      </c>
      <c r="I97" s="77">
        <v>0</v>
      </c>
    </row>
    <row r="98" spans="1:9">
      <c r="A98" s="17" t="str">
        <f>HLOOKUP(INDICE!$F$2,Nombres!$C$3:$D$636,62,FALSE)</f>
        <v>Debt certificates</v>
      </c>
      <c r="B98" s="77">
        <v>1496.8790811135484</v>
      </c>
      <c r="C98" s="77">
        <v>1088.9425724822288</v>
      </c>
      <c r="D98" s="77">
        <v>1139.8248929122317</v>
      </c>
      <c r="E98" s="78">
        <v>1150.0094974181181</v>
      </c>
      <c r="F98" s="77">
        <v>1131.2124779158253</v>
      </c>
      <c r="G98" s="77">
        <v>0</v>
      </c>
      <c r="H98" s="77">
        <v>0</v>
      </c>
      <c r="I98" s="77">
        <v>0</v>
      </c>
    </row>
    <row r="99" spans="1:9" hidden="1">
      <c r="A99" s="17"/>
      <c r="B99" s="77"/>
      <c r="C99" s="77"/>
      <c r="D99" s="77"/>
      <c r="E99" s="78"/>
      <c r="F99" s="77"/>
      <c r="G99" s="77"/>
      <c r="H99" s="77"/>
      <c r="I99" s="77"/>
    </row>
    <row r="100" spans="1:9">
      <c r="A100" s="17" t="str">
        <f>HLOOKUP(INDICE!$F$2,Nombres!$C$3:$D$636,63,FALSE)</f>
        <v>Other liabilities</v>
      </c>
      <c r="B100" s="86">
        <f>+B94-B95-B96-B97-B98-B101</f>
        <v>436.66083757822798</v>
      </c>
      <c r="C100" s="86">
        <f t="shared" ref="C100:I100" si="16">+C94-C95-C96-C97-C98-C101</f>
        <v>527.91217046906013</v>
      </c>
      <c r="D100" s="86">
        <f t="shared" si="16"/>
        <v>686.6267775756819</v>
      </c>
      <c r="E100" s="97">
        <f t="shared" si="16"/>
        <v>435.9061674679615</v>
      </c>
      <c r="F100" s="77">
        <f t="shared" si="16"/>
        <v>346.15622723946899</v>
      </c>
      <c r="G100" s="77">
        <f t="shared" si="16"/>
        <v>0</v>
      </c>
      <c r="H100" s="77">
        <f t="shared" si="16"/>
        <v>0</v>
      </c>
      <c r="I100" s="77">
        <f t="shared" si="16"/>
        <v>0</v>
      </c>
    </row>
    <row r="101" spans="1:9">
      <c r="A101" s="17" t="str">
        <f>HLOOKUP(INDICE!$F$2,Nombres!$C$3:$D$636,282,FALSE)</f>
        <v>Allocated regulatory capital</v>
      </c>
      <c r="B101" s="86">
        <v>2630.8922079248678</v>
      </c>
      <c r="C101" s="86">
        <v>2579.1214655459394</v>
      </c>
      <c r="D101" s="86">
        <v>2455.7500033620995</v>
      </c>
      <c r="E101" s="86">
        <v>2570.7678443184459</v>
      </c>
      <c r="F101" s="86">
        <v>2489.035294844668</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Relevant business indicators</v>
      </c>
      <c r="B104" s="66"/>
      <c r="C104" s="66"/>
      <c r="D104" s="66"/>
      <c r="E104" s="66"/>
      <c r="F104" s="106"/>
      <c r="G104" s="106"/>
      <c r="H104" s="106"/>
      <c r="I104" s="106"/>
    </row>
    <row r="105" spans="1:9">
      <c r="A105" s="67"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Loans and advances to customers (gross) (*)</v>
      </c>
      <c r="B107" s="77">
        <v>18274.077937913069</v>
      </c>
      <c r="C107" s="77">
        <v>18562.189108450282</v>
      </c>
      <c r="D107" s="77">
        <v>18836.878384386298</v>
      </c>
      <c r="E107" s="78">
        <v>18977.235812687508</v>
      </c>
      <c r="F107" s="77">
        <v>19280.856999999243</v>
      </c>
      <c r="G107" s="77">
        <v>0</v>
      </c>
      <c r="H107" s="77">
        <v>0</v>
      </c>
      <c r="I107" s="77">
        <v>0</v>
      </c>
    </row>
    <row r="108" spans="1:9">
      <c r="A108" s="17" t="str">
        <f>HLOOKUP(INDICE!$F$2,Nombres!$C$3:$D$636,67,FALSE)</f>
        <v>Customer deposits under management (*)</v>
      </c>
      <c r="B108" s="77">
        <v>18661.150367335631</v>
      </c>
      <c r="C108" s="77">
        <v>19012.678839146218</v>
      </c>
      <c r="D108" s="77">
        <v>18773.806512796338</v>
      </c>
      <c r="E108" s="78">
        <v>19473.594971411061</v>
      </c>
      <c r="F108" s="77">
        <v>20055.976999872604</v>
      </c>
      <c r="G108" s="77">
        <v>0</v>
      </c>
      <c r="H108" s="77">
        <v>0</v>
      </c>
      <c r="I108" s="77">
        <v>0</v>
      </c>
    </row>
    <row r="109" spans="1:9">
      <c r="A109" s="17" t="str">
        <f>HLOOKUP(INDICE!$F$2,Nombres!$C$3:$D$636,68,FALSE)</f>
        <v>Investment funds and managed portfolios</v>
      </c>
      <c r="B109" s="77">
        <v>2836.9872605200921</v>
      </c>
      <c r="C109" s="77">
        <v>2810.3179474505987</v>
      </c>
      <c r="D109" s="77">
        <v>3063.7086987434827</v>
      </c>
      <c r="E109" s="78">
        <v>3123.1287995883808</v>
      </c>
      <c r="F109" s="77">
        <v>3310.5360683872441</v>
      </c>
      <c r="G109" s="77">
        <v>0</v>
      </c>
      <c r="H109" s="77">
        <v>0</v>
      </c>
      <c r="I109" s="77">
        <v>0</v>
      </c>
    </row>
    <row r="110" spans="1:9">
      <c r="A110" s="17" t="str">
        <f>HLOOKUP(INDICE!$F$2,Nombres!$C$3:$D$636,69,FALSE)</f>
        <v>Pension funds</v>
      </c>
      <c r="B110" s="77">
        <v>0</v>
      </c>
      <c r="C110" s="77">
        <v>0</v>
      </c>
      <c r="D110" s="77">
        <v>0</v>
      </c>
      <c r="E110" s="78">
        <v>0</v>
      </c>
      <c r="F110" s="77">
        <v>0</v>
      </c>
      <c r="G110" s="77">
        <v>0</v>
      </c>
      <c r="H110" s="77">
        <v>0</v>
      </c>
      <c r="I110" s="77">
        <v>0</v>
      </c>
    </row>
    <row r="111" spans="1:9">
      <c r="A111" s="17" t="str">
        <f>HLOOKUP(INDICE!$F$2,Nombres!$C$3:$D$636,70,FALSE)</f>
        <v>Other off balance-sheet funds</v>
      </c>
      <c r="B111" s="77">
        <v>0</v>
      </c>
      <c r="C111" s="77">
        <v>0</v>
      </c>
      <c r="D111" s="77">
        <v>0</v>
      </c>
      <c r="E111" s="78">
        <v>0</v>
      </c>
      <c r="F111" s="77">
        <v>0</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Income statement  </v>
      </c>
      <c r="B115" s="66"/>
      <c r="C115" s="66"/>
      <c r="D115" s="66"/>
      <c r="E115" s="66"/>
      <c r="F115" s="66"/>
      <c r="G115" s="66"/>
      <c r="H115" s="66"/>
      <c r="I115" s="66"/>
    </row>
    <row r="116" spans="1:9">
      <c r="A116" s="67" t="str">
        <f>HLOOKUP(INDICE!$F$2,Nombres!$C$3:$D$636,75,FALSE)</f>
        <v>(Million Colombian pesos)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1Q</v>
      </c>
      <c r="C119" s="71" t="str">
        <f t="shared" ref="C119:I119" si="18">+C$7</f>
        <v>2Q</v>
      </c>
      <c r="D119" s="71" t="str">
        <f t="shared" si="18"/>
        <v>3Q</v>
      </c>
      <c r="E119" s="72" t="str">
        <f t="shared" si="18"/>
        <v>4Q</v>
      </c>
      <c r="F119" s="71" t="str">
        <f t="shared" si="18"/>
        <v>1Q</v>
      </c>
      <c r="G119" s="71" t="str">
        <f t="shared" si="18"/>
        <v>2Q</v>
      </c>
      <c r="H119" s="71" t="str">
        <f t="shared" si="18"/>
        <v>3Q</v>
      </c>
      <c r="I119" s="71" t="str">
        <f t="shared" si="18"/>
        <v>4Q</v>
      </c>
    </row>
    <row r="120" spans="1:9">
      <c r="A120" s="25" t="str">
        <f>HLOOKUP(INDICE!$F$2,Nombres!$C$3:$D$636,33,FALSE)</f>
        <v>Net interest income</v>
      </c>
      <c r="B120" s="25">
        <v>1036691.2781132654</v>
      </c>
      <c r="C120" s="25">
        <v>1132994.5497823071</v>
      </c>
      <c r="D120" s="25">
        <v>1174598.516499259</v>
      </c>
      <c r="E120" s="73">
        <v>1225686.2680534881</v>
      </c>
      <c r="F120" s="74">
        <v>1280945.338944488</v>
      </c>
      <c r="G120" s="74">
        <v>0</v>
      </c>
      <c r="H120" s="74">
        <v>0</v>
      </c>
      <c r="I120" s="74">
        <v>0</v>
      </c>
    </row>
    <row r="121" spans="1:9">
      <c r="A121" s="17" t="str">
        <f>HLOOKUP(INDICE!$F$2,Nombres!$C$3:$D$636,34,FALSE)</f>
        <v>Net fees and commissions</v>
      </c>
      <c r="B121" s="77">
        <v>114804.38032941071</v>
      </c>
      <c r="C121" s="77">
        <v>121423.59951680469</v>
      </c>
      <c r="D121" s="77">
        <v>149093.07630473241</v>
      </c>
      <c r="E121" s="78">
        <v>216299.25592328265</v>
      </c>
      <c r="F121" s="77">
        <v>168859.96189712826</v>
      </c>
      <c r="G121" s="77">
        <v>0</v>
      </c>
      <c r="H121" s="77">
        <v>0</v>
      </c>
      <c r="I121" s="77">
        <v>0</v>
      </c>
    </row>
    <row r="122" spans="1:9">
      <c r="A122" s="17" t="str">
        <f>HLOOKUP(INDICE!$F$2,Nombres!$C$3:$D$636,35,FALSE)</f>
        <v>Net trading income</v>
      </c>
      <c r="B122" s="77">
        <v>119753.00096329306</v>
      </c>
      <c r="C122" s="77">
        <v>69426.294305933436</v>
      </c>
      <c r="D122" s="77">
        <v>117658.19127700891</v>
      </c>
      <c r="E122" s="78">
        <v>62659.136048945227</v>
      </c>
      <c r="F122" s="77">
        <v>106972.04058250652</v>
      </c>
      <c r="G122" s="77">
        <v>0</v>
      </c>
      <c r="H122" s="77">
        <v>0</v>
      </c>
      <c r="I122" s="77">
        <v>0</v>
      </c>
    </row>
    <row r="123" spans="1:9">
      <c r="A123" s="17" t="str">
        <f>HLOOKUP(INDICE!$F$2,Nombres!$C$3:$D$636,36,FALSE)</f>
        <v>Other operating income and expenses</v>
      </c>
      <c r="B123" s="77">
        <v>-28124.547208282485</v>
      </c>
      <c r="C123" s="77">
        <v>-17205.846646695336</v>
      </c>
      <c r="D123" s="77">
        <v>-65990.727761268325</v>
      </c>
      <c r="E123" s="78">
        <v>-231460.93252613675</v>
      </c>
      <c r="F123" s="77">
        <v>10811.720329253434</v>
      </c>
      <c r="G123" s="77">
        <v>0</v>
      </c>
      <c r="H123" s="77">
        <v>0</v>
      </c>
      <c r="I123" s="77">
        <v>0</v>
      </c>
    </row>
    <row r="124" spans="1:9">
      <c r="A124" s="25" t="str">
        <f>HLOOKUP(INDICE!$F$2,Nombres!$C$3:$D$636,37,FALSE)</f>
        <v>Gross income</v>
      </c>
      <c r="B124" s="25">
        <f>+SUM(B120:B123)</f>
        <v>1243124.1121976867</v>
      </c>
      <c r="C124" s="25">
        <f t="shared" ref="C124:I124" si="19">+SUM(C120:C123)</f>
        <v>1306638.5969583499</v>
      </c>
      <c r="D124" s="25">
        <f t="shared" si="19"/>
        <v>1375359.056319732</v>
      </c>
      <c r="E124" s="73">
        <f t="shared" si="19"/>
        <v>1273183.7274995791</v>
      </c>
      <c r="F124" s="74">
        <f t="shared" si="19"/>
        <v>1567589.0617533762</v>
      </c>
      <c r="G124" s="74">
        <f t="shared" si="19"/>
        <v>0</v>
      </c>
      <c r="H124" s="74">
        <f t="shared" si="19"/>
        <v>0</v>
      </c>
      <c r="I124" s="74">
        <f t="shared" si="19"/>
        <v>0</v>
      </c>
    </row>
    <row r="125" spans="1:9">
      <c r="A125" s="17" t="str">
        <f>HLOOKUP(INDICE!$F$2,Nombres!$C$3:$D$636,38,FALSE)</f>
        <v>Operating expenses</v>
      </c>
      <c r="B125" s="77">
        <v>-570939.29651280574</v>
      </c>
      <c r="C125" s="77">
        <v>-581137.34666237375</v>
      </c>
      <c r="D125" s="77">
        <v>-621270.96205181954</v>
      </c>
      <c r="E125" s="78">
        <v>-635450.44730367337</v>
      </c>
      <c r="F125" s="77">
        <v>-625023.8812719268</v>
      </c>
      <c r="G125" s="77">
        <v>0</v>
      </c>
      <c r="H125" s="77">
        <v>0</v>
      </c>
      <c r="I125" s="77">
        <v>0</v>
      </c>
    </row>
    <row r="126" spans="1:9">
      <c r="A126" s="17" t="str">
        <f>HLOOKUP(INDICE!$F$2,Nombres!$C$3:$D$636,39,FALSE)</f>
        <v xml:space="preserve">  Administration expenses</v>
      </c>
      <c r="B126" s="77">
        <v>-528090.82543306239</v>
      </c>
      <c r="C126" s="77">
        <v>-538438.68736380513</v>
      </c>
      <c r="D126" s="77">
        <v>-577055.83082239237</v>
      </c>
      <c r="E126" s="78">
        <v>-591776.41010105389</v>
      </c>
      <c r="F126" s="77">
        <v>-578109.06572891213</v>
      </c>
      <c r="G126" s="77">
        <v>0</v>
      </c>
      <c r="H126" s="77">
        <v>0</v>
      </c>
      <c r="I126" s="77">
        <v>0</v>
      </c>
    </row>
    <row r="127" spans="1:9">
      <c r="A127" s="79" t="str">
        <f>HLOOKUP(INDICE!$F$2,Nombres!$C$3:$D$636,40,FALSE)</f>
        <v xml:space="preserve">  Personnel expenses</v>
      </c>
      <c r="B127" s="77">
        <v>-221970.43047918958</v>
      </c>
      <c r="C127" s="77">
        <v>-241464.5117605605</v>
      </c>
      <c r="D127" s="77">
        <v>-277919.20660386642</v>
      </c>
      <c r="E127" s="78">
        <v>-290794.29725430772</v>
      </c>
      <c r="F127" s="77">
        <v>-253599.56031149352</v>
      </c>
      <c r="G127" s="77">
        <v>0</v>
      </c>
      <c r="H127" s="77">
        <v>0</v>
      </c>
      <c r="I127" s="77">
        <v>0</v>
      </c>
    </row>
    <row r="128" spans="1:9">
      <c r="A128" s="79" t="str">
        <f>HLOOKUP(INDICE!$F$2,Nombres!$C$3:$D$636,41,FALSE)</f>
        <v xml:space="preserve">  General and administrative expenses</v>
      </c>
      <c r="B128" s="77">
        <v>-306120.39495387278</v>
      </c>
      <c r="C128" s="77">
        <v>-296974.17560324463</v>
      </c>
      <c r="D128" s="77">
        <v>-299136.62421852601</v>
      </c>
      <c r="E128" s="78">
        <v>-300982.11284674611</v>
      </c>
      <c r="F128" s="77">
        <v>-324509.50541741849</v>
      </c>
      <c r="G128" s="77">
        <v>0</v>
      </c>
      <c r="H128" s="77">
        <v>0</v>
      </c>
      <c r="I128" s="77">
        <v>0</v>
      </c>
    </row>
    <row r="129" spans="1:9">
      <c r="A129" s="17" t="str">
        <f>HLOOKUP(INDICE!$F$2,Nombres!$C$3:$D$636,42,FALSE)</f>
        <v xml:space="preserve">  Depreciation</v>
      </c>
      <c r="B129" s="77">
        <v>-42848.471079743365</v>
      </c>
      <c r="C129" s="77">
        <v>-42698.659298568666</v>
      </c>
      <c r="D129" s="77">
        <v>-44215.131229427287</v>
      </c>
      <c r="E129" s="78">
        <v>-43674.037202619445</v>
      </c>
      <c r="F129" s="77">
        <v>-46914.815543014658</v>
      </c>
      <c r="G129" s="77">
        <v>0</v>
      </c>
      <c r="H129" s="77">
        <v>0</v>
      </c>
      <c r="I129" s="77">
        <v>0</v>
      </c>
    </row>
    <row r="130" spans="1:9">
      <c r="A130" s="25" t="str">
        <f>HLOOKUP(INDICE!$F$2,Nombres!$C$3:$D$636,43,FALSE)</f>
        <v>Operating income</v>
      </c>
      <c r="B130" s="25">
        <f>+B124+B125</f>
        <v>672184.81568488094</v>
      </c>
      <c r="C130" s="25">
        <f t="shared" ref="C130:I130" si="20">+C124+C125</f>
        <v>725501.25029597618</v>
      </c>
      <c r="D130" s="25">
        <f t="shared" si="20"/>
        <v>754088.09426791244</v>
      </c>
      <c r="E130" s="73">
        <f t="shared" si="20"/>
        <v>637733.28019590571</v>
      </c>
      <c r="F130" s="74">
        <f t="shared" si="20"/>
        <v>942565.18048144935</v>
      </c>
      <c r="G130" s="74">
        <f t="shared" si="20"/>
        <v>0</v>
      </c>
      <c r="H130" s="74">
        <f t="shared" si="20"/>
        <v>0</v>
      </c>
      <c r="I130" s="74">
        <f t="shared" si="20"/>
        <v>0</v>
      </c>
    </row>
    <row r="131" spans="1:9">
      <c r="A131" s="17" t="str">
        <f>HLOOKUP(INDICE!$F$2,Nombres!$C$3:$D$636,44,FALSE)</f>
        <v>Impaiment on financial assets not measured at fair value through profit or loss</v>
      </c>
      <c r="B131" s="77">
        <v>-479484.71312644257</v>
      </c>
      <c r="C131" s="77">
        <v>-451494.44218450313</v>
      </c>
      <c r="D131" s="77">
        <v>-373164.59517190512</v>
      </c>
      <c r="E131" s="78">
        <v>-418638.51549202029</v>
      </c>
      <c r="F131" s="77">
        <v>-392665.54235495086</v>
      </c>
      <c r="G131" s="77">
        <v>0</v>
      </c>
      <c r="H131" s="77">
        <v>0</v>
      </c>
      <c r="I131" s="77">
        <v>0</v>
      </c>
    </row>
    <row r="132" spans="1:9">
      <c r="A132" s="17" t="str">
        <f>HLOOKUP(INDICE!$F$2,Nombres!$C$3:$D$636,45,FALSE)</f>
        <v>Provisions or reversal of provisions and other results</v>
      </c>
      <c r="B132" s="77">
        <v>-1296.8345169286108</v>
      </c>
      <c r="C132" s="77">
        <v>-6738.2575552743983</v>
      </c>
      <c r="D132" s="77">
        <v>-27216.904327835222</v>
      </c>
      <c r="E132" s="78">
        <v>37544.347955347301</v>
      </c>
      <c r="F132" s="77">
        <v>-14703.868882499473</v>
      </c>
      <c r="G132" s="77">
        <v>0</v>
      </c>
      <c r="H132" s="77">
        <v>0</v>
      </c>
      <c r="I132" s="77">
        <v>0</v>
      </c>
    </row>
    <row r="133" spans="1:9">
      <c r="A133" s="25" t="str">
        <f>HLOOKUP(INDICE!$F$2,Nombres!$C$3:$D$636,46,FALSE)</f>
        <v>Profit/(loss) before tax</v>
      </c>
      <c r="B133" s="25">
        <f>+B130+B131+B132</f>
        <v>191403.26804150976</v>
      </c>
      <c r="C133" s="25">
        <f t="shared" ref="C133:I133" si="21">+C130+C131+C132</f>
        <v>267268.55055619864</v>
      </c>
      <c r="D133" s="25">
        <f t="shared" si="21"/>
        <v>353706.59476817207</v>
      </c>
      <c r="E133" s="73">
        <f t="shared" si="21"/>
        <v>256639.11265923272</v>
      </c>
      <c r="F133" s="74">
        <f t="shared" si="21"/>
        <v>535195.76924399904</v>
      </c>
      <c r="G133" s="74">
        <f t="shared" si="21"/>
        <v>0</v>
      </c>
      <c r="H133" s="74">
        <f t="shared" si="21"/>
        <v>0</v>
      </c>
      <c r="I133" s="74">
        <f t="shared" si="21"/>
        <v>0</v>
      </c>
    </row>
    <row r="134" spans="1:9">
      <c r="A134" s="17" t="str">
        <f>HLOOKUP(INDICE!$F$2,Nombres!$C$3:$D$636,47,FALSE)</f>
        <v>Income tax</v>
      </c>
      <c r="B134" s="77">
        <v>-44564.896095942328</v>
      </c>
      <c r="C134" s="77">
        <v>-74973.779351187302</v>
      </c>
      <c r="D134" s="77">
        <v>-122916.66923620406</v>
      </c>
      <c r="E134" s="78">
        <v>-160544.47770041783</v>
      </c>
      <c r="F134" s="77">
        <v>-189060.3495613173</v>
      </c>
      <c r="G134" s="77">
        <v>0</v>
      </c>
      <c r="H134" s="77">
        <v>0</v>
      </c>
      <c r="I134" s="77">
        <v>0</v>
      </c>
    </row>
    <row r="135" spans="1:9">
      <c r="A135" s="25" t="str">
        <f>HLOOKUP(INDICE!$F$2,Nombres!$C$3:$D$636,48,FALSE)</f>
        <v>Profit/(loss) for the year</v>
      </c>
      <c r="B135" s="25">
        <f>+B133+B134</f>
        <v>146838.37194556743</v>
      </c>
      <c r="C135" s="25">
        <f t="shared" ref="C135:I135" si="22">+C133+C134</f>
        <v>192294.77120501135</v>
      </c>
      <c r="D135" s="25">
        <f t="shared" si="22"/>
        <v>230789.92553196801</v>
      </c>
      <c r="E135" s="73">
        <f t="shared" si="22"/>
        <v>96094.634958814888</v>
      </c>
      <c r="F135" s="74">
        <f t="shared" si="22"/>
        <v>346135.41968268174</v>
      </c>
      <c r="G135" s="74">
        <f t="shared" si="22"/>
        <v>0</v>
      </c>
      <c r="H135" s="74">
        <f t="shared" si="22"/>
        <v>0</v>
      </c>
      <c r="I135" s="74">
        <f t="shared" si="22"/>
        <v>0</v>
      </c>
    </row>
    <row r="136" spans="1:9">
      <c r="A136" s="17" t="str">
        <f>HLOOKUP(INDICE!$F$2,Nombres!$C$3:$D$636,49,FALSE)</f>
        <v>Non-controlling interests</v>
      </c>
      <c r="B136" s="77">
        <v>-1668.7276631281943</v>
      </c>
      <c r="C136" s="77">
        <v>-2775.600201649278</v>
      </c>
      <c r="D136" s="77">
        <v>-4463.1689661913715</v>
      </c>
      <c r="E136" s="78">
        <v>-5646.5350779699947</v>
      </c>
      <c r="F136" s="77">
        <v>-7869.7301716770817</v>
      </c>
      <c r="G136" s="77">
        <v>0</v>
      </c>
      <c r="H136" s="77">
        <v>0</v>
      </c>
      <c r="I136" s="77">
        <v>0</v>
      </c>
    </row>
    <row r="137" spans="1:9">
      <c r="A137" s="19" t="str">
        <f>HLOOKUP(INDICE!$F$2,Nombres!$C$3:$D$636,50,FALSE)</f>
        <v>Net attributable profit</v>
      </c>
      <c r="B137" s="19">
        <f>+B135+B136</f>
        <v>145169.64428243923</v>
      </c>
      <c r="C137" s="19">
        <f t="shared" ref="C137:I137" si="23">+C135+C136</f>
        <v>189519.17100336208</v>
      </c>
      <c r="D137" s="19">
        <f t="shared" si="23"/>
        <v>226326.75656577662</v>
      </c>
      <c r="E137" s="19">
        <f t="shared" si="23"/>
        <v>90448.099880844893</v>
      </c>
      <c r="F137" s="96">
        <f t="shared" si="23"/>
        <v>338265.68951100466</v>
      </c>
      <c r="G137" s="96">
        <f t="shared" si="23"/>
        <v>0</v>
      </c>
      <c r="H137" s="96">
        <f t="shared" si="23"/>
        <v>0</v>
      </c>
      <c r="I137" s="96">
        <f t="shared" si="23"/>
        <v>0</v>
      </c>
    </row>
    <row r="138" spans="1:9">
      <c r="A138" s="93"/>
      <c r="B138" s="101">
        <v>0</v>
      </c>
      <c r="C138" s="101">
        <v>0</v>
      </c>
      <c r="D138" s="101">
        <v>0</v>
      </c>
      <c r="E138" s="101">
        <v>-2.6193447411060333E-10</v>
      </c>
      <c r="F138" s="101">
        <v>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 sheets</v>
      </c>
      <c r="B140" s="66"/>
      <c r="C140" s="66"/>
      <c r="D140" s="66"/>
      <c r="E140" s="66"/>
      <c r="F140" s="106"/>
      <c r="G140" s="106"/>
      <c r="H140" s="106"/>
      <c r="I140" s="106"/>
    </row>
    <row r="141" spans="1:9">
      <c r="A141" s="67" t="str">
        <f>HLOOKUP(INDICE!$F$2,Nombres!$C$3:$D$636,75,FALSE)</f>
        <v>(Million Colombian pesos)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Cash, cash balances at central banks and other demand deposits</v>
      </c>
      <c r="B143" s="77">
        <v>5956332.2129856395</v>
      </c>
      <c r="C143" s="77">
        <v>5904659.0101711722</v>
      </c>
      <c r="D143" s="77">
        <v>7651027.5155110471</v>
      </c>
      <c r="E143" s="78">
        <v>7499063.669915203</v>
      </c>
      <c r="F143" s="77">
        <v>7480348.2997389529</v>
      </c>
      <c r="G143" s="77">
        <v>0</v>
      </c>
      <c r="H143" s="77">
        <v>0</v>
      </c>
      <c r="I143" s="77">
        <v>0</v>
      </c>
    </row>
    <row r="144" spans="1:9">
      <c r="A144" s="17" t="str">
        <f>HLOOKUP(INDICE!$F$2,Nombres!$C$3:$D$636,53,FALSE)</f>
        <v xml:space="preserve">Financial assets designated at fair value </v>
      </c>
      <c r="B144" s="86">
        <v>16541799.295980178</v>
      </c>
      <c r="C144" s="86">
        <v>17415258.417404156</v>
      </c>
      <c r="D144" s="86">
        <v>17581387.401768275</v>
      </c>
      <c r="E144" s="97">
        <v>17076488.764833618</v>
      </c>
      <c r="F144" s="77">
        <v>18382716.519699156</v>
      </c>
      <c r="G144" s="77">
        <v>0</v>
      </c>
      <c r="H144" s="77">
        <v>0</v>
      </c>
      <c r="I144" s="77">
        <v>0</v>
      </c>
    </row>
    <row r="145" spans="1:9">
      <c r="A145" s="17" t="str">
        <f>HLOOKUP(INDICE!$F$2,Nombres!$C$3:$D$636,54,FALSE)</f>
        <v>Financial assets at amortized cost</v>
      </c>
      <c r="B145" s="77">
        <v>79107257.921386644</v>
      </c>
      <c r="C145" s="77">
        <v>79347980.00678125</v>
      </c>
      <c r="D145" s="77">
        <v>80062131.246768743</v>
      </c>
      <c r="E145" s="78">
        <v>81932065.257218421</v>
      </c>
      <c r="F145" s="77">
        <v>83851073.286625504</v>
      </c>
      <c r="G145" s="77">
        <v>0</v>
      </c>
      <c r="H145" s="77">
        <v>0</v>
      </c>
      <c r="I145" s="77">
        <v>0</v>
      </c>
    </row>
    <row r="146" spans="1:9">
      <c r="A146" s="17" t="str">
        <f>HLOOKUP(INDICE!$F$2,Nombres!$C$3:$D$636,55,FALSE)</f>
        <v xml:space="preserve">    of which loans and advances to customers</v>
      </c>
      <c r="B146" s="77">
        <v>73624996.659943461</v>
      </c>
      <c r="C146" s="77">
        <v>74952382.04758805</v>
      </c>
      <c r="D146" s="77">
        <v>76258045.089474559</v>
      </c>
      <c r="E146" s="78">
        <v>76981677.949422121</v>
      </c>
      <c r="F146" s="77">
        <v>78443506.312537581</v>
      </c>
      <c r="G146" s="77">
        <v>0</v>
      </c>
      <c r="H146" s="77">
        <v>0</v>
      </c>
      <c r="I146" s="77">
        <v>0</v>
      </c>
    </row>
    <row r="147" spans="1:9" hidden="1">
      <c r="A147" s="17"/>
      <c r="B147" s="77"/>
      <c r="C147" s="77"/>
      <c r="D147" s="77"/>
      <c r="E147" s="78"/>
      <c r="F147" s="77"/>
      <c r="G147" s="77"/>
      <c r="H147" s="77"/>
      <c r="I147" s="77"/>
    </row>
    <row r="148" spans="1:9">
      <c r="A148" s="17" t="str">
        <f>HLOOKUP(INDICE!$F$2,Nombres!$C$3:$D$636,56,FALSE)</f>
        <v>Tangible assets</v>
      </c>
      <c r="B148" s="77">
        <v>448724.41324203444</v>
      </c>
      <c r="C148" s="77">
        <v>430322.88544446655</v>
      </c>
      <c r="D148" s="77">
        <v>420316.26194694615</v>
      </c>
      <c r="E148" s="78">
        <v>428694.38062449172</v>
      </c>
      <c r="F148" s="77">
        <v>408452.01816295774</v>
      </c>
      <c r="G148" s="77">
        <v>0</v>
      </c>
      <c r="H148" s="77">
        <v>0</v>
      </c>
      <c r="I148" s="77">
        <v>0</v>
      </c>
    </row>
    <row r="149" spans="1:9">
      <c r="A149" s="17" t="str">
        <f>HLOOKUP(INDICE!$F$2,Nombres!$C$3:$D$636,57,FALSE)</f>
        <v>Other assets</v>
      </c>
      <c r="B149" s="86">
        <f>+B150-B148-B145-B144-B143</f>
        <v>4686030.523045483</v>
      </c>
      <c r="C149" s="86">
        <f t="shared" ref="C149:I149" si="25">+C150-C148-C145-C144-C143</f>
        <v>4734276.7271888917</v>
      </c>
      <c r="D149" s="86">
        <f t="shared" si="25"/>
        <v>4803401.1016169302</v>
      </c>
      <c r="E149" s="97">
        <f t="shared" si="25"/>
        <v>5166529.0204034224</v>
      </c>
      <c r="F149" s="77">
        <f t="shared" si="25"/>
        <v>4223724.525068095</v>
      </c>
      <c r="G149" s="77">
        <f t="shared" si="25"/>
        <v>0</v>
      </c>
      <c r="H149" s="77">
        <f t="shared" si="25"/>
        <v>0</v>
      </c>
      <c r="I149" s="77">
        <f t="shared" si="25"/>
        <v>0</v>
      </c>
    </row>
    <row r="150" spans="1:9">
      <c r="A150" s="19" t="str">
        <f>HLOOKUP(INDICE!$F$2,Nombres!$C$3:$D$636,58,FALSE)</f>
        <v>Total assets / Liabilities and equity</v>
      </c>
      <c r="B150" s="19">
        <v>106740144.36663997</v>
      </c>
      <c r="C150" s="19">
        <v>107832497.04698993</v>
      </c>
      <c r="D150" s="19">
        <v>110518263.52761194</v>
      </c>
      <c r="E150" s="19">
        <v>112102841.09299515</v>
      </c>
      <c r="F150" s="96">
        <v>114346314.64929466</v>
      </c>
      <c r="G150" s="96">
        <v>0</v>
      </c>
      <c r="H150" s="96">
        <v>0</v>
      </c>
      <c r="I150" s="96">
        <v>0</v>
      </c>
    </row>
    <row r="151" spans="1:9">
      <c r="A151" s="17" t="str">
        <f>HLOOKUP(INDICE!$F$2,Nombres!$C$3:$D$636,59,FALSE)</f>
        <v>Financial liabilities held for trading and designated at fair value through profit or loss</v>
      </c>
      <c r="B151" s="86">
        <v>5428203.7606128352</v>
      </c>
      <c r="C151" s="86">
        <v>6804716.4258229472</v>
      </c>
      <c r="D151" s="86">
        <v>10218533.171366083</v>
      </c>
      <c r="E151" s="97">
        <v>9639220.2317224909</v>
      </c>
      <c r="F151" s="77">
        <v>9799848.214983318</v>
      </c>
      <c r="G151" s="77">
        <v>0</v>
      </c>
      <c r="H151" s="77">
        <v>0</v>
      </c>
      <c r="I151" s="77">
        <v>0</v>
      </c>
    </row>
    <row r="152" spans="1:9">
      <c r="A152" s="17" t="str">
        <f>HLOOKUP(INDICE!$F$2,Nombres!$C$3:$D$636,60,FALSE)</f>
        <v>Deposits from central banks and credit institutions</v>
      </c>
      <c r="B152" s="86">
        <v>3306485.394395798</v>
      </c>
      <c r="C152" s="86">
        <v>3093754.4934563637</v>
      </c>
      <c r="D152" s="86">
        <v>3009831.2424665857</v>
      </c>
      <c r="E152" s="97">
        <v>2750461.8964379197</v>
      </c>
      <c r="F152" s="77">
        <v>3178744.6226926385</v>
      </c>
      <c r="G152" s="77">
        <v>0</v>
      </c>
      <c r="H152" s="77">
        <v>0</v>
      </c>
      <c r="I152" s="77">
        <v>0</v>
      </c>
    </row>
    <row r="153" spans="1:9">
      <c r="A153" s="17" t="str">
        <f>HLOOKUP(INDICE!$F$2,Nombres!$C$3:$D$636,61,FALSE)</f>
        <v>Deposits from customers</v>
      </c>
      <c r="B153" s="86">
        <v>78744829.629123703</v>
      </c>
      <c r="C153" s="86">
        <v>80228181.355979934</v>
      </c>
      <c r="D153" s="86">
        <v>79220207.020460993</v>
      </c>
      <c r="E153" s="97">
        <v>82173118.382586792</v>
      </c>
      <c r="F153" s="77">
        <v>84630607.482001603</v>
      </c>
      <c r="G153" s="77">
        <v>0</v>
      </c>
      <c r="H153" s="77">
        <v>0</v>
      </c>
      <c r="I153" s="77">
        <v>0</v>
      </c>
    </row>
    <row r="154" spans="1:9">
      <c r="A154" s="17" t="str">
        <f>HLOOKUP(INDICE!$F$2,Nombres!$C$3:$D$636,62,FALSE)</f>
        <v>Debt certificates</v>
      </c>
      <c r="B154" s="77">
        <v>6316423.1608469067</v>
      </c>
      <c r="C154" s="77">
        <v>4595032.7293720162</v>
      </c>
      <c r="D154" s="77">
        <v>4809741.8718793932</v>
      </c>
      <c r="E154" s="78">
        <v>4852718.0888363058</v>
      </c>
      <c r="F154" s="77">
        <v>4773399.9294995572</v>
      </c>
      <c r="G154" s="77">
        <v>0</v>
      </c>
      <c r="H154" s="77">
        <v>0</v>
      </c>
      <c r="I154" s="77">
        <v>0</v>
      </c>
    </row>
    <row r="155" spans="1:9" hidden="1">
      <c r="A155" s="17"/>
      <c r="B155" s="77"/>
      <c r="C155" s="77"/>
      <c r="D155" s="77"/>
      <c r="E155" s="78"/>
      <c r="F155" s="77"/>
      <c r="G155" s="77"/>
      <c r="H155" s="77"/>
      <c r="I155" s="77"/>
    </row>
    <row r="156" spans="1:9">
      <c r="A156" s="17" t="str">
        <f>HLOOKUP(INDICE!$F$2,Nombres!$C$3:$D$636,63,FALSE)</f>
        <v>Other liabilities</v>
      </c>
      <c r="B156" s="86">
        <f>+B150-B151-B152-B153-B154-B157</f>
        <v>1842537.7279140409</v>
      </c>
      <c r="C156" s="86">
        <f t="shared" ref="C156:I156" si="26">+C150-C151-C152-C153-C154-C157</f>
        <v>2227641.682963619</v>
      </c>
      <c r="D156" s="86">
        <f t="shared" si="26"/>
        <v>2897372.8990269192</v>
      </c>
      <c r="E156" s="97">
        <f t="shared" si="26"/>
        <v>1839401.9776847083</v>
      </c>
      <c r="F156" s="77">
        <f t="shared" si="26"/>
        <v>1460682.3589367326</v>
      </c>
      <c r="G156" s="77">
        <f t="shared" si="26"/>
        <v>0</v>
      </c>
      <c r="H156" s="77">
        <f t="shared" si="26"/>
        <v>0</v>
      </c>
      <c r="I156" s="77">
        <f t="shared" si="26"/>
        <v>0</v>
      </c>
    </row>
    <row r="157" spans="1:9">
      <c r="A157" s="17" t="str">
        <f>HLOOKUP(INDICE!$F$2,Nombres!$C$3:$D$636,282,FALSE)</f>
        <v>Allocated regulatory capital</v>
      </c>
      <c r="B157" s="86">
        <v>11101664.693746692</v>
      </c>
      <c r="C157" s="86">
        <v>10883170.359395055</v>
      </c>
      <c r="D157" s="86">
        <v>10362577.322411971</v>
      </c>
      <c r="E157" s="86">
        <v>10847920.515726944</v>
      </c>
      <c r="F157" s="86">
        <v>10503032.041180808</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Relevant business indicators</v>
      </c>
      <c r="B160" s="66"/>
      <c r="C160" s="66"/>
      <c r="D160" s="66"/>
      <c r="E160" s="66"/>
      <c r="F160" s="106"/>
      <c r="G160" s="106"/>
      <c r="H160" s="106"/>
      <c r="I160" s="106"/>
    </row>
    <row r="161" spans="1:15">
      <c r="A161" s="67" t="str">
        <f>HLOOKUP(INDICE!$F$2,Nombres!$C$3:$D$636,75,FALSE)</f>
        <v>(Million Colombian pesos)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Loans and advances to customers (gross) (*)</v>
      </c>
      <c r="B163" s="77">
        <v>77111492.35307011</v>
      </c>
      <c r="C163" s="77">
        <v>78327240.824713722</v>
      </c>
      <c r="D163" s="77">
        <v>79486352.659126207</v>
      </c>
      <c r="E163" s="78">
        <v>80078621.707989708</v>
      </c>
      <c r="F163" s="77">
        <v>81359818.107784197</v>
      </c>
      <c r="G163" s="77">
        <v>0</v>
      </c>
      <c r="H163" s="77">
        <v>0</v>
      </c>
      <c r="I163" s="77">
        <v>0</v>
      </c>
    </row>
    <row r="164" spans="1:15" ht="15.75" customHeight="1">
      <c r="A164" s="17" t="str">
        <f>HLOOKUP(INDICE!$F$2,Nombres!$C$3:$D$636,67,FALSE)</f>
        <v>Customer deposits under management (*)</v>
      </c>
      <c r="B164" s="77">
        <v>78744829.629123703</v>
      </c>
      <c r="C164" s="77">
        <v>80228181.355979934</v>
      </c>
      <c r="D164" s="77">
        <v>79220207.020460993</v>
      </c>
      <c r="E164" s="78">
        <v>82173118.382586792</v>
      </c>
      <c r="F164" s="77">
        <v>84630607.482001618</v>
      </c>
      <c r="G164" s="77">
        <v>0</v>
      </c>
      <c r="H164" s="77">
        <v>0</v>
      </c>
      <c r="I164" s="77">
        <v>0</v>
      </c>
    </row>
    <row r="165" spans="1:15" ht="15.75" customHeight="1">
      <c r="A165" s="17" t="str">
        <f>HLOOKUP(INDICE!$F$2,Nombres!$C$3:$D$636,68,FALSE)</f>
        <v>Investment funds and managed portfolios</v>
      </c>
      <c r="B165" s="77">
        <v>11971291.913529817</v>
      </c>
      <c r="C165" s="77">
        <v>11858754.879496856</v>
      </c>
      <c r="D165" s="77">
        <v>12927992.9032727</v>
      </c>
      <c r="E165" s="78">
        <v>13178729.091850176</v>
      </c>
      <c r="F165" s="77">
        <v>13969535.294165395</v>
      </c>
      <c r="G165" s="77">
        <v>0</v>
      </c>
      <c r="H165" s="77">
        <v>0</v>
      </c>
      <c r="I165" s="77">
        <v>0</v>
      </c>
    </row>
    <row r="166" spans="1:15" ht="15.75" customHeight="1">
      <c r="A166" s="17" t="str">
        <f>HLOOKUP(INDICE!$F$2,Nombres!$C$3:$D$636,69,FALSE)</f>
        <v>Pension funds</v>
      </c>
      <c r="B166" s="77">
        <v>0</v>
      </c>
      <c r="C166" s="77">
        <v>0</v>
      </c>
      <c r="D166" s="77">
        <v>0</v>
      </c>
      <c r="E166" s="78">
        <v>0</v>
      </c>
      <c r="F166" s="77">
        <v>0</v>
      </c>
      <c r="G166" s="77">
        <v>0</v>
      </c>
      <c r="H166" s="77">
        <v>0</v>
      </c>
      <c r="I166" s="77">
        <v>0</v>
      </c>
    </row>
    <row r="167" spans="1:15">
      <c r="A167" s="17" t="str">
        <f>HLOOKUP(INDICE!$F$2,Nombres!$C$3:$D$636,70,FALSE)</f>
        <v>Other off balance-sheet funds</v>
      </c>
      <c r="B167" s="77">
        <v>0</v>
      </c>
      <c r="C167" s="77">
        <v>0</v>
      </c>
      <c r="D167" s="77">
        <v>0</v>
      </c>
      <c r="E167" s="78">
        <v>0</v>
      </c>
      <c r="F167" s="77">
        <v>0</v>
      </c>
      <c r="G167" s="77">
        <v>0</v>
      </c>
      <c r="H167" s="77">
        <v>0</v>
      </c>
      <c r="I167" s="77">
        <v>0</v>
      </c>
    </row>
    <row r="168" spans="1:15">
      <c r="A168" s="93" t="str">
        <f>HLOOKUP(INDICE!$F$2,Nombres!$C$3:$D$636,71,FALSE)</f>
        <v xml:space="preserve">(*) Excluding repos. </v>
      </c>
      <c r="B168" s="86"/>
      <c r="C168" s="86"/>
      <c r="D168" s="86"/>
      <c r="E168" s="86"/>
      <c r="F168" s="77"/>
      <c r="G168" s="77"/>
      <c r="H168" s="77"/>
      <c r="I168" s="77"/>
    </row>
    <row r="169" spans="1:15">
      <c r="A169" s="93">
        <f>HLOOKUP(INDICE!$F$2,Nombres!$C$3:$D$636,72,FALSE)</f>
        <v>0</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26:I26">
    <cfRule type="cellIs" dxfId="26" priority="3" operator="notBetween">
      <formula>0.5</formula>
      <formula>-0.5</formula>
    </cfRule>
  </conditionalFormatting>
  <conditionalFormatting sqref="B82:I82">
    <cfRule type="cellIs" dxfId="25" priority="2" operator="notBetween">
      <formula>0.5</formula>
      <formula>-0.5</formula>
    </cfRule>
  </conditionalFormatting>
  <conditionalFormatting sqref="B138:I138">
    <cfRule type="cellIs" dxfId="24" priority="1" operator="notBetween">
      <formula>0.5</formula>
      <formula>-0.5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O180"/>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15" ht="17">
      <c r="A1" s="118" t="str">
        <f>HLOOKUP(INDICE!$F$2,Nombres!$C$3:$D$636,17,FALSE)</f>
        <v>Peru</v>
      </c>
      <c r="B1" s="62"/>
      <c r="C1" s="62"/>
      <c r="D1" s="62"/>
      <c r="E1" s="62"/>
      <c r="F1" s="62"/>
      <c r="G1" s="62"/>
      <c r="H1" s="62"/>
      <c r="I1" s="62"/>
    </row>
    <row r="2" spans="1:15" ht="19.5">
      <c r="A2" s="64"/>
      <c r="B2" s="62"/>
      <c r="C2" s="62"/>
      <c r="D2" s="62"/>
      <c r="E2" s="62"/>
      <c r="F2" s="62"/>
      <c r="G2" s="62"/>
      <c r="H2" s="62"/>
      <c r="I2" s="62"/>
    </row>
    <row r="3" spans="1:15" ht="17">
      <c r="A3" s="119" t="str">
        <f>HLOOKUP(INDICE!$F$2,Nombres!$C$3:$D$636,31,FALSE)</f>
        <v xml:space="preserve">Income statement  </v>
      </c>
      <c r="B3" s="66"/>
      <c r="C3" s="66"/>
      <c r="D3" s="66"/>
      <c r="E3" s="66"/>
      <c r="F3" s="66"/>
      <c r="G3" s="66"/>
      <c r="H3" s="66"/>
      <c r="I3" s="66"/>
    </row>
    <row r="4" spans="1:15">
      <c r="A4" s="120" t="str">
        <f>HLOOKUP(INDICE!$F$2,Nombres!$C$3:$D$636,32,FALSE)</f>
        <v>(Million euros)</v>
      </c>
      <c r="B4" s="62"/>
      <c r="C4" s="68"/>
      <c r="D4" s="68"/>
      <c r="E4" s="68"/>
      <c r="F4" s="62"/>
      <c r="G4" s="62"/>
      <c r="H4" s="62"/>
      <c r="I4" s="62"/>
    </row>
    <row r="5" spans="1:15">
      <c r="A5" s="69"/>
      <c r="B5" s="62"/>
      <c r="C5" s="68"/>
      <c r="D5" s="68"/>
      <c r="E5" s="68"/>
      <c r="F5" s="62"/>
      <c r="G5" s="62"/>
      <c r="H5" s="62"/>
      <c r="I5" s="62"/>
    </row>
    <row r="6" spans="1:15">
      <c r="A6" s="70"/>
      <c r="B6" s="301">
        <f>+España!B6</f>
        <v>2025</v>
      </c>
      <c r="C6" s="301"/>
      <c r="D6" s="301"/>
      <c r="E6" s="302"/>
      <c r="F6" s="301">
        <f>+España!F6</f>
        <v>2026</v>
      </c>
      <c r="G6" s="301"/>
      <c r="H6" s="301"/>
      <c r="I6" s="301"/>
    </row>
    <row r="7" spans="1:15">
      <c r="A7" s="70"/>
      <c r="B7" s="121" t="str">
        <f>+España!B7</f>
        <v>1Q</v>
      </c>
      <c r="C7" s="121" t="str">
        <f>+España!C7</f>
        <v>2Q</v>
      </c>
      <c r="D7" s="121" t="str">
        <f>+España!D7</f>
        <v>3Q</v>
      </c>
      <c r="E7" s="122" t="str">
        <f>+España!E7</f>
        <v>4Q</v>
      </c>
      <c r="F7" s="121" t="str">
        <f>+España!F7</f>
        <v>1Q</v>
      </c>
      <c r="G7" s="121" t="str">
        <f>+España!G7</f>
        <v>2Q</v>
      </c>
      <c r="H7" s="121" t="str">
        <f>+España!H7</f>
        <v>3Q</v>
      </c>
      <c r="I7" s="121" t="str">
        <f>+España!I7</f>
        <v>4Q</v>
      </c>
    </row>
    <row r="8" spans="1:15">
      <c r="A8" s="25" t="str">
        <f>HLOOKUP(INDICE!$F$2,Nombres!$C$3:$D$636,33,FALSE)</f>
        <v>Net interest income</v>
      </c>
      <c r="B8" s="25">
        <v>371.65900020116123</v>
      </c>
      <c r="C8" s="25">
        <v>350.57999999901784</v>
      </c>
      <c r="D8" s="25">
        <v>371.13400020132815</v>
      </c>
      <c r="E8" s="73">
        <v>395.64200029906942</v>
      </c>
      <c r="F8" s="74">
        <v>407.40800000000013</v>
      </c>
      <c r="G8" s="74">
        <v>0</v>
      </c>
      <c r="H8" s="123">
        <v>0</v>
      </c>
      <c r="I8" s="123">
        <v>0</v>
      </c>
      <c r="J8" s="124"/>
      <c r="K8" s="124"/>
      <c r="L8" s="124"/>
      <c r="M8" s="124"/>
      <c r="N8" s="124"/>
      <c r="O8" s="124"/>
    </row>
    <row r="9" spans="1:15">
      <c r="A9" s="125" t="str">
        <f>HLOOKUP(INDICE!$F$2,Nombres!$C$3:$D$636,34,FALSE)</f>
        <v>Net fees and commissions</v>
      </c>
      <c r="B9" s="77">
        <v>82.240589888472329</v>
      </c>
      <c r="C9" s="77">
        <v>72.225289989801368</v>
      </c>
      <c r="D9" s="77">
        <v>92.808408504225</v>
      </c>
      <c r="E9" s="78">
        <v>86.358960364953006</v>
      </c>
      <c r="F9" s="77">
        <v>85.288153057999992</v>
      </c>
      <c r="G9" s="77">
        <v>0</v>
      </c>
      <c r="H9" s="77">
        <v>0</v>
      </c>
      <c r="I9" s="77">
        <v>0</v>
      </c>
    </row>
    <row r="10" spans="1:15">
      <c r="A10" s="125" t="str">
        <f>HLOOKUP(INDICE!$F$2,Nombres!$C$3:$D$636,35,FALSE)</f>
        <v>Net trading income</v>
      </c>
      <c r="B10" s="77">
        <v>52.011169882170009</v>
      </c>
      <c r="C10" s="77">
        <v>53.704547082826018</v>
      </c>
      <c r="D10" s="77">
        <v>54.737821936113001</v>
      </c>
      <c r="E10" s="78">
        <v>46.082158705573647</v>
      </c>
      <c r="F10" s="77">
        <v>55.465794111999998</v>
      </c>
      <c r="G10" s="77">
        <v>0</v>
      </c>
      <c r="H10" s="77">
        <v>0</v>
      </c>
      <c r="I10" s="77">
        <v>0</v>
      </c>
    </row>
    <row r="11" spans="1:15">
      <c r="A11" s="125" t="str">
        <f>HLOOKUP(INDICE!$F$2,Nombres!$C$3:$D$636,36,FALSE)</f>
        <v>Other operating income and expenses</v>
      </c>
      <c r="B11" s="77">
        <v>-8.1829999995248688</v>
      </c>
      <c r="C11" s="77">
        <v>-5.691999999941574</v>
      </c>
      <c r="D11" s="77">
        <v>-16.259000001198743</v>
      </c>
      <c r="E11" s="78">
        <v>-11.97799999959347</v>
      </c>
      <c r="F11" s="77">
        <v>-10.157000000000004</v>
      </c>
      <c r="G11" s="77">
        <v>0</v>
      </c>
      <c r="H11" s="77">
        <v>0</v>
      </c>
      <c r="I11" s="77">
        <v>0</v>
      </c>
    </row>
    <row r="12" spans="1:15">
      <c r="A12" s="25" t="str">
        <f>HLOOKUP(INDICE!$F$2,Nombres!$C$3:$D$636,37,FALSE)</f>
        <v>Gross income</v>
      </c>
      <c r="B12" s="25">
        <f t="shared" ref="B12:I12" si="0">+SUM(B8:B11)</f>
        <v>497.72775997227865</v>
      </c>
      <c r="C12" s="25">
        <f t="shared" si="0"/>
        <v>470.81783707170365</v>
      </c>
      <c r="D12" s="25">
        <f t="shared" si="0"/>
        <v>502.42123064046746</v>
      </c>
      <c r="E12" s="73">
        <f t="shared" si="0"/>
        <v>516.10511937000251</v>
      </c>
      <c r="F12" s="74">
        <f t="shared" si="0"/>
        <v>538.00494717000004</v>
      </c>
      <c r="G12" s="74">
        <f t="shared" si="0"/>
        <v>0</v>
      </c>
      <c r="H12" s="74">
        <f t="shared" si="0"/>
        <v>0</v>
      </c>
      <c r="I12" s="74">
        <f t="shared" si="0"/>
        <v>0</v>
      </c>
    </row>
    <row r="13" spans="1:15">
      <c r="A13" s="125" t="str">
        <f>HLOOKUP(INDICE!$F$2,Nombres!$C$3:$D$636,38,FALSE)</f>
        <v>Operating expenses</v>
      </c>
      <c r="B13" s="77">
        <v>-191.28384656811664</v>
      </c>
      <c r="C13" s="77">
        <v>-176.50984656852017</v>
      </c>
      <c r="D13" s="77">
        <v>-188.12543706595247</v>
      </c>
      <c r="E13" s="78">
        <v>-216.14695240045</v>
      </c>
      <c r="F13" s="77">
        <v>-208.17833953899998</v>
      </c>
      <c r="G13" s="77">
        <v>0</v>
      </c>
      <c r="H13" s="77">
        <v>0</v>
      </c>
      <c r="I13" s="77">
        <v>0</v>
      </c>
    </row>
    <row r="14" spans="1:15">
      <c r="A14" s="125" t="str">
        <f>HLOOKUP(INDICE!$F$2,Nombres!$C$3:$D$636,39,FALSE)</f>
        <v xml:space="preserve">  Administration expenses</v>
      </c>
      <c r="B14" s="77">
        <v>-167.42984656811663</v>
      </c>
      <c r="C14" s="77">
        <v>-154.88184656852019</v>
      </c>
      <c r="D14" s="77">
        <v>-167.48143706595249</v>
      </c>
      <c r="E14" s="78">
        <v>-193.81095240044999</v>
      </c>
      <c r="F14" s="77">
        <v>-186.08033953899997</v>
      </c>
      <c r="G14" s="77">
        <v>0</v>
      </c>
      <c r="H14" s="77">
        <v>0</v>
      </c>
      <c r="I14" s="77">
        <v>0</v>
      </c>
    </row>
    <row r="15" spans="1:15">
      <c r="A15" s="126" t="str">
        <f>HLOOKUP(INDICE!$F$2,Nombres!$C$3:$D$636,40,FALSE)</f>
        <v xml:space="preserve">  Personnel expenses</v>
      </c>
      <c r="B15" s="77">
        <v>-81.97699999999999</v>
      </c>
      <c r="C15" s="77">
        <v>-77.746000000000038</v>
      </c>
      <c r="D15" s="77">
        <v>-79.921999999999997</v>
      </c>
      <c r="E15" s="78">
        <v>-99.069999999999965</v>
      </c>
      <c r="F15" s="77">
        <v>-86.636999999999972</v>
      </c>
      <c r="G15" s="77">
        <v>0</v>
      </c>
      <c r="H15" s="77">
        <v>0</v>
      </c>
      <c r="I15" s="77">
        <v>0</v>
      </c>
    </row>
    <row r="16" spans="1:15">
      <c r="A16" s="126" t="str">
        <f>HLOOKUP(INDICE!$F$2,Nombres!$C$3:$D$636,41,FALSE)</f>
        <v xml:space="preserve">  General and administrative expenses</v>
      </c>
      <c r="B16" s="77">
        <v>-85.452846568116655</v>
      </c>
      <c r="C16" s="77">
        <v>-77.135846568520165</v>
      </c>
      <c r="D16" s="77">
        <v>-87.559437065952494</v>
      </c>
      <c r="E16" s="78">
        <v>-94.740952400450027</v>
      </c>
      <c r="F16" s="77">
        <v>-99.443339538999993</v>
      </c>
      <c r="G16" s="77">
        <v>0</v>
      </c>
      <c r="H16" s="77">
        <v>0</v>
      </c>
      <c r="I16" s="77">
        <v>0</v>
      </c>
    </row>
    <row r="17" spans="1:9">
      <c r="A17" s="125" t="str">
        <f>HLOOKUP(INDICE!$F$2,Nombres!$C$3:$D$636,42,FALSE)</f>
        <v xml:space="preserve">  Depreciation</v>
      </c>
      <c r="B17" s="77">
        <v>-23.854000000000003</v>
      </c>
      <c r="C17" s="77">
        <v>-21.627999999999993</v>
      </c>
      <c r="D17" s="77">
        <v>-20.643999999999998</v>
      </c>
      <c r="E17" s="78">
        <v>-22.335999999999995</v>
      </c>
      <c r="F17" s="77">
        <v>-22.097999999999999</v>
      </c>
      <c r="G17" s="77">
        <v>0</v>
      </c>
      <c r="H17" s="77">
        <v>0</v>
      </c>
      <c r="I17" s="77">
        <v>0</v>
      </c>
    </row>
    <row r="18" spans="1:9">
      <c r="A18" s="25" t="str">
        <f>HLOOKUP(INDICE!$F$2,Nombres!$C$3:$D$636,43,FALSE)</f>
        <v>Operating income</v>
      </c>
      <c r="B18" s="25">
        <f t="shared" ref="B18:I18" si="1">+B12+B13</f>
        <v>306.443913404162</v>
      </c>
      <c r="C18" s="25">
        <f t="shared" si="1"/>
        <v>294.30799050318348</v>
      </c>
      <c r="D18" s="25">
        <f t="shared" si="1"/>
        <v>314.29579357451496</v>
      </c>
      <c r="E18" s="73">
        <f t="shared" si="1"/>
        <v>299.95816696955251</v>
      </c>
      <c r="F18" s="74">
        <f t="shared" si="1"/>
        <v>329.82660763100006</v>
      </c>
      <c r="G18" s="74">
        <f t="shared" si="1"/>
        <v>0</v>
      </c>
      <c r="H18" s="74">
        <f t="shared" si="1"/>
        <v>0</v>
      </c>
      <c r="I18" s="74">
        <f t="shared" si="1"/>
        <v>0</v>
      </c>
    </row>
    <row r="19" spans="1:9">
      <c r="A19" s="125" t="str">
        <f>HLOOKUP(INDICE!$F$2,Nombres!$C$3:$D$636,44,FALSE)</f>
        <v>Impaiment on financial assets not measured at fair value through profit or loss</v>
      </c>
      <c r="B19" s="77">
        <v>-68.947000096999972</v>
      </c>
      <c r="C19" s="77">
        <v>-78.979000001432027</v>
      </c>
      <c r="D19" s="77">
        <v>-110.39800009880199</v>
      </c>
      <c r="E19" s="78">
        <v>-73.000999800000031</v>
      </c>
      <c r="F19" s="77">
        <v>-77.811999999999998</v>
      </c>
      <c r="G19" s="77">
        <v>0</v>
      </c>
      <c r="H19" s="77">
        <v>0</v>
      </c>
      <c r="I19" s="77">
        <v>0</v>
      </c>
    </row>
    <row r="20" spans="1:9">
      <c r="A20" s="125" t="str">
        <f>HLOOKUP(INDICE!$F$2,Nombres!$C$3:$D$636,45,FALSE)</f>
        <v>Provisions or reversal of provisions and other results</v>
      </c>
      <c r="B20" s="77">
        <v>14.787000000950997</v>
      </c>
      <c r="C20" s="77">
        <v>-9.1580000001074477</v>
      </c>
      <c r="D20" s="77">
        <v>-12.743000000694625</v>
      </c>
      <c r="E20" s="78">
        <v>-16.332000000583548</v>
      </c>
      <c r="F20" s="77">
        <v>-8.7199999999999989</v>
      </c>
      <c r="G20" s="77">
        <v>0</v>
      </c>
      <c r="H20" s="77">
        <v>0</v>
      </c>
      <c r="I20" s="77">
        <v>0</v>
      </c>
    </row>
    <row r="21" spans="1:9">
      <c r="A21" s="127" t="str">
        <f>HLOOKUP(INDICE!$F$2,Nombres!$C$3:$D$636,46,FALSE)</f>
        <v>Profit/(loss) before tax</v>
      </c>
      <c r="B21" s="25">
        <f t="shared" ref="B21:I21" si="2">+B18+B19+B20</f>
        <v>252.28391330811303</v>
      </c>
      <c r="C21" s="25">
        <f t="shared" si="2"/>
        <v>206.17099050164398</v>
      </c>
      <c r="D21" s="25">
        <f t="shared" si="2"/>
        <v>191.15479347501835</v>
      </c>
      <c r="E21" s="73">
        <f t="shared" si="2"/>
        <v>210.62516716896891</v>
      </c>
      <c r="F21" s="74">
        <f t="shared" si="2"/>
        <v>243.29460763100005</v>
      </c>
      <c r="G21" s="74">
        <f t="shared" si="2"/>
        <v>0</v>
      </c>
      <c r="H21" s="74">
        <f t="shared" si="2"/>
        <v>0</v>
      </c>
      <c r="I21" s="74">
        <f t="shared" si="2"/>
        <v>0</v>
      </c>
    </row>
    <row r="22" spans="1:9">
      <c r="A22" s="17" t="str">
        <f>HLOOKUP(INDICE!$F$2,Nombres!$C$3:$D$636,47,FALSE)</f>
        <v>Income tax</v>
      </c>
      <c r="B22" s="77">
        <v>-73.638630071887718</v>
      </c>
      <c r="C22" s="77">
        <v>-57.532164460459803</v>
      </c>
      <c r="D22" s="77">
        <v>-44.362703253404227</v>
      </c>
      <c r="E22" s="78">
        <v>-60.0255808633665</v>
      </c>
      <c r="F22" s="77">
        <v>-68.505951963019996</v>
      </c>
      <c r="G22" s="77">
        <v>0</v>
      </c>
      <c r="H22" s="77">
        <v>0</v>
      </c>
      <c r="I22" s="77">
        <v>0</v>
      </c>
    </row>
    <row r="23" spans="1:9">
      <c r="A23" s="127" t="str">
        <f>HLOOKUP(INDICE!$F$2,Nombres!$C$3:$D$636,48,FALSE)</f>
        <v>Profit/(loss) for the year</v>
      </c>
      <c r="B23" s="25">
        <f t="shared" ref="B23:I23" si="3">+B21+B22</f>
        <v>178.64528323622531</v>
      </c>
      <c r="C23" s="25">
        <f t="shared" si="3"/>
        <v>148.63882604118419</v>
      </c>
      <c r="D23" s="25">
        <f t="shared" si="3"/>
        <v>146.79209022161413</v>
      </c>
      <c r="E23" s="73">
        <f t="shared" si="3"/>
        <v>150.59958630560243</v>
      </c>
      <c r="F23" s="74">
        <f t="shared" si="3"/>
        <v>174.78865566798004</v>
      </c>
      <c r="G23" s="74">
        <f t="shared" si="3"/>
        <v>0</v>
      </c>
      <c r="H23" s="74">
        <f t="shared" si="3"/>
        <v>0</v>
      </c>
      <c r="I23" s="74">
        <f t="shared" si="3"/>
        <v>0</v>
      </c>
    </row>
    <row r="24" spans="1:9">
      <c r="A24" s="125" t="str">
        <f>HLOOKUP(INDICE!$F$2,Nombres!$C$3:$D$636,49,FALSE)</f>
        <v>Non-controlling interests</v>
      </c>
      <c r="B24" s="77">
        <v>-95.419444530999996</v>
      </c>
      <c r="C24" s="77">
        <v>-77.313681998999996</v>
      </c>
      <c r="D24" s="77">
        <v>-76.968832105000089</v>
      </c>
      <c r="E24" s="78">
        <v>-83.129705023999946</v>
      </c>
      <c r="F24" s="77">
        <v>-93.706380144000036</v>
      </c>
      <c r="G24" s="77">
        <v>0</v>
      </c>
      <c r="H24" s="77">
        <v>0</v>
      </c>
      <c r="I24" s="77">
        <v>0</v>
      </c>
    </row>
    <row r="25" spans="1:9">
      <c r="A25" s="128" t="str">
        <f>HLOOKUP(INDICE!$F$2,Nombres!$C$3:$D$636,50,FALSE)</f>
        <v>Net attributable profit</v>
      </c>
      <c r="B25" s="19">
        <f t="shared" ref="B25:I25" si="4">+B23+B24</f>
        <v>83.225838705225314</v>
      </c>
      <c r="C25" s="19">
        <f t="shared" si="4"/>
        <v>71.325144042184192</v>
      </c>
      <c r="D25" s="19">
        <f t="shared" si="4"/>
        <v>69.823258116614042</v>
      </c>
      <c r="E25" s="19">
        <f t="shared" si="4"/>
        <v>67.469881281602483</v>
      </c>
      <c r="F25" s="96">
        <f t="shared" si="4"/>
        <v>81.082275523980002</v>
      </c>
      <c r="G25" s="96">
        <f t="shared" si="4"/>
        <v>0</v>
      </c>
      <c r="H25" s="96">
        <f t="shared" si="4"/>
        <v>0</v>
      </c>
      <c r="I25" s="96">
        <f t="shared" si="4"/>
        <v>0</v>
      </c>
    </row>
    <row r="26" spans="1:9">
      <c r="A26" s="129"/>
      <c r="B26" s="101">
        <v>0</v>
      </c>
      <c r="C26" s="101">
        <v>0</v>
      </c>
      <c r="D26" s="101">
        <v>0</v>
      </c>
      <c r="E26" s="101">
        <v>-1.8474111129762605E-13</v>
      </c>
      <c r="F26" s="101">
        <v>0</v>
      </c>
      <c r="G26" s="101">
        <v>0</v>
      </c>
      <c r="H26" s="101">
        <v>0</v>
      </c>
      <c r="I26" s="101">
        <v>0</v>
      </c>
    </row>
    <row r="27" spans="1:9">
      <c r="A27" s="127"/>
      <c r="B27" s="25"/>
      <c r="C27" s="25"/>
      <c r="D27" s="25"/>
      <c r="E27" s="25"/>
      <c r="F27" s="25"/>
      <c r="G27" s="25"/>
      <c r="H27" s="25"/>
      <c r="I27" s="25"/>
    </row>
    <row r="28" spans="1:9" ht="17">
      <c r="A28" s="119" t="str">
        <f>HLOOKUP(INDICE!$F$2,Nombres!$C$3:$D$636,51,FALSE)</f>
        <v>Balance sheets</v>
      </c>
      <c r="B28" s="66"/>
      <c r="C28" s="66"/>
      <c r="D28" s="66"/>
      <c r="E28" s="66"/>
      <c r="F28" s="66"/>
      <c r="G28" s="66"/>
      <c r="H28" s="66"/>
      <c r="I28" s="66"/>
    </row>
    <row r="29" spans="1:9">
      <c r="A29" s="120"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25" t="str">
        <f>HLOOKUP(INDICE!$F$2,Nombres!$C$3:$D$636,52,FALSE)</f>
        <v>Cash, cash balances at central banks and other demand deposits</v>
      </c>
      <c r="B31" s="77">
        <v>2530.0499999999997</v>
      </c>
      <c r="C31" s="77">
        <v>1763.0229999999999</v>
      </c>
      <c r="D31" s="77">
        <v>1956.491</v>
      </c>
      <c r="E31" s="78">
        <v>2462.9949999999999</v>
      </c>
      <c r="F31" s="77">
        <v>2423.4769999999999</v>
      </c>
      <c r="G31" s="77">
        <v>0</v>
      </c>
      <c r="H31" s="77">
        <v>0</v>
      </c>
      <c r="I31" s="77">
        <v>0</v>
      </c>
    </row>
    <row r="32" spans="1:9">
      <c r="A32" s="125" t="str">
        <f>HLOOKUP(INDICE!$F$2,Nombres!$C$3:$D$636,53,FALSE)</f>
        <v xml:space="preserve">Financial assets designated at fair value </v>
      </c>
      <c r="B32" s="86">
        <v>4277.3900000000003</v>
      </c>
      <c r="C32" s="86">
        <v>4095.1129999999998</v>
      </c>
      <c r="D32" s="86">
        <v>4033.5340000000006</v>
      </c>
      <c r="E32" s="97">
        <v>4008.1279999999988</v>
      </c>
      <c r="F32" s="77">
        <v>3878.0379999999996</v>
      </c>
      <c r="G32" s="77">
        <v>0</v>
      </c>
      <c r="H32" s="77">
        <v>0</v>
      </c>
      <c r="I32" s="77">
        <v>0</v>
      </c>
    </row>
    <row r="33" spans="1:9">
      <c r="A33" s="17" t="str">
        <f>HLOOKUP(INDICE!$F$2,Nombres!$C$3:$D$636,54,FALSE)</f>
        <v>Financial assets at amortized cost</v>
      </c>
      <c r="B33" s="77">
        <v>19290.700000016837</v>
      </c>
      <c r="C33" s="77">
        <v>19547.755000055124</v>
      </c>
      <c r="D33" s="77">
        <v>20263.192000095631</v>
      </c>
      <c r="E33" s="78">
        <v>21117.476000020746</v>
      </c>
      <c r="F33" s="77">
        <v>22188.493999999999</v>
      </c>
      <c r="G33" s="77">
        <v>0</v>
      </c>
      <c r="H33" s="77">
        <v>0</v>
      </c>
      <c r="I33" s="77">
        <v>0</v>
      </c>
    </row>
    <row r="34" spans="1:9">
      <c r="A34" s="125" t="str">
        <f>HLOOKUP(INDICE!$F$2,Nombres!$C$3:$D$636,55,FALSE)</f>
        <v xml:space="preserve">    of which loans and advances to customers</v>
      </c>
      <c r="B34" s="77">
        <v>18677.188000016838</v>
      </c>
      <c r="C34" s="77">
        <v>18140.098000055121</v>
      </c>
      <c r="D34" s="77">
        <v>18633.842000095632</v>
      </c>
      <c r="E34" s="78">
        <v>20278.804000020747</v>
      </c>
      <c r="F34" s="77">
        <v>20371.312999999998</v>
      </c>
      <c r="G34" s="77">
        <v>0</v>
      </c>
      <c r="H34" s="77">
        <v>0</v>
      </c>
      <c r="I34" s="77">
        <v>0</v>
      </c>
    </row>
    <row r="35" spans="1:9" hidden="1">
      <c r="A35" s="125"/>
      <c r="B35" s="77"/>
      <c r="C35" s="77"/>
      <c r="D35" s="77"/>
      <c r="E35" s="78"/>
      <c r="F35" s="77"/>
      <c r="G35" s="77"/>
      <c r="H35" s="77"/>
      <c r="I35" s="77"/>
    </row>
    <row r="36" spans="1:9">
      <c r="A36" s="17" t="str">
        <f>HLOOKUP(INDICE!$F$2,Nombres!$C$3:$D$636,56,FALSE)</f>
        <v>Tangible assets</v>
      </c>
      <c r="B36" s="77">
        <v>341.65699999999981</v>
      </c>
      <c r="C36" s="77">
        <v>318.84900000000005</v>
      </c>
      <c r="D36" s="77">
        <v>321.70700000000005</v>
      </c>
      <c r="E36" s="78">
        <v>345.29199999999997</v>
      </c>
      <c r="F36" s="77">
        <v>332.52300000000008</v>
      </c>
      <c r="G36" s="77">
        <v>0</v>
      </c>
      <c r="H36" s="77">
        <v>0</v>
      </c>
      <c r="I36" s="77">
        <v>0</v>
      </c>
    </row>
    <row r="37" spans="1:9">
      <c r="A37" s="125" t="str">
        <f>HLOOKUP(INDICE!$F$2,Nombres!$C$3:$D$636,57,FALSE)</f>
        <v>Other assets</v>
      </c>
      <c r="B37" s="86">
        <f t="shared" ref="B37:I37" si="5">+B38-B36-B33-B32-B31</f>
        <v>692.84700000069506</v>
      </c>
      <c r="C37" s="86">
        <f t="shared" si="5"/>
        <v>526.22977710150985</v>
      </c>
      <c r="D37" s="86">
        <f t="shared" si="5"/>
        <v>531.32899999999881</v>
      </c>
      <c r="E37" s="97">
        <f t="shared" si="5"/>
        <v>529.79199999999855</v>
      </c>
      <c r="F37" s="77">
        <f t="shared" si="5"/>
        <v>555.86100000000442</v>
      </c>
      <c r="G37" s="77">
        <f t="shared" si="5"/>
        <v>0</v>
      </c>
      <c r="H37" s="77">
        <f t="shared" si="5"/>
        <v>0</v>
      </c>
      <c r="I37" s="77">
        <f t="shared" si="5"/>
        <v>0</v>
      </c>
    </row>
    <row r="38" spans="1:9">
      <c r="A38" s="128" t="str">
        <f>HLOOKUP(INDICE!$F$2,Nombres!$C$3:$D$636,58,FALSE)</f>
        <v>Total assets / Liabilities and equity</v>
      </c>
      <c r="B38" s="19">
        <v>27132.644000017532</v>
      </c>
      <c r="C38" s="19">
        <v>26250.969777156632</v>
      </c>
      <c r="D38" s="19">
        <v>27106.253000095629</v>
      </c>
      <c r="E38" s="19">
        <v>28463.683000020745</v>
      </c>
      <c r="F38" s="96">
        <v>29378.393000000004</v>
      </c>
      <c r="G38" s="96">
        <v>0</v>
      </c>
      <c r="H38" s="96">
        <v>0</v>
      </c>
      <c r="I38" s="96">
        <v>0</v>
      </c>
    </row>
    <row r="39" spans="1:9">
      <c r="A39" s="125" t="str">
        <f>HLOOKUP(INDICE!$F$2,Nombres!$C$3:$D$636,59,FALSE)</f>
        <v>Financial liabilities held for trading and designated at fair value through profit or loss</v>
      </c>
      <c r="B39" s="86">
        <v>342.654</v>
      </c>
      <c r="C39" s="86">
        <v>384.21600000000001</v>
      </c>
      <c r="D39" s="86">
        <v>371.21199999999993</v>
      </c>
      <c r="E39" s="97">
        <v>240.59299999999999</v>
      </c>
      <c r="F39" s="77">
        <v>164.80899999999997</v>
      </c>
      <c r="G39" s="77">
        <v>0</v>
      </c>
      <c r="H39" s="77">
        <v>0</v>
      </c>
      <c r="I39" s="77">
        <v>0</v>
      </c>
    </row>
    <row r="40" spans="1:9">
      <c r="A40" s="125" t="str">
        <f>HLOOKUP(INDICE!$F$2,Nombres!$C$3:$D$636,60,FALSE)</f>
        <v>Deposits from central banks and credit institutions</v>
      </c>
      <c r="B40" s="86">
        <v>1829.2839999999999</v>
      </c>
      <c r="C40" s="86">
        <v>2342.8059999999996</v>
      </c>
      <c r="D40" s="86">
        <v>1743.9929999999999</v>
      </c>
      <c r="E40" s="97">
        <v>1570.817</v>
      </c>
      <c r="F40" s="77">
        <v>1373.6570000000002</v>
      </c>
      <c r="G40" s="77">
        <v>0</v>
      </c>
      <c r="H40" s="77">
        <v>0</v>
      </c>
      <c r="I40" s="77">
        <v>0</v>
      </c>
    </row>
    <row r="41" spans="1:9" ht="15.75" customHeight="1">
      <c r="A41" s="125" t="str">
        <f>HLOOKUP(INDICE!$F$2,Nombres!$C$3:$D$636,61,FALSE)</f>
        <v>Deposits from customers</v>
      </c>
      <c r="B41" s="86">
        <v>19390.529000008995</v>
      </c>
      <c r="C41" s="86">
        <v>18340.819999878</v>
      </c>
      <c r="D41" s="86">
        <v>19290.279999864993</v>
      </c>
      <c r="E41" s="97">
        <v>20822.028999980997</v>
      </c>
      <c r="F41" s="77">
        <v>21693.451000000001</v>
      </c>
      <c r="G41" s="77">
        <v>0</v>
      </c>
      <c r="H41" s="77">
        <v>0</v>
      </c>
      <c r="I41" s="77">
        <v>0</v>
      </c>
    </row>
    <row r="42" spans="1:9">
      <c r="A42" s="17" t="str">
        <f>HLOOKUP(INDICE!$F$2,Nombres!$C$3:$D$636,62,FALSE)</f>
        <v>Debt certificates</v>
      </c>
      <c r="B42" s="77">
        <v>922.48062126602576</v>
      </c>
      <c r="C42" s="77">
        <v>780.12760136215684</v>
      </c>
      <c r="D42" s="77">
        <v>864.21374365089878</v>
      </c>
      <c r="E42" s="78">
        <v>883.97100128747695</v>
      </c>
      <c r="F42" s="77">
        <v>859.73879845572583</v>
      </c>
      <c r="G42" s="77">
        <v>0</v>
      </c>
      <c r="H42" s="77">
        <v>0</v>
      </c>
      <c r="I42" s="77">
        <v>0</v>
      </c>
    </row>
    <row r="43" spans="1:9" hidden="1">
      <c r="A43" s="17"/>
      <c r="B43" s="77"/>
      <c r="C43" s="77"/>
      <c r="D43" s="77"/>
      <c r="E43" s="78"/>
      <c r="F43" s="77"/>
      <c r="G43" s="77"/>
      <c r="H43" s="77"/>
      <c r="I43" s="77"/>
    </row>
    <row r="44" spans="1:9">
      <c r="A44" s="125" t="str">
        <f>HLOOKUP(INDICE!$F$2,Nombres!$C$3:$D$636,63,FALSE)</f>
        <v>Other liabilities</v>
      </c>
      <c r="B44" s="86">
        <f t="shared" ref="B44:I44" si="6">+B38-B39-B40-B41-B42-B45</f>
        <v>2059.0110572365929</v>
      </c>
      <c r="C44" s="86">
        <f t="shared" si="6"/>
        <v>1934.5239952089432</v>
      </c>
      <c r="D44" s="86">
        <f t="shared" si="6"/>
        <v>2407.7369635062219</v>
      </c>
      <c r="E44" s="97">
        <f t="shared" si="6"/>
        <v>2305.0299722789337</v>
      </c>
      <c r="F44" s="77">
        <f t="shared" si="6"/>
        <v>2730.1690150431446</v>
      </c>
      <c r="G44" s="77">
        <f t="shared" si="6"/>
        <v>0</v>
      </c>
      <c r="H44" s="77">
        <f t="shared" si="6"/>
        <v>0</v>
      </c>
      <c r="I44" s="77">
        <f t="shared" si="6"/>
        <v>0</v>
      </c>
    </row>
    <row r="45" spans="1:9">
      <c r="A45" s="17" t="str">
        <f>HLOOKUP(INDICE!$F$2,Nombres!$C$3:$D$636,282,FALSE)</f>
        <v>Allocated regulatory capital</v>
      </c>
      <c r="B45" s="86">
        <v>2588.6853215059191</v>
      </c>
      <c r="C45" s="86">
        <v>2468.4761807075301</v>
      </c>
      <c r="D45" s="86">
        <v>2428.8172930735168</v>
      </c>
      <c r="E45" s="86">
        <v>2641.2430264733371</v>
      </c>
      <c r="F45" s="86">
        <v>2556.5681865011315</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119" t="str">
        <f>HLOOKUP(INDICE!$F$2,Nombres!$C$3:$D$636,65,FALSE)</f>
        <v>Relevant business indicators</v>
      </c>
      <c r="B48" s="66"/>
      <c r="C48" s="66"/>
      <c r="D48" s="66"/>
      <c r="E48" s="66"/>
      <c r="F48" s="106"/>
      <c r="G48" s="106"/>
      <c r="H48" s="106"/>
      <c r="I48" s="106"/>
    </row>
    <row r="49" spans="1:11">
      <c r="A49" s="120" t="str">
        <f>HLOOKUP(INDICE!$F$2,Nombres!$C$3:$D$636,32,FALSE)</f>
        <v>(Million euros)</v>
      </c>
      <c r="B49" s="62"/>
      <c r="C49" s="62"/>
      <c r="D49" s="62"/>
      <c r="E49" s="62"/>
      <c r="F49" s="107"/>
      <c r="G49" s="77"/>
      <c r="H49" s="77"/>
      <c r="I49" s="77"/>
    </row>
    <row r="50" spans="1:11">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11">
      <c r="A51" s="125" t="str">
        <f>HLOOKUP(INDICE!$F$2,Nombres!$C$3:$D$636,66,FALSE)</f>
        <v>Loans and advances to customers (gross) (*)</v>
      </c>
      <c r="B51" s="77">
        <v>19609.65900001684</v>
      </c>
      <c r="C51" s="77">
        <v>18986.003000055123</v>
      </c>
      <c r="D51" s="77">
        <v>19506.774000095629</v>
      </c>
      <c r="E51" s="78">
        <v>20588.31600002075</v>
      </c>
      <c r="F51" s="77">
        <v>20623.397000000001</v>
      </c>
      <c r="G51" s="77">
        <v>0</v>
      </c>
      <c r="H51" s="77">
        <v>0</v>
      </c>
      <c r="I51" s="77">
        <v>0</v>
      </c>
      <c r="K51" s="75"/>
    </row>
    <row r="52" spans="1:11">
      <c r="A52" s="125" t="str">
        <f>HLOOKUP(INDICE!$F$2,Nombres!$C$3:$D$636,67,FALSE)</f>
        <v>Customer deposits under management (*)</v>
      </c>
      <c r="B52" s="77">
        <v>19390.529000008999</v>
      </c>
      <c r="C52" s="77">
        <v>18340.819999878004</v>
      </c>
      <c r="D52" s="77">
        <v>19290.279999864993</v>
      </c>
      <c r="E52" s="78">
        <v>20822.028999980997</v>
      </c>
      <c r="F52" s="77">
        <v>21693.451000000001</v>
      </c>
      <c r="G52" s="77">
        <v>0</v>
      </c>
      <c r="H52" s="77">
        <v>0</v>
      </c>
      <c r="I52" s="77">
        <v>0</v>
      </c>
    </row>
    <row r="53" spans="1:11">
      <c r="A53" s="17" t="str">
        <f>HLOOKUP(INDICE!$F$2,Nombres!$C$3:$D$636,68,FALSE)</f>
        <v>Investment funds and managed portfolios</v>
      </c>
      <c r="B53" s="77">
        <v>2823.3584329608148</v>
      </c>
      <c r="C53" s="77">
        <v>2870.6754956120503</v>
      </c>
      <c r="D53" s="77">
        <v>3022.7369247767847</v>
      </c>
      <c r="E53" s="78">
        <v>3199.8426020725401</v>
      </c>
      <c r="F53" s="77">
        <v>3288.904132544295</v>
      </c>
      <c r="G53" s="77">
        <v>0</v>
      </c>
      <c r="H53" s="77">
        <v>0</v>
      </c>
      <c r="I53" s="77">
        <v>0</v>
      </c>
    </row>
    <row r="54" spans="1:11">
      <c r="A54" s="125" t="str">
        <f>HLOOKUP(INDICE!$F$2,Nombres!$C$3:$D$636,69,FALSE)</f>
        <v>Pension funds</v>
      </c>
      <c r="B54" s="77">
        <v>0</v>
      </c>
      <c r="C54" s="77">
        <v>0</v>
      </c>
      <c r="D54" s="77">
        <v>0</v>
      </c>
      <c r="E54" s="78">
        <v>0</v>
      </c>
      <c r="F54" s="77">
        <v>0</v>
      </c>
      <c r="G54" s="77">
        <v>0</v>
      </c>
      <c r="H54" s="77">
        <v>0</v>
      </c>
      <c r="I54" s="77">
        <v>0</v>
      </c>
    </row>
    <row r="55" spans="1:11">
      <c r="A55" s="125" t="str">
        <f>HLOOKUP(INDICE!$F$2,Nombres!$C$3:$D$636,70,FALSE)</f>
        <v>Other off balance-sheet funds</v>
      </c>
      <c r="B55" s="77">
        <v>0</v>
      </c>
      <c r="C55" s="77">
        <v>0</v>
      </c>
      <c r="D55" s="77">
        <v>0</v>
      </c>
      <c r="E55" s="78">
        <v>0</v>
      </c>
      <c r="F55" s="77">
        <v>0</v>
      </c>
      <c r="G55" s="77">
        <v>0</v>
      </c>
      <c r="H55" s="77">
        <v>0</v>
      </c>
      <c r="I55" s="77">
        <v>0</v>
      </c>
    </row>
    <row r="56" spans="1:11">
      <c r="A56" s="129" t="str">
        <f>HLOOKUP(INDICE!$F$2,Nombres!$C$3:$D$636,71,FALSE)</f>
        <v xml:space="preserve">(*) Excluding repos. </v>
      </c>
      <c r="B56" s="86"/>
      <c r="C56" s="86"/>
      <c r="D56" s="86"/>
      <c r="E56" s="86"/>
      <c r="F56" s="86"/>
      <c r="G56" s="86"/>
      <c r="H56" s="86"/>
      <c r="I56" s="86"/>
    </row>
    <row r="57" spans="1:11">
      <c r="A57" s="129">
        <f>HLOOKUP(INDICE!$F$2,Nombres!$C$3:$D$636,72,FALSE)</f>
        <v>0</v>
      </c>
      <c r="B57" s="62"/>
      <c r="C57" s="62"/>
      <c r="D57" s="62"/>
      <c r="E57" s="62"/>
      <c r="F57" s="62"/>
      <c r="G57" s="62"/>
      <c r="H57" s="62"/>
      <c r="I57" s="62"/>
    </row>
    <row r="58" spans="1:11">
      <c r="A58" s="93"/>
      <c r="B58" s="62"/>
      <c r="C58" s="62"/>
      <c r="D58" s="62"/>
      <c r="E58" s="62"/>
      <c r="F58" s="62"/>
      <c r="G58" s="62"/>
      <c r="H58" s="62"/>
      <c r="I58" s="62"/>
    </row>
    <row r="59" spans="1:11" ht="17">
      <c r="A59" s="119" t="str">
        <f>HLOOKUP(INDICE!$F$2,Nombres!$C$3:$D$636,31,FALSE)</f>
        <v xml:space="preserve">Income statement  </v>
      </c>
      <c r="B59" s="66"/>
      <c r="C59" s="66"/>
      <c r="D59" s="66"/>
      <c r="E59" s="66"/>
      <c r="F59" s="66"/>
      <c r="G59" s="66"/>
      <c r="H59" s="66"/>
      <c r="I59" s="66"/>
    </row>
    <row r="60" spans="1:11">
      <c r="A60" s="120" t="str">
        <f>HLOOKUP(INDICE!$F$2,Nombres!$C$3:$D$636,73,FALSE)</f>
        <v xml:space="preserve">(Constant million euros)    </v>
      </c>
      <c r="B60" s="62"/>
      <c r="C60" s="68"/>
      <c r="D60" s="68"/>
      <c r="E60" s="68"/>
      <c r="F60" s="62"/>
      <c r="G60" s="62"/>
      <c r="H60" s="62"/>
      <c r="I60" s="62"/>
    </row>
    <row r="61" spans="1:11">
      <c r="A61" s="69"/>
      <c r="B61" s="62"/>
      <c r="C61" s="68"/>
      <c r="D61" s="68"/>
      <c r="E61" s="68"/>
      <c r="F61" s="62"/>
      <c r="G61" s="62"/>
      <c r="H61" s="62"/>
      <c r="I61" s="62"/>
    </row>
    <row r="62" spans="1:11">
      <c r="A62" s="70"/>
      <c r="B62" s="301">
        <f>+B$6</f>
        <v>2025</v>
      </c>
      <c r="C62" s="301"/>
      <c r="D62" s="301"/>
      <c r="E62" s="302"/>
      <c r="F62" s="301">
        <f>+F$6</f>
        <v>2026</v>
      </c>
      <c r="G62" s="301"/>
      <c r="H62" s="301"/>
      <c r="I62" s="301"/>
    </row>
    <row r="63" spans="1:11">
      <c r="A63" s="70"/>
      <c r="B63" s="121" t="str">
        <f t="shared" ref="B63:I63" si="8">+B$7</f>
        <v>1Q</v>
      </c>
      <c r="C63" s="121" t="str">
        <f t="shared" si="8"/>
        <v>2Q</v>
      </c>
      <c r="D63" s="121" t="str">
        <f t="shared" si="8"/>
        <v>3Q</v>
      </c>
      <c r="E63" s="122" t="str">
        <f t="shared" si="8"/>
        <v>4Q</v>
      </c>
      <c r="F63" s="121" t="str">
        <f t="shared" si="8"/>
        <v>1Q</v>
      </c>
      <c r="G63" s="121" t="str">
        <f t="shared" si="8"/>
        <v>2Q</v>
      </c>
      <c r="H63" s="121" t="str">
        <f t="shared" si="8"/>
        <v>3Q</v>
      </c>
      <c r="I63" s="121" t="str">
        <f t="shared" si="8"/>
        <v>4Q</v>
      </c>
    </row>
    <row r="64" spans="1:11">
      <c r="A64" s="25" t="str">
        <f>HLOOKUP(INDICE!$F$2,Nombres!$C$3:$D$636,33,FALSE)</f>
        <v>Net interest income</v>
      </c>
      <c r="B64" s="25">
        <v>364.83845485730211</v>
      </c>
      <c r="C64" s="25">
        <v>367.33189835195753</v>
      </c>
      <c r="D64" s="25">
        <v>386.20858401255435</v>
      </c>
      <c r="E64" s="73">
        <v>393.82231908413218</v>
      </c>
      <c r="F64" s="74">
        <v>407.40800000002207</v>
      </c>
      <c r="G64" s="74">
        <v>0</v>
      </c>
      <c r="H64" s="74">
        <v>0</v>
      </c>
      <c r="I64" s="74">
        <v>0</v>
      </c>
    </row>
    <row r="65" spans="1:9">
      <c r="A65" s="125" t="str">
        <f>HLOOKUP(INDICE!$F$2,Nombres!$C$3:$D$636,34,FALSE)</f>
        <v>Net fees and commissions</v>
      </c>
      <c r="B65" s="77">
        <v>80.731341700924844</v>
      </c>
      <c r="C65" s="77">
        <v>75.858565238345236</v>
      </c>
      <c r="D65" s="77">
        <v>96.33965666066706</v>
      </c>
      <c r="E65" s="78">
        <v>85.898868392983829</v>
      </c>
      <c r="F65" s="77">
        <v>85.288153058006074</v>
      </c>
      <c r="G65" s="77">
        <v>0</v>
      </c>
      <c r="H65" s="77">
        <v>0</v>
      </c>
      <c r="I65" s="77">
        <v>0</v>
      </c>
    </row>
    <row r="66" spans="1:9">
      <c r="A66" s="125" t="str">
        <f>HLOOKUP(INDICE!$F$2,Nombres!$C$3:$D$636,35,FALSE)</f>
        <v>Net trading income</v>
      </c>
      <c r="B66" s="77">
        <v>51.056680572408894</v>
      </c>
      <c r="C66" s="77">
        <v>56.112710458230943</v>
      </c>
      <c r="D66" s="77">
        <v>56.95379313780554</v>
      </c>
      <c r="E66" s="78">
        <v>45.628592170879344</v>
      </c>
      <c r="F66" s="77">
        <v>55.465794112003231</v>
      </c>
      <c r="G66" s="77">
        <v>0</v>
      </c>
      <c r="H66" s="77">
        <v>0</v>
      </c>
      <c r="I66" s="77">
        <v>0</v>
      </c>
    </row>
    <row r="67" spans="1:9">
      <c r="A67" s="125" t="str">
        <f>HLOOKUP(INDICE!$F$2,Nombres!$C$3:$D$636,36,FALSE)</f>
        <v>Other operating income and expenses</v>
      </c>
      <c r="B67" s="77">
        <v>-8.0328286798069151</v>
      </c>
      <c r="C67" s="77">
        <v>-6.0329634576604168</v>
      </c>
      <c r="D67" s="77">
        <v>-16.757386121562366</v>
      </c>
      <c r="E67" s="78">
        <v>-11.944570404338583</v>
      </c>
      <c r="F67" s="77">
        <v>-10.157000000000727</v>
      </c>
      <c r="G67" s="77">
        <v>0</v>
      </c>
      <c r="H67" s="77">
        <v>0</v>
      </c>
      <c r="I67" s="77">
        <v>0</v>
      </c>
    </row>
    <row r="68" spans="1:9">
      <c r="A68" s="25" t="str">
        <f>HLOOKUP(INDICE!$F$2,Nombres!$C$3:$D$636,37,FALSE)</f>
        <v>Gross income</v>
      </c>
      <c r="B68" s="25">
        <f t="shared" ref="B68:I68" si="9">+SUM(B64:B67)</f>
        <v>488.59364845082888</v>
      </c>
      <c r="C68" s="25">
        <f t="shared" si="9"/>
        <v>493.27021059087332</v>
      </c>
      <c r="D68" s="25">
        <f t="shared" si="9"/>
        <v>522.74464768946461</v>
      </c>
      <c r="E68" s="73">
        <f t="shared" si="9"/>
        <v>513.40520924365671</v>
      </c>
      <c r="F68" s="74">
        <f t="shared" si="9"/>
        <v>538.00494717003062</v>
      </c>
      <c r="G68" s="74">
        <f t="shared" si="9"/>
        <v>0</v>
      </c>
      <c r="H68" s="74">
        <f t="shared" si="9"/>
        <v>0</v>
      </c>
      <c r="I68" s="74">
        <f t="shared" si="9"/>
        <v>0</v>
      </c>
    </row>
    <row r="69" spans="1:9">
      <c r="A69" s="125" t="str">
        <f>HLOOKUP(INDICE!$F$2,Nombres!$C$3:$D$636,38,FALSE)</f>
        <v>Operating expenses</v>
      </c>
      <c r="B69" s="77">
        <v>-187.77347779362248</v>
      </c>
      <c r="C69" s="77">
        <v>-185.07766723918908</v>
      </c>
      <c r="D69" s="77">
        <v>-195.78210801892612</v>
      </c>
      <c r="E69" s="78">
        <v>-215.45508690065145</v>
      </c>
      <c r="F69" s="77">
        <v>-208.17833953901211</v>
      </c>
      <c r="G69" s="77">
        <v>0</v>
      </c>
      <c r="H69" s="77">
        <v>0</v>
      </c>
      <c r="I69" s="77">
        <v>0</v>
      </c>
    </row>
    <row r="70" spans="1:9">
      <c r="A70" s="125" t="str">
        <f>HLOOKUP(INDICE!$F$2,Nombres!$C$3:$D$636,39,FALSE)</f>
        <v xml:space="preserve">  Administration expenses</v>
      </c>
      <c r="B70" s="77">
        <v>-164.35723737577791</v>
      </c>
      <c r="C70" s="77">
        <v>-162.38649446633954</v>
      </c>
      <c r="D70" s="77">
        <v>-174.25118957387213</v>
      </c>
      <c r="E70" s="78">
        <v>-193.25392902662529</v>
      </c>
      <c r="F70" s="77">
        <v>-186.08033953901088</v>
      </c>
      <c r="G70" s="77">
        <v>0</v>
      </c>
      <c r="H70" s="77">
        <v>0</v>
      </c>
      <c r="I70" s="77">
        <v>0</v>
      </c>
    </row>
    <row r="71" spans="1:9">
      <c r="A71" s="126" t="str">
        <f>HLOOKUP(INDICE!$F$2,Nombres!$C$3:$D$636,40,FALSE)</f>
        <v xml:space="preserve">  Personnel expenses</v>
      </c>
      <c r="B71" s="77">
        <v>-80.472589114347102</v>
      </c>
      <c r="C71" s="77">
        <v>-81.446727473693628</v>
      </c>
      <c r="D71" s="77">
        <v>-83.206473341015752</v>
      </c>
      <c r="E71" s="78">
        <v>-98.863524005777293</v>
      </c>
      <c r="F71" s="77">
        <v>-86.637000000004676</v>
      </c>
      <c r="G71" s="77">
        <v>0</v>
      </c>
      <c r="H71" s="77">
        <v>0</v>
      </c>
      <c r="I71" s="77">
        <v>0</v>
      </c>
    </row>
    <row r="72" spans="1:9">
      <c r="A72" s="126" t="str">
        <f>HLOOKUP(INDICE!$F$2,Nombres!$C$3:$D$636,41,FALSE)</f>
        <v xml:space="preserve">  General and administrative expenses</v>
      </c>
      <c r="B72" s="77">
        <v>-83.884648261430797</v>
      </c>
      <c r="C72" s="77">
        <v>-80.9397669926459</v>
      </c>
      <c r="D72" s="77">
        <v>-91.044716232856359</v>
      </c>
      <c r="E72" s="78">
        <v>-94.390405020847993</v>
      </c>
      <c r="F72" s="77">
        <v>-99.443339539006217</v>
      </c>
      <c r="G72" s="77">
        <v>0</v>
      </c>
      <c r="H72" s="77">
        <v>0</v>
      </c>
      <c r="I72" s="77">
        <v>0</v>
      </c>
    </row>
    <row r="73" spans="1:9">
      <c r="A73" s="125" t="str">
        <f>HLOOKUP(INDICE!$F$2,Nombres!$C$3:$D$636,42,FALSE)</f>
        <v xml:space="preserve">  Depreciation</v>
      </c>
      <c r="B73" s="77">
        <v>-23.416240417844566</v>
      </c>
      <c r="C73" s="77">
        <v>-22.691172772849576</v>
      </c>
      <c r="D73" s="77">
        <v>-21.530918445054002</v>
      </c>
      <c r="E73" s="78">
        <v>-22.201157874026194</v>
      </c>
      <c r="F73" s="77">
        <v>-22.098000000001232</v>
      </c>
      <c r="G73" s="77">
        <v>0</v>
      </c>
      <c r="H73" s="77">
        <v>0</v>
      </c>
      <c r="I73" s="77">
        <v>0</v>
      </c>
    </row>
    <row r="74" spans="1:9">
      <c r="A74" s="25" t="str">
        <f>HLOOKUP(INDICE!$F$2,Nombres!$C$3:$D$636,43,FALSE)</f>
        <v>Operating income</v>
      </c>
      <c r="B74" s="25">
        <f t="shared" ref="B74:I74" si="10">+B68+B69</f>
        <v>300.8201706572064</v>
      </c>
      <c r="C74" s="25">
        <f t="shared" si="10"/>
        <v>308.19254335168421</v>
      </c>
      <c r="D74" s="25">
        <f t="shared" si="10"/>
        <v>326.96253967053849</v>
      </c>
      <c r="E74" s="73">
        <f t="shared" si="10"/>
        <v>297.95012234300526</v>
      </c>
      <c r="F74" s="74">
        <f t="shared" si="10"/>
        <v>329.82660763101853</v>
      </c>
      <c r="G74" s="74">
        <f t="shared" si="10"/>
        <v>0</v>
      </c>
      <c r="H74" s="74">
        <f t="shared" si="10"/>
        <v>0</v>
      </c>
      <c r="I74" s="74">
        <f t="shared" si="10"/>
        <v>0</v>
      </c>
    </row>
    <row r="75" spans="1:9">
      <c r="A75" s="125" t="str">
        <f>HLOOKUP(INDICE!$F$2,Nombres!$C$3:$D$636,44,FALSE)</f>
        <v>Impaiment on financial assets not measured at fair value through profit or loss</v>
      </c>
      <c r="B75" s="77">
        <v>-67.681710839293302</v>
      </c>
      <c r="C75" s="77">
        <v>-82.278387841176027</v>
      </c>
      <c r="D75" s="77">
        <v>-114.27188865905711</v>
      </c>
      <c r="E75" s="78">
        <v>-72.252252917051479</v>
      </c>
      <c r="F75" s="77">
        <v>-77.812000000004502</v>
      </c>
      <c r="G75" s="77">
        <v>0</v>
      </c>
      <c r="H75" s="77">
        <v>0</v>
      </c>
      <c r="I75" s="77">
        <v>0</v>
      </c>
    </row>
    <row r="76" spans="1:9">
      <c r="A76" s="125" t="str">
        <f>HLOOKUP(INDICE!$F$2,Nombres!$C$3:$D$636,45,FALSE)</f>
        <v>Provisions or reversal of provisions and other results</v>
      </c>
      <c r="B76" s="77">
        <v>14.515634572018641</v>
      </c>
      <c r="C76" s="77">
        <v>-8.8092314039669048</v>
      </c>
      <c r="D76" s="77">
        <v>-12.983103577068551</v>
      </c>
      <c r="E76" s="78">
        <v>-16.534389901910469</v>
      </c>
      <c r="F76" s="77">
        <v>-8.7200000000007289</v>
      </c>
      <c r="G76" s="77">
        <v>0</v>
      </c>
      <c r="H76" s="77">
        <v>0</v>
      </c>
      <c r="I76" s="77">
        <v>0</v>
      </c>
    </row>
    <row r="77" spans="1:9">
      <c r="A77" s="127" t="str">
        <f>HLOOKUP(INDICE!$F$2,Nombres!$C$3:$D$636,46,FALSE)</f>
        <v>Profit/(loss) before tax</v>
      </c>
      <c r="B77" s="25">
        <f t="shared" ref="B77:I77" si="11">+B74+B75+B76</f>
        <v>247.65409438993174</v>
      </c>
      <c r="C77" s="25">
        <f t="shared" si="11"/>
        <v>217.10492410654126</v>
      </c>
      <c r="D77" s="25">
        <f t="shared" si="11"/>
        <v>199.70754743441282</v>
      </c>
      <c r="E77" s="73">
        <f t="shared" si="11"/>
        <v>209.16347952404334</v>
      </c>
      <c r="F77" s="74">
        <f t="shared" si="11"/>
        <v>243.29460763101329</v>
      </c>
      <c r="G77" s="74">
        <f t="shared" si="11"/>
        <v>0</v>
      </c>
      <c r="H77" s="74">
        <f t="shared" si="11"/>
        <v>0</v>
      </c>
      <c r="I77" s="74">
        <f t="shared" si="11"/>
        <v>0</v>
      </c>
    </row>
    <row r="78" spans="1:9">
      <c r="A78" s="17" t="str">
        <f>HLOOKUP(INDICE!$F$2,Nombres!$C$3:$D$636,47,FALSE)</f>
        <v>Income tax</v>
      </c>
      <c r="B78" s="77">
        <v>-72.287241796094818</v>
      </c>
      <c r="C78" s="77">
        <v>-60.687254093589139</v>
      </c>
      <c r="D78" s="77">
        <v>-46.573532668153106</v>
      </c>
      <c r="E78" s="78">
        <v>-59.679067542517195</v>
      </c>
      <c r="F78" s="77">
        <v>-68.505951963023691</v>
      </c>
      <c r="G78" s="77">
        <v>0</v>
      </c>
      <c r="H78" s="77">
        <v>0</v>
      </c>
      <c r="I78" s="77">
        <v>0</v>
      </c>
    </row>
    <row r="79" spans="1:9">
      <c r="A79" s="127" t="str">
        <f>HLOOKUP(INDICE!$F$2,Nombres!$C$3:$D$636,48,FALSE)</f>
        <v>Profit/(loss) for the year</v>
      </c>
      <c r="B79" s="25">
        <f t="shared" ref="B79:I79" si="12">+B77+B78</f>
        <v>175.36685259383694</v>
      </c>
      <c r="C79" s="25">
        <f t="shared" si="12"/>
        <v>156.41767001295213</v>
      </c>
      <c r="D79" s="25">
        <f t="shared" si="12"/>
        <v>153.13401476625972</v>
      </c>
      <c r="E79" s="73">
        <f t="shared" si="12"/>
        <v>149.48441198152614</v>
      </c>
      <c r="F79" s="74">
        <f t="shared" si="12"/>
        <v>174.78865566798959</v>
      </c>
      <c r="G79" s="74">
        <f t="shared" si="12"/>
        <v>0</v>
      </c>
      <c r="H79" s="74">
        <f t="shared" si="12"/>
        <v>0</v>
      </c>
      <c r="I79" s="74">
        <f t="shared" si="12"/>
        <v>0</v>
      </c>
    </row>
    <row r="80" spans="1:9">
      <c r="A80" s="125" t="str">
        <f>HLOOKUP(INDICE!$F$2,Nombres!$C$3:$D$636,49,FALSE)</f>
        <v>Non-controlling interests</v>
      </c>
      <c r="B80" s="77">
        <v>-93.668342989648693</v>
      </c>
      <c r="C80" s="77">
        <v>-81.439999577503329</v>
      </c>
      <c r="D80" s="77">
        <v>-80.304413205916873</v>
      </c>
      <c r="E80" s="78">
        <v>-82.601609217699831</v>
      </c>
      <c r="F80" s="77">
        <v>-93.706380144005706</v>
      </c>
      <c r="G80" s="77">
        <v>0</v>
      </c>
      <c r="H80" s="77">
        <v>0</v>
      </c>
      <c r="I80" s="77">
        <v>0</v>
      </c>
    </row>
    <row r="81" spans="1:9">
      <c r="A81" s="128" t="str">
        <f>HLOOKUP(INDICE!$F$2,Nombres!$C$3:$D$636,50,FALSE)</f>
        <v>Net attributable profit</v>
      </c>
      <c r="B81" s="19">
        <f t="shared" ref="B81:I81" si="13">+B79+B80</f>
        <v>81.698509604188246</v>
      </c>
      <c r="C81" s="19">
        <f t="shared" si="13"/>
        <v>74.9776704354488</v>
      </c>
      <c r="D81" s="19">
        <f t="shared" si="13"/>
        <v>72.829601560342851</v>
      </c>
      <c r="E81" s="19">
        <f t="shared" si="13"/>
        <v>66.882802763826305</v>
      </c>
      <c r="F81" s="96">
        <f t="shared" si="13"/>
        <v>81.082275523983881</v>
      </c>
      <c r="G81" s="96">
        <f t="shared" si="13"/>
        <v>0</v>
      </c>
      <c r="H81" s="96">
        <f t="shared" si="13"/>
        <v>0</v>
      </c>
      <c r="I81" s="96">
        <f t="shared" si="13"/>
        <v>0</v>
      </c>
    </row>
    <row r="82" spans="1:9">
      <c r="A82" s="129"/>
      <c r="B82" s="101">
        <v>-1.4210854715202004E-13</v>
      </c>
      <c r="C82" s="101">
        <v>0</v>
      </c>
      <c r="D82" s="101">
        <v>0</v>
      </c>
      <c r="E82" s="101">
        <v>0</v>
      </c>
      <c r="F82" s="101">
        <v>0</v>
      </c>
      <c r="G82" s="101">
        <v>0</v>
      </c>
      <c r="H82" s="101">
        <v>0</v>
      </c>
      <c r="I82" s="101">
        <v>0</v>
      </c>
    </row>
    <row r="83" spans="1:9">
      <c r="A83" s="127"/>
      <c r="B83" s="25"/>
      <c r="C83" s="25"/>
      <c r="D83" s="25"/>
      <c r="E83" s="25"/>
      <c r="F83" s="74"/>
      <c r="G83" s="74"/>
      <c r="H83" s="74"/>
      <c r="I83" s="74"/>
    </row>
    <row r="84" spans="1:9" ht="17">
      <c r="A84" s="119" t="str">
        <f>HLOOKUP(INDICE!$F$2,Nombres!$C$3:$D$636,51,FALSE)</f>
        <v>Balance sheets</v>
      </c>
      <c r="B84" s="66"/>
      <c r="C84" s="66"/>
      <c r="D84" s="66"/>
      <c r="E84" s="66"/>
      <c r="F84" s="106"/>
      <c r="G84" s="106"/>
      <c r="H84" s="106"/>
      <c r="I84" s="106"/>
    </row>
    <row r="85" spans="1:9">
      <c r="A85" s="120"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25" t="str">
        <f>HLOOKUP(INDICE!$F$2,Nombres!$C$3:$D$636,52,FALSE)</f>
        <v>Cash, cash balances at central banks and other demand deposits</v>
      </c>
      <c r="B87" s="77">
        <v>2487.9323620922128</v>
      </c>
      <c r="C87" s="77">
        <v>1815.5577434904308</v>
      </c>
      <c r="D87" s="77">
        <v>1986.9883319435148</v>
      </c>
      <c r="E87" s="78">
        <v>2418.0383390407546</v>
      </c>
      <c r="F87" s="77">
        <v>2423.476999999873</v>
      </c>
      <c r="G87" s="77">
        <v>0</v>
      </c>
      <c r="H87" s="77">
        <v>0</v>
      </c>
      <c r="I87" s="77">
        <v>0</v>
      </c>
    </row>
    <row r="88" spans="1:9">
      <c r="A88" s="125" t="str">
        <f>HLOOKUP(INDICE!$F$2,Nombres!$C$3:$D$636,53,FALSE)</f>
        <v xml:space="preserve">Financial assets designated at fair value </v>
      </c>
      <c r="B88" s="86">
        <v>4206.1845375261992</v>
      </c>
      <c r="C88" s="86">
        <v>4217.139629249149</v>
      </c>
      <c r="D88" s="86">
        <v>4096.4077893157028</v>
      </c>
      <c r="E88" s="97">
        <v>3934.9682036615995</v>
      </c>
      <c r="F88" s="77">
        <v>3878.037999999819</v>
      </c>
      <c r="G88" s="77">
        <v>0</v>
      </c>
      <c r="H88" s="77">
        <v>0</v>
      </c>
      <c r="I88" s="77">
        <v>0</v>
      </c>
    </row>
    <row r="89" spans="1:9">
      <c r="A89" s="17" t="str">
        <f>HLOOKUP(INDICE!$F$2,Nombres!$C$3:$D$636,54,FALSE)</f>
        <v>Financial assets at amortized cost</v>
      </c>
      <c r="B89" s="77">
        <v>18969.568839438823</v>
      </c>
      <c r="C89" s="77">
        <v>20130.241161498026</v>
      </c>
      <c r="D89" s="77">
        <v>20579.049921381971</v>
      </c>
      <c r="E89" s="78">
        <v>20732.021682358543</v>
      </c>
      <c r="F89" s="77">
        <v>22188.493999998926</v>
      </c>
      <c r="G89" s="77">
        <v>0</v>
      </c>
      <c r="H89" s="77">
        <v>0</v>
      </c>
      <c r="I89" s="77">
        <v>0</v>
      </c>
    </row>
    <row r="90" spans="1:9">
      <c r="A90" s="125" t="str">
        <f>HLOOKUP(INDICE!$F$2,Nombres!$C$3:$D$636,55,FALSE)</f>
        <v xml:space="preserve">    of which loans and advances to customers</v>
      </c>
      <c r="B90" s="77">
        <v>18366.269938009045</v>
      </c>
      <c r="C90" s="77">
        <v>18680.6386428154</v>
      </c>
      <c r="D90" s="77">
        <v>18924.301992761168</v>
      </c>
      <c r="E90" s="78">
        <v>19908.657844352063</v>
      </c>
      <c r="F90" s="77">
        <v>20371.312999999023</v>
      </c>
      <c r="G90" s="77">
        <v>0</v>
      </c>
      <c r="H90" s="77">
        <v>0</v>
      </c>
      <c r="I90" s="77">
        <v>0</v>
      </c>
    </row>
    <row r="91" spans="1:9" hidden="1">
      <c r="A91" s="125"/>
      <c r="B91" s="77"/>
      <c r="C91" s="77"/>
      <c r="D91" s="77"/>
      <c r="E91" s="78"/>
      <c r="F91" s="77"/>
      <c r="G91" s="77"/>
      <c r="H91" s="77"/>
      <c r="I91" s="77"/>
    </row>
    <row r="92" spans="1:9">
      <c r="A92" s="17" t="str">
        <f>HLOOKUP(INDICE!$F$2,Nombres!$C$3:$D$636,56,FALSE)</f>
        <v>Tangible assets</v>
      </c>
      <c r="B92" s="77">
        <v>335.96945579841537</v>
      </c>
      <c r="C92" s="77">
        <v>328.35009770095792</v>
      </c>
      <c r="D92" s="77">
        <v>326.72169384896387</v>
      </c>
      <c r="E92" s="78">
        <v>338.98943371537035</v>
      </c>
      <c r="F92" s="77">
        <v>332.52299999998507</v>
      </c>
      <c r="G92" s="77">
        <v>0</v>
      </c>
      <c r="H92" s="77">
        <v>0</v>
      </c>
      <c r="I92" s="77">
        <v>0</v>
      </c>
    </row>
    <row r="93" spans="1:9">
      <c r="A93" s="125" t="str">
        <f>HLOOKUP(INDICE!$F$2,Nombres!$C$3:$D$636,57,FALSE)</f>
        <v>Other assets</v>
      </c>
      <c r="B93" s="86">
        <f t="shared" ref="B93:I93" si="15">+B94-B92-B89-B88-B87</f>
        <v>681.31321630063894</v>
      </c>
      <c r="C93" s="86">
        <f t="shared" si="15"/>
        <v>541.91043009208988</v>
      </c>
      <c r="D93" s="86">
        <f t="shared" si="15"/>
        <v>539.61123280234915</v>
      </c>
      <c r="E93" s="97">
        <f t="shared" si="15"/>
        <v>520.12178117887061</v>
      </c>
      <c r="F93" s="77">
        <f t="shared" si="15"/>
        <v>555.8609999996097</v>
      </c>
      <c r="G93" s="77">
        <f t="shared" si="15"/>
        <v>0</v>
      </c>
      <c r="H93" s="77">
        <f t="shared" si="15"/>
        <v>0</v>
      </c>
      <c r="I93" s="77">
        <f t="shared" si="15"/>
        <v>0</v>
      </c>
    </row>
    <row r="94" spans="1:9">
      <c r="A94" s="128" t="str">
        <f>HLOOKUP(INDICE!$F$2,Nombres!$C$3:$D$636,58,FALSE)</f>
        <v>Total assets / Liabilities and equity</v>
      </c>
      <c r="B94" s="19">
        <v>26680.968411156289</v>
      </c>
      <c r="C94" s="19">
        <v>27033.199062030653</v>
      </c>
      <c r="D94" s="19">
        <v>27528.778969292503</v>
      </c>
      <c r="E94" s="19">
        <v>27944.139439955139</v>
      </c>
      <c r="F94" s="96">
        <v>29378.392999998214</v>
      </c>
      <c r="G94" s="96">
        <v>0</v>
      </c>
      <c r="H94" s="96">
        <v>0</v>
      </c>
      <c r="I94" s="96">
        <v>0</v>
      </c>
    </row>
    <row r="95" spans="1:9">
      <c r="A95" s="125" t="str">
        <f>HLOOKUP(INDICE!$F$2,Nombres!$C$3:$D$636,59,FALSE)</f>
        <v>Financial liabilities held for trading and designated at fair value through profit or loss</v>
      </c>
      <c r="B95" s="86">
        <v>336.94985879742165</v>
      </c>
      <c r="C95" s="86">
        <v>395.66491078307018</v>
      </c>
      <c r="D95" s="86">
        <v>376.99836626825504</v>
      </c>
      <c r="E95" s="97">
        <v>236.20148982855716</v>
      </c>
      <c r="F95" s="77">
        <v>164.80899999999244</v>
      </c>
      <c r="G95" s="77">
        <v>0</v>
      </c>
      <c r="H95" s="77">
        <v>0</v>
      </c>
      <c r="I95" s="77">
        <v>0</v>
      </c>
    </row>
    <row r="96" spans="1:9">
      <c r="A96" s="125" t="str">
        <f>HLOOKUP(INDICE!$F$2,Nombres!$C$3:$D$636,60,FALSE)</f>
        <v>Deposits from central banks and credit institutions</v>
      </c>
      <c r="B96" s="86">
        <v>1798.8320156787377</v>
      </c>
      <c r="C96" s="86">
        <v>2412.6171918192936</v>
      </c>
      <c r="D96" s="86">
        <v>1771.1779570252934</v>
      </c>
      <c r="E96" s="97">
        <v>1542.1450983529226</v>
      </c>
      <c r="F96" s="77">
        <v>1373.6569999999363</v>
      </c>
      <c r="G96" s="77">
        <v>0</v>
      </c>
      <c r="H96" s="77">
        <v>0</v>
      </c>
      <c r="I96" s="77">
        <v>0</v>
      </c>
    </row>
    <row r="97" spans="1:9">
      <c r="A97" s="125" t="str">
        <f>HLOOKUP(INDICE!$F$2,Nombres!$C$3:$D$636,61,FALSE)</f>
        <v>Deposits from customers</v>
      </c>
      <c r="B97" s="86">
        <v>19067.735991876143</v>
      </c>
      <c r="C97" s="86">
        <v>18887.341778947466</v>
      </c>
      <c r="D97" s="86">
        <v>19590.972395305944</v>
      </c>
      <c r="E97" s="97">
        <v>20441.967434833608</v>
      </c>
      <c r="F97" s="77">
        <v>21693.45099999896</v>
      </c>
      <c r="G97" s="77">
        <v>0</v>
      </c>
      <c r="H97" s="77">
        <v>0</v>
      </c>
      <c r="I97" s="77">
        <v>0</v>
      </c>
    </row>
    <row r="98" spans="1:9">
      <c r="A98" s="17" t="str">
        <f>HLOOKUP(INDICE!$F$2,Nombres!$C$3:$D$636,62,FALSE)</f>
        <v>Debt certificates</v>
      </c>
      <c r="B98" s="77">
        <v>907.12413864820019</v>
      </c>
      <c r="C98" s="77">
        <v>803.37392974880891</v>
      </c>
      <c r="D98" s="77">
        <v>877.68490766566561</v>
      </c>
      <c r="E98" s="78">
        <v>867.83600299818988</v>
      </c>
      <c r="F98" s="77">
        <v>859.73879845568581</v>
      </c>
      <c r="G98" s="77">
        <v>0</v>
      </c>
      <c r="H98" s="77">
        <v>0</v>
      </c>
      <c r="I98" s="77">
        <v>0</v>
      </c>
    </row>
    <row r="99" spans="1:9" hidden="1">
      <c r="A99" s="17"/>
      <c r="B99" s="77"/>
      <c r="C99" s="77"/>
      <c r="D99" s="77"/>
      <c r="E99" s="78"/>
      <c r="F99" s="77"/>
      <c r="G99" s="77"/>
      <c r="H99" s="77"/>
      <c r="I99" s="77"/>
    </row>
    <row r="100" spans="1:9">
      <c r="A100" s="125" t="str">
        <f>HLOOKUP(INDICE!$F$2,Nombres!$C$3:$D$636,63,FALSE)</f>
        <v>Other liabilities</v>
      </c>
      <c r="B100" s="86">
        <f t="shared" ref="B100:I100" si="16">+B94-B95-B96-B97-B98-B101</f>
        <v>2024.734782584278</v>
      </c>
      <c r="C100" s="86">
        <f t="shared" si="16"/>
        <v>1992.1691442872584</v>
      </c>
      <c r="D100" s="86">
        <f t="shared" si="16"/>
        <v>2445.2682074778272</v>
      </c>
      <c r="E100" s="97">
        <f t="shared" si="16"/>
        <v>2262.9566247409707</v>
      </c>
      <c r="F100" s="77">
        <f t="shared" si="16"/>
        <v>2730.1690150428358</v>
      </c>
      <c r="G100" s="77">
        <f t="shared" si="16"/>
        <v>0</v>
      </c>
      <c r="H100" s="77">
        <f t="shared" si="16"/>
        <v>0</v>
      </c>
      <c r="I100" s="77">
        <f t="shared" si="16"/>
        <v>0</v>
      </c>
    </row>
    <row r="101" spans="1:9">
      <c r="A101" s="17" t="str">
        <f>HLOOKUP(INDICE!$F$2,Nombres!$C$3:$D$636,282,FALSE)</f>
        <v>Allocated regulatory capital</v>
      </c>
      <c r="B101" s="86">
        <v>2545.5916235715076</v>
      </c>
      <c r="C101" s="86">
        <v>2542.0321064447567</v>
      </c>
      <c r="D101" s="86">
        <v>2466.6771355495189</v>
      </c>
      <c r="E101" s="86">
        <v>2593.0327892008931</v>
      </c>
      <c r="F101" s="86">
        <v>2556.5681865008</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119" t="str">
        <f>HLOOKUP(INDICE!$F$2,Nombres!$C$3:$D$636,65,FALSE)</f>
        <v>Relevant business indicators</v>
      </c>
      <c r="B104" s="66"/>
      <c r="C104" s="66"/>
      <c r="D104" s="66"/>
      <c r="E104" s="66"/>
      <c r="F104" s="106"/>
      <c r="G104" s="106"/>
      <c r="H104" s="106"/>
      <c r="I104" s="106"/>
    </row>
    <row r="105" spans="1:9">
      <c r="A105" s="120"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25" t="str">
        <f>HLOOKUP(INDICE!$F$2,Nombres!$C$3:$D$636,66,FALSE)</f>
        <v>Loans and advances to customers (gross) (*)</v>
      </c>
      <c r="B107" s="77">
        <v>19283.218147522697</v>
      </c>
      <c r="C107" s="77">
        <v>19551.750013388082</v>
      </c>
      <c r="D107" s="77">
        <v>19810.841053630109</v>
      </c>
      <c r="E107" s="78">
        <v>20212.520365372275</v>
      </c>
      <c r="F107" s="77">
        <v>20623.396999999011</v>
      </c>
      <c r="G107" s="77">
        <v>0</v>
      </c>
      <c r="H107" s="77">
        <v>0</v>
      </c>
      <c r="I107" s="77">
        <v>0</v>
      </c>
    </row>
    <row r="108" spans="1:9">
      <c r="A108" s="125" t="str">
        <f>HLOOKUP(INDICE!$F$2,Nombres!$C$3:$D$636,67,FALSE)</f>
        <v>Customer deposits under management (*)</v>
      </c>
      <c r="B108" s="77">
        <v>19067.735991876139</v>
      </c>
      <c r="C108" s="77">
        <v>18887.341778947462</v>
      </c>
      <c r="D108" s="77">
        <v>19590.972395305947</v>
      </c>
      <c r="E108" s="78">
        <v>20441.967434833608</v>
      </c>
      <c r="F108" s="77">
        <v>21693.450999998964</v>
      </c>
      <c r="G108" s="77">
        <v>0</v>
      </c>
      <c r="H108" s="77">
        <v>0</v>
      </c>
      <c r="I108" s="77">
        <v>0</v>
      </c>
    </row>
    <row r="109" spans="1:9">
      <c r="A109" s="17" t="str">
        <f>HLOOKUP(INDICE!$F$2,Nombres!$C$3:$D$636,68,FALSE)</f>
        <v>Investment funds and managed portfolios</v>
      </c>
      <c r="B109" s="77">
        <v>2776.3581493886436</v>
      </c>
      <c r="C109" s="77">
        <v>2956.2162009351832</v>
      </c>
      <c r="D109" s="77">
        <v>3069.8546445145535</v>
      </c>
      <c r="E109" s="78">
        <v>3141.4363253561396</v>
      </c>
      <c r="F109" s="77">
        <v>3288.9041325442936</v>
      </c>
      <c r="G109" s="77">
        <v>0</v>
      </c>
      <c r="H109" s="77">
        <v>0</v>
      </c>
      <c r="I109" s="77">
        <v>0</v>
      </c>
    </row>
    <row r="110" spans="1:9">
      <c r="A110" s="125" t="str">
        <f>HLOOKUP(INDICE!$F$2,Nombres!$C$3:$D$636,69,FALSE)</f>
        <v>Pension funds</v>
      </c>
      <c r="B110" s="77">
        <v>0</v>
      </c>
      <c r="C110" s="77">
        <v>0</v>
      </c>
      <c r="D110" s="77">
        <v>0</v>
      </c>
      <c r="E110" s="78">
        <v>0</v>
      </c>
      <c r="F110" s="77">
        <v>0</v>
      </c>
      <c r="G110" s="77">
        <v>0</v>
      </c>
      <c r="H110" s="77">
        <v>0</v>
      </c>
      <c r="I110" s="77">
        <v>0</v>
      </c>
    </row>
    <row r="111" spans="1:9">
      <c r="A111" s="125" t="str">
        <f>HLOOKUP(INDICE!$F$2,Nombres!$C$3:$D$636,70,FALSE)</f>
        <v>Other off balance-sheet funds</v>
      </c>
      <c r="B111" s="77">
        <v>0</v>
      </c>
      <c r="C111" s="77">
        <v>0</v>
      </c>
      <c r="D111" s="77">
        <v>0</v>
      </c>
      <c r="E111" s="78">
        <v>0</v>
      </c>
      <c r="F111" s="77">
        <v>0</v>
      </c>
      <c r="G111" s="77">
        <v>0</v>
      </c>
      <c r="H111" s="77">
        <v>0</v>
      </c>
      <c r="I111" s="77">
        <v>0</v>
      </c>
    </row>
    <row r="112" spans="1:9">
      <c r="A112" s="129" t="str">
        <f>HLOOKUP(INDICE!$F$2,Nombres!$C$3:$D$636,71,FALSE)</f>
        <v xml:space="preserve">(*) Excluding repos. </v>
      </c>
      <c r="B112" s="86"/>
      <c r="C112" s="86"/>
      <c r="D112" s="86"/>
      <c r="E112" s="86"/>
      <c r="F112" s="86"/>
      <c r="G112" s="86"/>
      <c r="H112" s="86"/>
      <c r="I112" s="86"/>
    </row>
    <row r="113" spans="1:9">
      <c r="A113" s="129">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5" spans="1:9" ht="17">
      <c r="A115" s="119" t="str">
        <f>HLOOKUP(INDICE!$F$2,Nombres!$C$3:$D$636,31,FALSE)</f>
        <v xml:space="preserve">Income statement  </v>
      </c>
      <c r="B115" s="66"/>
      <c r="C115" s="66"/>
      <c r="D115" s="66"/>
      <c r="E115" s="66"/>
      <c r="F115" s="66"/>
      <c r="G115" s="66"/>
      <c r="H115" s="66"/>
      <c r="I115" s="66"/>
    </row>
    <row r="116" spans="1:9">
      <c r="A116" s="120" t="str">
        <f>HLOOKUP(INDICE!$F$2,Nombres!$C$3:$D$636,79,FALSE)</f>
        <v>(Million Peruvian soles)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121" t="str">
        <f t="shared" ref="B119:I119" si="18">+B$7</f>
        <v>1Q</v>
      </c>
      <c r="C119" s="121" t="str">
        <f t="shared" si="18"/>
        <v>2Q</v>
      </c>
      <c r="D119" s="121" t="str">
        <f t="shared" si="18"/>
        <v>3Q</v>
      </c>
      <c r="E119" s="122" t="str">
        <f t="shared" si="18"/>
        <v>4Q</v>
      </c>
      <c r="F119" s="121" t="str">
        <f t="shared" si="18"/>
        <v>1Q</v>
      </c>
      <c r="G119" s="121" t="str">
        <f t="shared" si="18"/>
        <v>2Q</v>
      </c>
      <c r="H119" s="121" t="str">
        <f t="shared" si="18"/>
        <v>3Q</v>
      </c>
      <c r="I119" s="121" t="str">
        <f t="shared" si="18"/>
        <v>4Q</v>
      </c>
    </row>
    <row r="120" spans="1:9">
      <c r="A120" s="25" t="str">
        <f>HLOOKUP(INDICE!$F$2,Nombres!$C$3:$D$636,33,FALSE)</f>
        <v>Net interest income</v>
      </c>
      <c r="B120" s="25">
        <v>1445.9248455838301</v>
      </c>
      <c r="C120" s="25">
        <v>1455.8068408943072</v>
      </c>
      <c r="D120" s="25">
        <v>1530.6187704909516</v>
      </c>
      <c r="E120" s="73">
        <v>1560.7934644167683</v>
      </c>
      <c r="F120" s="74">
        <v>1614.6361263372141</v>
      </c>
      <c r="G120" s="74">
        <v>0</v>
      </c>
      <c r="H120" s="74">
        <v>0</v>
      </c>
      <c r="I120" s="74">
        <v>0</v>
      </c>
    </row>
    <row r="121" spans="1:9">
      <c r="A121" s="125" t="str">
        <f>HLOOKUP(INDICE!$F$2,Nombres!$C$3:$D$636,34,FALSE)</f>
        <v>Net fees and commissions</v>
      </c>
      <c r="B121" s="77">
        <v>319.95380757859499</v>
      </c>
      <c r="C121" s="77">
        <v>300.64205888429763</v>
      </c>
      <c r="D121" s="77">
        <v>381.81255656056857</v>
      </c>
      <c r="E121" s="78">
        <v>340.43370802436391</v>
      </c>
      <c r="F121" s="77">
        <v>338.01332589450095</v>
      </c>
      <c r="G121" s="77">
        <v>0</v>
      </c>
      <c r="H121" s="77">
        <v>0</v>
      </c>
      <c r="I121" s="77">
        <v>0</v>
      </c>
    </row>
    <row r="122" spans="1:9">
      <c r="A122" s="125" t="str">
        <f>HLOOKUP(INDICE!$F$2,Nombres!$C$3:$D$636,35,FALSE)</f>
        <v>Net trading income</v>
      </c>
      <c r="B122" s="77">
        <v>202.34742799126752</v>
      </c>
      <c r="C122" s="77">
        <v>222.38544518653248</v>
      </c>
      <c r="D122" s="77">
        <v>225.71881733356327</v>
      </c>
      <c r="E122" s="78">
        <v>180.83487146301789</v>
      </c>
      <c r="F122" s="77">
        <v>219.82159149849159</v>
      </c>
      <c r="G122" s="77">
        <v>0</v>
      </c>
      <c r="H122" s="77">
        <v>0</v>
      </c>
      <c r="I122" s="77">
        <v>0</v>
      </c>
    </row>
    <row r="123" spans="1:9">
      <c r="A123" s="125" t="str">
        <f>HLOOKUP(INDICE!$F$2,Nombres!$C$3:$D$636,36,FALSE)</f>
        <v>Other operating income and expenses</v>
      </c>
      <c r="B123" s="77">
        <v>-31.835642361203551</v>
      </c>
      <c r="C123" s="77">
        <v>-23.909792511708734</v>
      </c>
      <c r="D123" s="77">
        <v>-66.412738617933456</v>
      </c>
      <c r="E123" s="78">
        <v>-47.33862586994438</v>
      </c>
      <c r="F123" s="77">
        <v>-40.254141144031053</v>
      </c>
      <c r="G123" s="77">
        <v>0</v>
      </c>
      <c r="H123" s="77">
        <v>0</v>
      </c>
      <c r="I123" s="77">
        <v>0</v>
      </c>
    </row>
    <row r="124" spans="1:9">
      <c r="A124" s="25" t="str">
        <f>HLOOKUP(INDICE!$F$2,Nombres!$C$3:$D$636,37,FALSE)</f>
        <v>Gross income</v>
      </c>
      <c r="B124" s="25">
        <f t="shared" ref="B124:I124" si="19">+SUM(B120:B123)</f>
        <v>1936.390438792489</v>
      </c>
      <c r="C124" s="25">
        <f t="shared" si="19"/>
        <v>1954.9245524534285</v>
      </c>
      <c r="D124" s="25">
        <f t="shared" si="19"/>
        <v>2071.73740576715</v>
      </c>
      <c r="E124" s="73">
        <f t="shared" si="19"/>
        <v>2034.7234180342057</v>
      </c>
      <c r="F124" s="74">
        <f t="shared" si="19"/>
        <v>2132.2169025861754</v>
      </c>
      <c r="G124" s="74">
        <f t="shared" si="19"/>
        <v>0</v>
      </c>
      <c r="H124" s="74">
        <f t="shared" si="19"/>
        <v>0</v>
      </c>
      <c r="I124" s="74">
        <f t="shared" si="19"/>
        <v>0</v>
      </c>
    </row>
    <row r="125" spans="1:9">
      <c r="A125" s="125" t="str">
        <f>HLOOKUP(INDICE!$F$2,Nombres!$C$3:$D$636,38,FALSE)</f>
        <v>Operating expenses</v>
      </c>
      <c r="B125" s="77">
        <v>-744.18234500438143</v>
      </c>
      <c r="C125" s="77">
        <v>-733.4983301815281</v>
      </c>
      <c r="D125" s="77">
        <v>-775.92208424428509</v>
      </c>
      <c r="E125" s="78">
        <v>-853.88987676456213</v>
      </c>
      <c r="F125" s="77">
        <v>-825.05072983487207</v>
      </c>
      <c r="G125" s="77">
        <v>0</v>
      </c>
      <c r="H125" s="77">
        <v>0</v>
      </c>
      <c r="I125" s="77">
        <v>0</v>
      </c>
    </row>
    <row r="126" spans="1:9">
      <c r="A126" s="125" t="str">
        <f>HLOOKUP(INDICE!$F$2,Nombres!$C$3:$D$636,39,FALSE)</f>
        <v xml:space="preserve">  Administration expenses</v>
      </c>
      <c r="B126" s="77">
        <v>-651.37928831023851</v>
      </c>
      <c r="C126" s="77">
        <v>-643.56885577749017</v>
      </c>
      <c r="D126" s="77">
        <v>-690.59092051013522</v>
      </c>
      <c r="E126" s="78">
        <v>-765.90242548742322</v>
      </c>
      <c r="F126" s="77">
        <v>-737.47211301880611</v>
      </c>
      <c r="G126" s="77">
        <v>0</v>
      </c>
      <c r="H126" s="77">
        <v>0</v>
      </c>
      <c r="I126" s="77">
        <v>0</v>
      </c>
    </row>
    <row r="127" spans="1:9">
      <c r="A127" s="126" t="str">
        <f>HLOOKUP(INDICE!$F$2,Nombres!$C$3:$D$636,40,FALSE)</f>
        <v xml:space="preserve">  Personnel expenses</v>
      </c>
      <c r="B127" s="77">
        <v>-318.92832139749004</v>
      </c>
      <c r="C127" s="77">
        <v>-322.78901875014793</v>
      </c>
      <c r="D127" s="77">
        <v>-329.76322949355711</v>
      </c>
      <c r="E127" s="78">
        <v>-391.81512743177774</v>
      </c>
      <c r="F127" s="77">
        <v>-343.35906530425802</v>
      </c>
      <c r="G127" s="77">
        <v>0</v>
      </c>
      <c r="H127" s="77">
        <v>0</v>
      </c>
      <c r="I127" s="77">
        <v>0</v>
      </c>
    </row>
    <row r="128" spans="1:9">
      <c r="A128" s="126" t="str">
        <f>HLOOKUP(INDICE!$F$2,Nombres!$C$3:$D$636,41,FALSE)</f>
        <v xml:space="preserve">  General and administrative expenses</v>
      </c>
      <c r="B128" s="77">
        <v>-332.45096691274847</v>
      </c>
      <c r="C128" s="77">
        <v>-320.77983702734218</v>
      </c>
      <c r="D128" s="77">
        <v>-360.82769101657806</v>
      </c>
      <c r="E128" s="78">
        <v>-374.08729805564553</v>
      </c>
      <c r="F128" s="77">
        <v>-394.11304771454803</v>
      </c>
      <c r="G128" s="77">
        <v>0</v>
      </c>
      <c r="H128" s="77">
        <v>0</v>
      </c>
      <c r="I128" s="77">
        <v>0</v>
      </c>
    </row>
    <row r="129" spans="1:9">
      <c r="A129" s="125" t="str">
        <f>HLOOKUP(INDICE!$F$2,Nombres!$C$3:$D$636,42,FALSE)</f>
        <v xml:space="preserve">  Depreciation</v>
      </c>
      <c r="B129" s="77">
        <v>-92.803056694142995</v>
      </c>
      <c r="C129" s="77">
        <v>-89.929474404038004</v>
      </c>
      <c r="D129" s="77">
        <v>-85.331163734149982</v>
      </c>
      <c r="E129" s="78">
        <v>-87.987451277139002</v>
      </c>
      <c r="F129" s="77">
        <v>-87.578616816066017</v>
      </c>
      <c r="G129" s="77">
        <v>0</v>
      </c>
      <c r="H129" s="77">
        <v>0</v>
      </c>
      <c r="I129" s="77">
        <v>0</v>
      </c>
    </row>
    <row r="130" spans="1:9">
      <c r="A130" s="25" t="str">
        <f>HLOOKUP(INDICE!$F$2,Nombres!$C$3:$D$636,43,FALSE)</f>
        <v>Operating income</v>
      </c>
      <c r="B130" s="25">
        <f t="shared" ref="B130:I130" si="20">+B124+B125</f>
        <v>1192.2080937881076</v>
      </c>
      <c r="C130" s="25">
        <f t="shared" si="20"/>
        <v>1221.4262222719003</v>
      </c>
      <c r="D130" s="25">
        <f t="shared" si="20"/>
        <v>1295.8153215228649</v>
      </c>
      <c r="E130" s="73">
        <f t="shared" si="20"/>
        <v>1180.8335412696435</v>
      </c>
      <c r="F130" s="74">
        <f t="shared" si="20"/>
        <v>1307.1661727513033</v>
      </c>
      <c r="G130" s="74">
        <f t="shared" si="20"/>
        <v>0</v>
      </c>
      <c r="H130" s="74">
        <f t="shared" si="20"/>
        <v>0</v>
      </c>
      <c r="I130" s="74">
        <f t="shared" si="20"/>
        <v>0</v>
      </c>
    </row>
    <row r="131" spans="1:9">
      <c r="A131" s="125" t="str">
        <f>HLOOKUP(INDICE!$F$2,Nombres!$C$3:$D$636,44,FALSE)</f>
        <v>Impaiment on financial assets not measured at fair value through profit or loss</v>
      </c>
      <c r="B131" s="77">
        <v>-268.23561494478776</v>
      </c>
      <c r="C131" s="77">
        <v>-326.08504846527387</v>
      </c>
      <c r="D131" s="77">
        <v>-452.88143495878199</v>
      </c>
      <c r="E131" s="78">
        <v>-286.34955074303468</v>
      </c>
      <c r="F131" s="77">
        <v>-308.38389590423316</v>
      </c>
      <c r="G131" s="77">
        <v>0</v>
      </c>
      <c r="H131" s="77">
        <v>0</v>
      </c>
      <c r="I131" s="77">
        <v>0</v>
      </c>
    </row>
    <row r="132" spans="1:9">
      <c r="A132" s="125" t="str">
        <f>HLOOKUP(INDICE!$F$2,Nombres!$C$3:$D$636,45,FALSE)</f>
        <v>Provisions or reversal of provisions and other results</v>
      </c>
      <c r="B132" s="77">
        <v>57.52824681078782</v>
      </c>
      <c r="C132" s="77">
        <v>-34.912675426374761</v>
      </c>
      <c r="D132" s="77">
        <v>-51.454532231845342</v>
      </c>
      <c r="E132" s="78">
        <v>-65.52896178417808</v>
      </c>
      <c r="F132" s="77">
        <v>-34.559034240026996</v>
      </c>
      <c r="G132" s="77">
        <v>0</v>
      </c>
      <c r="H132" s="77">
        <v>0</v>
      </c>
      <c r="I132" s="77">
        <v>0</v>
      </c>
    </row>
    <row r="133" spans="1:9">
      <c r="A133" s="127" t="str">
        <f>HLOOKUP(INDICE!$F$2,Nombres!$C$3:$D$636,46,FALSE)</f>
        <v>Profit/(loss) before tax</v>
      </c>
      <c r="B133" s="25">
        <f t="shared" ref="B133:I133" si="21">+B130+B131+B132</f>
        <v>981.50072565410755</v>
      </c>
      <c r="C133" s="25">
        <f t="shared" si="21"/>
        <v>860.42849838025165</v>
      </c>
      <c r="D133" s="25">
        <f t="shared" si="21"/>
        <v>791.47935433223768</v>
      </c>
      <c r="E133" s="73">
        <f t="shared" si="21"/>
        <v>828.95502874243084</v>
      </c>
      <c r="F133" s="74">
        <f t="shared" si="21"/>
        <v>964.22324260704306</v>
      </c>
      <c r="G133" s="74">
        <f t="shared" si="21"/>
        <v>0</v>
      </c>
      <c r="H133" s="74">
        <f t="shared" si="21"/>
        <v>0</v>
      </c>
      <c r="I133" s="74">
        <f t="shared" si="21"/>
        <v>0</v>
      </c>
    </row>
    <row r="134" spans="1:9">
      <c r="A134" s="17" t="str">
        <f>HLOOKUP(INDICE!$F$2,Nombres!$C$3:$D$636,47,FALSE)</f>
        <v>Income tax</v>
      </c>
      <c r="B134" s="77">
        <v>-286.48821838854855</v>
      </c>
      <c r="C134" s="77">
        <v>-240.51523992584745</v>
      </c>
      <c r="D134" s="77">
        <v>-184.57985208229184</v>
      </c>
      <c r="E134" s="78">
        <v>-236.51960305212884</v>
      </c>
      <c r="F134" s="77">
        <v>-271.5022407724291</v>
      </c>
      <c r="G134" s="77">
        <v>0</v>
      </c>
      <c r="H134" s="77">
        <v>0</v>
      </c>
      <c r="I134" s="77">
        <v>0</v>
      </c>
    </row>
    <row r="135" spans="1:9">
      <c r="A135" s="127" t="str">
        <f>HLOOKUP(INDICE!$F$2,Nombres!$C$3:$D$636,48,FALSE)</f>
        <v>Profit/(loss) for the year</v>
      </c>
      <c r="B135" s="25">
        <f t="shared" ref="B135:I135" si="22">+B133+B134</f>
        <v>695.01250726555895</v>
      </c>
      <c r="C135" s="25">
        <f t="shared" si="22"/>
        <v>619.91325845440417</v>
      </c>
      <c r="D135" s="25">
        <f t="shared" si="22"/>
        <v>606.89950224994584</v>
      </c>
      <c r="E135" s="73">
        <f t="shared" si="22"/>
        <v>592.43542569030205</v>
      </c>
      <c r="F135" s="74">
        <f t="shared" si="22"/>
        <v>692.72100183461396</v>
      </c>
      <c r="G135" s="74">
        <f t="shared" si="22"/>
        <v>0</v>
      </c>
      <c r="H135" s="74">
        <f t="shared" si="22"/>
        <v>0</v>
      </c>
      <c r="I135" s="74">
        <f t="shared" si="22"/>
        <v>0</v>
      </c>
    </row>
    <row r="136" spans="1:9">
      <c r="A136" s="125" t="str">
        <f>HLOOKUP(INDICE!$F$2,Nombres!$C$3:$D$636,49,FALSE)</f>
        <v>Non-controlling interests</v>
      </c>
      <c r="B136" s="77">
        <v>-371.22562759009082</v>
      </c>
      <c r="C136" s="77">
        <v>-322.76235480578958</v>
      </c>
      <c r="D136" s="77">
        <v>-318.261807982606</v>
      </c>
      <c r="E136" s="78">
        <v>-327.3660368389427</v>
      </c>
      <c r="F136" s="77">
        <v>-371.37637613594137</v>
      </c>
      <c r="G136" s="77">
        <v>0</v>
      </c>
      <c r="H136" s="77">
        <v>0</v>
      </c>
      <c r="I136" s="77">
        <v>0</v>
      </c>
    </row>
    <row r="137" spans="1:9">
      <c r="A137" s="128" t="str">
        <f>HLOOKUP(INDICE!$F$2,Nombres!$C$3:$D$636,50,FALSE)</f>
        <v>Net attributable profit</v>
      </c>
      <c r="B137" s="19">
        <f t="shared" ref="B137:I137" si="23">+B135+B136</f>
        <v>323.78687967546813</v>
      </c>
      <c r="C137" s="19">
        <f t="shared" si="23"/>
        <v>297.15090364861459</v>
      </c>
      <c r="D137" s="19">
        <f t="shared" si="23"/>
        <v>288.63769426733984</v>
      </c>
      <c r="E137" s="19">
        <f t="shared" si="23"/>
        <v>265.06938885135935</v>
      </c>
      <c r="F137" s="96">
        <f t="shared" si="23"/>
        <v>321.34462569867259</v>
      </c>
      <c r="G137" s="96">
        <f t="shared" si="23"/>
        <v>0</v>
      </c>
      <c r="H137" s="96">
        <f t="shared" si="23"/>
        <v>0</v>
      </c>
      <c r="I137" s="96">
        <f t="shared" si="23"/>
        <v>0</v>
      </c>
    </row>
    <row r="138" spans="1:9">
      <c r="A138" s="129"/>
      <c r="B138" s="101">
        <v>0</v>
      </c>
      <c r="C138" s="101">
        <v>0</v>
      </c>
      <c r="D138" s="101">
        <v>0</v>
      </c>
      <c r="E138" s="101">
        <v>0</v>
      </c>
      <c r="F138" s="101">
        <v>0</v>
      </c>
      <c r="G138" s="101">
        <v>0</v>
      </c>
      <c r="H138" s="101">
        <v>0</v>
      </c>
      <c r="I138" s="101">
        <v>0</v>
      </c>
    </row>
    <row r="139" spans="1:9">
      <c r="A139" s="127"/>
      <c r="B139" s="25"/>
      <c r="C139" s="25"/>
      <c r="D139" s="25"/>
      <c r="E139" s="25"/>
      <c r="F139" s="74"/>
      <c r="G139" s="74"/>
      <c r="H139" s="74"/>
      <c r="I139" s="74"/>
    </row>
    <row r="140" spans="1:9" ht="17">
      <c r="A140" s="119" t="str">
        <f>HLOOKUP(INDICE!$F$2,Nombres!$C$3:$D$636,51,FALSE)</f>
        <v>Balance sheets</v>
      </c>
      <c r="B140" s="66"/>
      <c r="C140" s="66"/>
      <c r="D140" s="66"/>
      <c r="E140" s="66"/>
      <c r="F140" s="106"/>
      <c r="G140" s="106"/>
      <c r="H140" s="106"/>
      <c r="I140" s="106"/>
    </row>
    <row r="141" spans="1:9">
      <c r="A141" s="120" t="str">
        <f>HLOOKUP(INDICE!$F$2,Nombres!$C$3:$D$636,79,FALSE)</f>
        <v>(Million Peruvian soles)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25" t="str">
        <f>HLOOKUP(INDICE!$F$2,Nombres!$C$3:$D$636,52,FALSE)</f>
        <v>Cash, cash balances at central banks and other demand deposits</v>
      </c>
      <c r="B143" s="77">
        <v>10006.464132284767</v>
      </c>
      <c r="C143" s="77">
        <v>7302.1732865039994</v>
      </c>
      <c r="D143" s="77">
        <v>7991.6670487618485</v>
      </c>
      <c r="E143" s="78">
        <v>9725.3500380501064</v>
      </c>
      <c r="F143" s="77">
        <v>9747.2244939902503</v>
      </c>
      <c r="G143" s="77">
        <v>0</v>
      </c>
      <c r="H143" s="77">
        <v>0</v>
      </c>
      <c r="I143" s="77">
        <v>0</v>
      </c>
    </row>
    <row r="144" spans="1:9">
      <c r="A144" s="125" t="str">
        <f>HLOOKUP(INDICE!$F$2,Nombres!$C$3:$D$636,53,FALSE)</f>
        <v xml:space="preserve">Financial assets designated at fair value </v>
      </c>
      <c r="B144" s="86">
        <v>16917.274209914336</v>
      </c>
      <c r="C144" s="86">
        <v>16961.335588824</v>
      </c>
      <c r="D144" s="86">
        <v>16475.752128612134</v>
      </c>
      <c r="E144" s="97">
        <v>15826.442115111953</v>
      </c>
      <c r="F144" s="77">
        <v>15597.468835984486</v>
      </c>
      <c r="G144" s="77">
        <v>0</v>
      </c>
      <c r="H144" s="77">
        <v>0</v>
      </c>
      <c r="I144" s="77">
        <v>0</v>
      </c>
    </row>
    <row r="145" spans="1:9">
      <c r="A145" s="17" t="str">
        <f>HLOOKUP(INDICE!$F$2,Nombres!$C$3:$D$636,54,FALSE)</f>
        <v>Financial assets at amortized cost</v>
      </c>
      <c r="B145" s="77">
        <v>76295.605872150642</v>
      </c>
      <c r="C145" s="77">
        <v>80963.829951468331</v>
      </c>
      <c r="D145" s="77">
        <v>82768.938783719801</v>
      </c>
      <c r="E145" s="78">
        <v>83384.191206367002</v>
      </c>
      <c r="F145" s="77">
        <v>89242.122867911094</v>
      </c>
      <c r="G145" s="77">
        <v>0</v>
      </c>
      <c r="H145" s="77">
        <v>0</v>
      </c>
      <c r="I145" s="77">
        <v>0</v>
      </c>
    </row>
    <row r="146" spans="1:9">
      <c r="A146" s="125" t="str">
        <f>HLOOKUP(INDICE!$F$2,Nombres!$C$3:$D$636,55,FALSE)</f>
        <v xml:space="preserve">    of which loans and advances to customers</v>
      </c>
      <c r="B146" s="77">
        <v>73869.137690602351</v>
      </c>
      <c r="C146" s="77">
        <v>75133.528621332342</v>
      </c>
      <c r="D146" s="77">
        <v>76113.542614813254</v>
      </c>
      <c r="E146" s="78">
        <v>80072.621849908086</v>
      </c>
      <c r="F146" s="77">
        <v>81933.420885918429</v>
      </c>
      <c r="G146" s="77">
        <v>0</v>
      </c>
      <c r="H146" s="77">
        <v>0</v>
      </c>
      <c r="I146" s="77">
        <v>0</v>
      </c>
    </row>
    <row r="147" spans="1:9" hidden="1">
      <c r="A147" s="125"/>
      <c r="B147" s="77"/>
      <c r="C147" s="77"/>
      <c r="D147" s="77"/>
      <c r="E147" s="78"/>
      <c r="F147" s="77"/>
      <c r="G147" s="77"/>
      <c r="H147" s="77"/>
      <c r="I147" s="77"/>
    </row>
    <row r="148" spans="1:9">
      <c r="A148" s="17" t="str">
        <f>HLOOKUP(INDICE!$F$2,Nombres!$C$3:$D$636,56,FALSE)</f>
        <v>Tangible assets</v>
      </c>
      <c r="B148" s="77">
        <v>1351.2691512199458</v>
      </c>
      <c r="C148" s="77">
        <v>1320.6240929520009</v>
      </c>
      <c r="D148" s="77">
        <v>1314.0746526592868</v>
      </c>
      <c r="E148" s="78">
        <v>1363.4155024019276</v>
      </c>
      <c r="F148" s="77">
        <v>1337.4075059986719</v>
      </c>
      <c r="G148" s="77">
        <v>0</v>
      </c>
      <c r="H148" s="77">
        <v>0</v>
      </c>
      <c r="I148" s="77">
        <v>0</v>
      </c>
    </row>
    <row r="149" spans="1:9">
      <c r="A149" s="125" t="str">
        <f>HLOOKUP(INDICE!$F$2,Nombres!$C$3:$D$636,57,FALSE)</f>
        <v>Other assets</v>
      </c>
      <c r="B149" s="86">
        <f t="shared" ref="B149:I149" si="25">+B150-B148-B145-B144-B143</f>
        <v>2740.2417559585519</v>
      </c>
      <c r="C149" s="86">
        <f t="shared" si="25"/>
        <v>2179.5637498283177</v>
      </c>
      <c r="D149" s="86">
        <f t="shared" si="25"/>
        <v>2170.3163783290565</v>
      </c>
      <c r="E149" s="97">
        <f t="shared" si="25"/>
        <v>2091.929803899453</v>
      </c>
      <c r="F149" s="77">
        <f t="shared" si="25"/>
        <v>2235.6729419962903</v>
      </c>
      <c r="G149" s="77">
        <f t="shared" si="25"/>
        <v>0</v>
      </c>
      <c r="H149" s="77">
        <f t="shared" si="25"/>
        <v>0</v>
      </c>
      <c r="I149" s="77">
        <f t="shared" si="25"/>
        <v>0</v>
      </c>
    </row>
    <row r="150" spans="1:9">
      <c r="A150" s="128" t="str">
        <f>HLOOKUP(INDICE!$F$2,Nombres!$C$3:$D$636,58,FALSE)</f>
        <v>Total assets / Liabilities and equity</v>
      </c>
      <c r="B150" s="19">
        <v>107310.85512152825</v>
      </c>
      <c r="C150" s="19">
        <v>108727.52666957665</v>
      </c>
      <c r="D150" s="19">
        <v>110720.74899208212</v>
      </c>
      <c r="E150" s="19">
        <v>112391.32866583044</v>
      </c>
      <c r="F150" s="96">
        <v>118159.8966458808</v>
      </c>
      <c r="G150" s="96">
        <v>0</v>
      </c>
      <c r="H150" s="96">
        <v>0</v>
      </c>
      <c r="I150" s="96">
        <v>0</v>
      </c>
    </row>
    <row r="151" spans="1:9">
      <c r="A151" s="125" t="str">
        <f>HLOOKUP(INDICE!$F$2,Nombres!$C$3:$D$636,59,FALSE)</f>
        <v>Financial liabilities held for trading and designated at fair value through profit or loss</v>
      </c>
      <c r="B151" s="86">
        <v>1355.2123320819449</v>
      </c>
      <c r="C151" s="86">
        <v>1591.364271168</v>
      </c>
      <c r="D151" s="86">
        <v>1516.2874291294836</v>
      </c>
      <c r="E151" s="97">
        <v>950.00239208955588</v>
      </c>
      <c r="F151" s="77">
        <v>662.86179799934098</v>
      </c>
      <c r="G151" s="77">
        <v>0</v>
      </c>
      <c r="H151" s="77">
        <v>0</v>
      </c>
      <c r="I151" s="77">
        <v>0</v>
      </c>
    </row>
    <row r="152" spans="1:9">
      <c r="A152" s="125" t="str">
        <f>HLOOKUP(INDICE!$F$2,Nombres!$C$3:$D$636,60,FALSE)</f>
        <v>Deposits from central banks and credit institutions</v>
      </c>
      <c r="B152" s="86">
        <v>7234.9023670530232</v>
      </c>
      <c r="C152" s="86">
        <v>9703.546345488001</v>
      </c>
      <c r="D152" s="86">
        <v>7123.6777431489772</v>
      </c>
      <c r="E152" s="97">
        <v>6202.5075855695759</v>
      </c>
      <c r="F152" s="77">
        <v>5524.8484539945057</v>
      </c>
      <c r="G152" s="77">
        <v>0</v>
      </c>
      <c r="H152" s="77">
        <v>0</v>
      </c>
      <c r="I152" s="77">
        <v>0</v>
      </c>
    </row>
    <row r="153" spans="1:9">
      <c r="A153" s="125" t="str">
        <f>HLOOKUP(INDICE!$F$2,Nombres!$C$3:$D$636,61,FALSE)</f>
        <v>Deposits from customers</v>
      </c>
      <c r="B153" s="86">
        <v>76690.434159253142</v>
      </c>
      <c r="C153" s="86">
        <v>75964.888634854695</v>
      </c>
      <c r="D153" s="86">
        <v>78794.890973845817</v>
      </c>
      <c r="E153" s="97">
        <v>82217.593022822839</v>
      </c>
      <c r="F153" s="77">
        <v>87251.059921913111</v>
      </c>
      <c r="G153" s="77">
        <v>0</v>
      </c>
      <c r="H153" s="77">
        <v>0</v>
      </c>
      <c r="I153" s="77">
        <v>0</v>
      </c>
    </row>
    <row r="154" spans="1:9">
      <c r="A154" s="17" t="str">
        <f>HLOOKUP(INDICE!$F$2,Nombres!$C$3:$D$636,62,FALSE)</f>
        <v>Debt certificates</v>
      </c>
      <c r="B154" s="77">
        <v>3648.4532912101754</v>
      </c>
      <c r="C154" s="77">
        <v>3231.1699454466461</v>
      </c>
      <c r="D154" s="77">
        <v>3530.0486934118208</v>
      </c>
      <c r="E154" s="78">
        <v>3490.4364040554115</v>
      </c>
      <c r="F154" s="77">
        <v>3457.8694473854903</v>
      </c>
      <c r="G154" s="77">
        <v>0</v>
      </c>
      <c r="H154" s="77">
        <v>0</v>
      </c>
      <c r="I154" s="77">
        <v>0</v>
      </c>
    </row>
    <row r="155" spans="1:9" hidden="1">
      <c r="A155" s="17"/>
      <c r="B155" s="77"/>
      <c r="C155" s="77"/>
      <c r="D155" s="77"/>
      <c r="E155" s="78"/>
      <c r="F155" s="77"/>
      <c r="G155" s="77"/>
      <c r="H155" s="77"/>
      <c r="I155" s="77"/>
    </row>
    <row r="156" spans="1:9">
      <c r="A156" s="125" t="str">
        <f>HLOOKUP(INDICE!$F$2,Nombres!$C$3:$D$636,63,FALSE)</f>
        <v>Other liabilities</v>
      </c>
      <c r="B156" s="86">
        <f t="shared" ref="B156:I156" si="26">+B150-B151-B152-B153-B154-B157</f>
        <v>8143.4834458660935</v>
      </c>
      <c r="C156" s="86">
        <f t="shared" si="26"/>
        <v>8012.5043405081778</v>
      </c>
      <c r="D156" s="86">
        <f t="shared" si="26"/>
        <v>9834.8687284218286</v>
      </c>
      <c r="E156" s="97">
        <f t="shared" si="26"/>
        <v>9101.611383136953</v>
      </c>
      <c r="F156" s="77">
        <f t="shared" si="26"/>
        <v>10980.739778491878</v>
      </c>
      <c r="G156" s="77">
        <f t="shared" si="26"/>
        <v>0</v>
      </c>
      <c r="H156" s="77">
        <f t="shared" si="26"/>
        <v>0</v>
      </c>
      <c r="I156" s="77">
        <f t="shared" si="26"/>
        <v>0</v>
      </c>
    </row>
    <row r="157" spans="1:9">
      <c r="A157" s="17" t="str">
        <f>HLOOKUP(INDICE!$F$2,Nombres!$C$3:$D$636,282,FALSE)</f>
        <v>Allocated regulatory capital</v>
      </c>
      <c r="B157" s="86">
        <v>10238.369526063858</v>
      </c>
      <c r="C157" s="86">
        <v>10224.053132111119</v>
      </c>
      <c r="D157" s="86">
        <v>9920.9754241241972</v>
      </c>
      <c r="E157" s="86">
        <v>10429.177878156102</v>
      </c>
      <c r="F157" s="86">
        <v>10282.51724609647</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119" t="str">
        <f>HLOOKUP(INDICE!$F$2,Nombres!$C$3:$D$636,65,FALSE)</f>
        <v>Relevant business indicators</v>
      </c>
      <c r="B160" s="66"/>
      <c r="C160" s="66"/>
      <c r="D160" s="66"/>
      <c r="E160" s="66"/>
      <c r="F160" s="106"/>
      <c r="G160" s="106"/>
      <c r="H160" s="106"/>
      <c r="I160" s="106"/>
    </row>
    <row r="161" spans="1:15">
      <c r="A161" s="120" t="str">
        <f>HLOOKUP(INDICE!$F$2,Nombres!$C$3:$D$636,79,FALSE)</f>
        <v>(Million Peruvian soles)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25" t="str">
        <f>HLOOKUP(INDICE!$F$2,Nombres!$C$3:$D$636,66,FALSE)</f>
        <v>Loans and advances to customers (gross) (*)</v>
      </c>
      <c r="B163" s="77">
        <v>77557.103389262775</v>
      </c>
      <c r="C163" s="77">
        <v>78637.13855377234</v>
      </c>
      <c r="D163" s="77">
        <v>79679.202717624736</v>
      </c>
      <c r="E163" s="78">
        <v>81294.756909450225</v>
      </c>
      <c r="F163" s="77">
        <v>82947.3027339174</v>
      </c>
      <c r="G163" s="77">
        <v>0</v>
      </c>
      <c r="H163" s="77">
        <v>0</v>
      </c>
      <c r="I163" s="77">
        <v>0</v>
      </c>
    </row>
    <row r="164" spans="1:15" ht="15.75" customHeight="1">
      <c r="A164" s="125" t="str">
        <f>HLOOKUP(INDICE!$F$2,Nombres!$C$3:$D$636,67,FALSE)</f>
        <v>Customer deposits under management (*)</v>
      </c>
      <c r="B164" s="77">
        <v>76690.434159253142</v>
      </c>
      <c r="C164" s="77">
        <v>75964.888634854695</v>
      </c>
      <c r="D164" s="77">
        <v>78794.890973845831</v>
      </c>
      <c r="E164" s="78">
        <v>82217.593022822824</v>
      </c>
      <c r="F164" s="77">
        <v>87251.059921913082</v>
      </c>
      <c r="G164" s="77">
        <v>0</v>
      </c>
      <c r="H164" s="77">
        <v>0</v>
      </c>
      <c r="I164" s="77">
        <v>0</v>
      </c>
    </row>
    <row r="165" spans="1:15" ht="15.75" customHeight="1">
      <c r="A165" s="17" t="str">
        <f>HLOOKUP(INDICE!$F$2,Nombres!$C$3:$D$636,68,FALSE)</f>
        <v>Investment funds and managed portfolios</v>
      </c>
      <c r="B165" s="77">
        <v>11166.512476830541</v>
      </c>
      <c r="C165" s="77">
        <v>11889.901560150034</v>
      </c>
      <c r="D165" s="77">
        <v>12346.955380225832</v>
      </c>
      <c r="E165" s="78">
        <v>12634.856900570416</v>
      </c>
      <c r="F165" s="77">
        <v>13227.972421080607</v>
      </c>
      <c r="G165" s="77">
        <v>0</v>
      </c>
      <c r="H165" s="77">
        <v>0</v>
      </c>
      <c r="I165" s="77">
        <v>0</v>
      </c>
    </row>
    <row r="166" spans="1:15" ht="15.75" customHeight="1">
      <c r="A166" s="125" t="str">
        <f>HLOOKUP(INDICE!$F$2,Nombres!$C$3:$D$636,69,FALSE)</f>
        <v>Pension funds</v>
      </c>
      <c r="B166" s="77">
        <v>0</v>
      </c>
      <c r="C166" s="77">
        <v>0</v>
      </c>
      <c r="D166" s="77">
        <v>0</v>
      </c>
      <c r="E166" s="78">
        <v>0</v>
      </c>
      <c r="F166" s="77">
        <v>0</v>
      </c>
      <c r="G166" s="77">
        <v>0</v>
      </c>
      <c r="H166" s="77">
        <v>0</v>
      </c>
      <c r="I166" s="77">
        <v>0</v>
      </c>
    </row>
    <row r="167" spans="1:15">
      <c r="A167" s="125" t="str">
        <f>HLOOKUP(INDICE!$F$2,Nombres!$C$3:$D$636,70,FALSE)</f>
        <v>Other off balance-sheet funds</v>
      </c>
      <c r="B167" s="77">
        <v>0</v>
      </c>
      <c r="C167" s="77">
        <v>0</v>
      </c>
      <c r="D167" s="77">
        <v>0</v>
      </c>
      <c r="E167" s="78">
        <v>0</v>
      </c>
      <c r="F167" s="77">
        <v>0</v>
      </c>
      <c r="G167" s="77">
        <v>0</v>
      </c>
      <c r="H167" s="77">
        <v>0</v>
      </c>
      <c r="I167" s="77">
        <v>0</v>
      </c>
    </row>
    <row r="168" spans="1:15">
      <c r="A168" s="129" t="str">
        <f>HLOOKUP(INDICE!$F$2,Nombres!$C$3:$D$636,71,FALSE)</f>
        <v xml:space="preserve">(*) Excluding repos. </v>
      </c>
      <c r="B168" s="86"/>
      <c r="C168" s="86"/>
      <c r="D168" s="86"/>
      <c r="E168" s="86"/>
      <c r="F168" s="77"/>
      <c r="G168" s="77"/>
      <c r="H168" s="77"/>
      <c r="I168" s="77"/>
    </row>
    <row r="169" spans="1:15">
      <c r="A169" s="129">
        <f>HLOOKUP(INDICE!$F$2,Nombres!$C$3:$D$636,72,FALSE)</f>
        <v>0</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sheetData>
  <mergeCells count="6">
    <mergeCell ref="B6:E6"/>
    <mergeCell ref="F6:I6"/>
    <mergeCell ref="B62:E62"/>
    <mergeCell ref="F62:I62"/>
    <mergeCell ref="B118:E118"/>
    <mergeCell ref="F118:I118"/>
  </mergeCells>
  <conditionalFormatting sqref="B26:I26">
    <cfRule type="cellIs" dxfId="23" priority="3" operator="notBetween">
      <formula>0.5</formula>
      <formula>-0.5</formula>
    </cfRule>
  </conditionalFormatting>
  <conditionalFormatting sqref="B82:I82">
    <cfRule type="cellIs" dxfId="22" priority="2" operator="notBetween">
      <formula>0.5</formula>
      <formula>-0.5</formula>
    </cfRule>
  </conditionalFormatting>
  <conditionalFormatting sqref="B138:I138">
    <cfRule type="cellIs" dxfId="21" priority="1" operator="notBetween">
      <formula>0.5</formula>
      <formula>-0.5</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N1000"/>
  <sheetViews>
    <sheetView showGridLines="0" workbookViewId="0"/>
  </sheetViews>
  <sheetFormatPr baseColWidth="10" defaultColWidth="11.453125" defaultRowHeight="14.5"/>
  <cols>
    <col min="1" max="1" width="53.26953125" style="63" customWidth="1"/>
    <col min="2" max="6" width="11.453125" style="63"/>
    <col min="7" max="9" width="0" style="63" hidden="1" customWidth="1"/>
    <col min="10" max="16384" width="11.453125" style="63"/>
  </cols>
  <sheetData>
    <row r="1" spans="1:14" ht="17">
      <c r="A1" s="118" t="str">
        <f>HLOOKUP(INDICE!$F$2,Nombres!$C$3:$D$636,263,FALSE)</f>
        <v>Rest of Business</v>
      </c>
      <c r="B1" s="62"/>
      <c r="C1" s="62"/>
      <c r="D1" s="62"/>
      <c r="E1" s="62"/>
      <c r="F1" s="62"/>
      <c r="G1" s="62"/>
      <c r="H1" s="62"/>
      <c r="I1" s="62"/>
    </row>
    <row r="2" spans="1:14" ht="19.5">
      <c r="A2" s="64"/>
      <c r="B2" s="62"/>
      <c r="C2" s="62"/>
      <c r="D2" s="62"/>
      <c r="E2" s="62"/>
      <c r="F2" s="62"/>
      <c r="G2" s="62"/>
      <c r="H2" s="62"/>
      <c r="I2" s="62"/>
    </row>
    <row r="3" spans="1:14" ht="17">
      <c r="A3" s="65" t="str">
        <f>HLOOKUP(INDICE!$F$2,Nombres!$C$3:$D$636,31,FALSE)</f>
        <v xml:space="preserve">Income statement  </v>
      </c>
      <c r="B3" s="66"/>
      <c r="C3" s="66"/>
      <c r="D3" s="66"/>
      <c r="E3" s="66"/>
      <c r="F3" s="66"/>
      <c r="G3" s="66"/>
      <c r="H3" s="66"/>
      <c r="I3" s="66"/>
    </row>
    <row r="4" spans="1:14">
      <c r="A4" s="120" t="str">
        <f>HLOOKUP(INDICE!$F$2,Nombres!$C$3:$D$636,32,FALSE)</f>
        <v>(Million euros)</v>
      </c>
      <c r="B4" s="62"/>
      <c r="C4" s="68"/>
      <c r="D4" s="68"/>
      <c r="E4" s="68"/>
      <c r="F4" s="62"/>
      <c r="G4" s="62"/>
      <c r="H4" s="62"/>
      <c r="I4" s="62"/>
    </row>
    <row r="5" spans="1:14">
      <c r="A5" s="69"/>
      <c r="B5" s="62"/>
      <c r="C5" s="68"/>
      <c r="D5" s="68"/>
      <c r="E5" s="68"/>
      <c r="F5" s="62"/>
      <c r="G5" s="62"/>
      <c r="H5" s="62"/>
      <c r="I5" s="62"/>
    </row>
    <row r="6" spans="1:14">
      <c r="A6" s="70"/>
      <c r="B6" s="301">
        <f>+España!B6</f>
        <v>2025</v>
      </c>
      <c r="C6" s="301"/>
      <c r="D6" s="301"/>
      <c r="E6" s="302"/>
      <c r="F6" s="301">
        <f>+España!F6</f>
        <v>2026</v>
      </c>
      <c r="G6" s="301"/>
      <c r="H6" s="301"/>
      <c r="I6" s="301"/>
    </row>
    <row r="7" spans="1:14">
      <c r="A7" s="70"/>
      <c r="B7" s="121" t="str">
        <f>+España!B7</f>
        <v>1Q</v>
      </c>
      <c r="C7" s="121" t="str">
        <f>+España!C7</f>
        <v>2Q</v>
      </c>
      <c r="D7" s="121" t="str">
        <f>+España!D7</f>
        <v>3Q</v>
      </c>
      <c r="E7" s="122" t="str">
        <f>+España!E7</f>
        <v>4Q</v>
      </c>
      <c r="F7" s="121" t="str">
        <f>+España!F7</f>
        <v>1Q</v>
      </c>
      <c r="G7" s="121" t="str">
        <f>+España!G7</f>
        <v>2Q</v>
      </c>
      <c r="H7" s="121" t="str">
        <f>+España!H7</f>
        <v>3Q</v>
      </c>
      <c r="I7" s="121" t="str">
        <f>+España!I7</f>
        <v>4Q</v>
      </c>
    </row>
    <row r="8" spans="1:14">
      <c r="A8" s="25" t="str">
        <f>HLOOKUP(INDICE!$F$2,Nombres!$C$3:$D$636,33,FALSE)</f>
        <v>Net interest income</v>
      </c>
      <c r="B8" s="25">
        <v>188.49360618783652</v>
      </c>
      <c r="C8" s="25">
        <v>180.30052444082915</v>
      </c>
      <c r="D8" s="25">
        <v>215.33664340692931</v>
      </c>
      <c r="E8" s="73">
        <v>228.65548612513459</v>
      </c>
      <c r="F8" s="74">
        <v>232.26635481665039</v>
      </c>
      <c r="G8" s="123">
        <v>0</v>
      </c>
      <c r="H8" s="123">
        <v>0</v>
      </c>
      <c r="I8" s="123">
        <v>0</v>
      </c>
      <c r="J8" s="124"/>
      <c r="K8" s="124"/>
      <c r="L8" s="124"/>
      <c r="M8" s="124"/>
      <c r="N8" s="124"/>
    </row>
    <row r="9" spans="1:14">
      <c r="A9" s="125" t="str">
        <f>HLOOKUP(INDICE!$F$2,Nombres!$C$3:$D$636,34,FALSE)</f>
        <v>Net fees and commissions</v>
      </c>
      <c r="B9" s="77">
        <v>136.77521216560001</v>
      </c>
      <c r="C9" s="77">
        <v>140.41788725424999</v>
      </c>
      <c r="D9" s="77">
        <v>150.54414760180001</v>
      </c>
      <c r="E9" s="78">
        <v>162.96441569400005</v>
      </c>
      <c r="F9" s="77">
        <v>200.54967535201999</v>
      </c>
      <c r="G9" s="77">
        <v>0</v>
      </c>
      <c r="H9" s="77">
        <v>0</v>
      </c>
      <c r="I9" s="77">
        <v>0</v>
      </c>
    </row>
    <row r="10" spans="1:14">
      <c r="A10" s="125" t="str">
        <f>HLOOKUP(INDICE!$F$2,Nombres!$C$3:$D$636,35,FALSE)</f>
        <v>Net trading income</v>
      </c>
      <c r="B10" s="77">
        <v>108.76627174702</v>
      </c>
      <c r="C10" s="77">
        <v>70.759263060799981</v>
      </c>
      <c r="D10" s="77">
        <v>93.889145131529034</v>
      </c>
      <c r="E10" s="78">
        <v>115.28579106382001</v>
      </c>
      <c r="F10" s="77">
        <v>161.40197909100004</v>
      </c>
      <c r="G10" s="77">
        <v>0</v>
      </c>
      <c r="H10" s="77">
        <v>0</v>
      </c>
      <c r="I10" s="77">
        <v>0</v>
      </c>
    </row>
    <row r="11" spans="1:14">
      <c r="A11" s="125" t="str">
        <f>HLOOKUP(INDICE!$F$2,Nombres!$C$3:$D$636,36,FALSE)</f>
        <v>Other operating income and expenses</v>
      </c>
      <c r="B11" s="77">
        <v>1.0340283599999995</v>
      </c>
      <c r="C11" s="77">
        <v>0.36243551000000118</v>
      </c>
      <c r="D11" s="77">
        <v>2.4249024499999994</v>
      </c>
      <c r="E11" s="78">
        <v>2.6895594699999998</v>
      </c>
      <c r="F11" s="77">
        <v>0.40480022700000018</v>
      </c>
      <c r="G11" s="77">
        <v>0</v>
      </c>
      <c r="H11" s="77">
        <v>0</v>
      </c>
      <c r="I11" s="77">
        <v>0</v>
      </c>
    </row>
    <row r="12" spans="1:14">
      <c r="A12" s="25" t="str">
        <f>HLOOKUP(INDICE!$F$2,Nombres!$C$3:$D$636,37,FALSE)</f>
        <v>Gross income</v>
      </c>
      <c r="B12" s="25">
        <f t="shared" ref="B12:I12" si="0">+SUM(B8:B11)</f>
        <v>435.06911846045648</v>
      </c>
      <c r="C12" s="25">
        <f t="shared" si="0"/>
        <v>391.8401102658791</v>
      </c>
      <c r="D12" s="25">
        <f t="shared" si="0"/>
        <v>462.19483859025831</v>
      </c>
      <c r="E12" s="73">
        <f t="shared" si="0"/>
        <v>509.59525235295462</v>
      </c>
      <c r="F12" s="74">
        <f t="shared" si="0"/>
        <v>594.62280948667046</v>
      </c>
      <c r="G12" s="74">
        <f t="shared" si="0"/>
        <v>0</v>
      </c>
      <c r="H12" s="74">
        <f t="shared" si="0"/>
        <v>0</v>
      </c>
      <c r="I12" s="74">
        <f t="shared" si="0"/>
        <v>0</v>
      </c>
    </row>
    <row r="13" spans="1:14">
      <c r="A13" s="125" t="str">
        <f>HLOOKUP(INDICE!$F$2,Nombres!$C$3:$D$636,38,FALSE)</f>
        <v>Operating expenses</v>
      </c>
      <c r="B13" s="77">
        <v>-189.45328609790198</v>
      </c>
      <c r="C13" s="77">
        <v>-189.10588513874703</v>
      </c>
      <c r="D13" s="77">
        <v>-214.26514019466299</v>
      </c>
      <c r="E13" s="78">
        <v>-288.95241716041699</v>
      </c>
      <c r="F13" s="77">
        <v>-239.16205829084404</v>
      </c>
      <c r="G13" s="77">
        <v>0</v>
      </c>
      <c r="H13" s="77">
        <v>0</v>
      </c>
      <c r="I13" s="77">
        <v>0</v>
      </c>
    </row>
    <row r="14" spans="1:14">
      <c r="A14" s="125" t="str">
        <f>HLOOKUP(INDICE!$F$2,Nombres!$C$3:$D$636,39,FALSE)</f>
        <v xml:space="preserve">  Administration expenses</v>
      </c>
      <c r="B14" s="77">
        <v>-180.86442733790199</v>
      </c>
      <c r="C14" s="77">
        <v>-179.86539820874702</v>
      </c>
      <c r="D14" s="77">
        <v>-204.72347836466298</v>
      </c>
      <c r="E14" s="78">
        <v>-277.70129002041699</v>
      </c>
      <c r="F14" s="77">
        <v>-228.60720321084403</v>
      </c>
      <c r="G14" s="77">
        <v>0</v>
      </c>
      <c r="H14" s="77">
        <v>0</v>
      </c>
      <c r="I14" s="77">
        <v>0</v>
      </c>
    </row>
    <row r="15" spans="1:14">
      <c r="A15" s="126" t="str">
        <f>HLOOKUP(INDICE!$F$2,Nombres!$C$3:$D$636,40,FALSE)</f>
        <v xml:space="preserve">  Personnel expenses</v>
      </c>
      <c r="B15" s="77">
        <v>-100.84272713999998</v>
      </c>
      <c r="C15" s="77">
        <v>-99.589844540000001</v>
      </c>
      <c r="D15" s="77">
        <v>-112.02585264999999</v>
      </c>
      <c r="E15" s="78">
        <v>-165.7033577</v>
      </c>
      <c r="F15" s="77">
        <v>-120.17501854000001</v>
      </c>
      <c r="G15" s="77">
        <v>0</v>
      </c>
      <c r="H15" s="77">
        <v>0</v>
      </c>
      <c r="I15" s="77">
        <v>0</v>
      </c>
    </row>
    <row r="16" spans="1:14">
      <c r="A16" s="126" t="str">
        <f>HLOOKUP(INDICE!$F$2,Nombres!$C$3:$D$636,41,FALSE)</f>
        <v xml:space="preserve">  General and administrative expenses</v>
      </c>
      <c r="B16" s="77">
        <v>-80.021700197901993</v>
      </c>
      <c r="C16" s="77">
        <v>-80.275553668747037</v>
      </c>
      <c r="D16" s="77">
        <v>-92.697625714662991</v>
      </c>
      <c r="E16" s="78">
        <v>-111.99793232041698</v>
      </c>
      <c r="F16" s="77">
        <v>-108.43218467084402</v>
      </c>
      <c r="G16" s="77">
        <v>0</v>
      </c>
      <c r="H16" s="77">
        <v>0</v>
      </c>
      <c r="I16" s="77">
        <v>0</v>
      </c>
    </row>
    <row r="17" spans="1:9">
      <c r="A17" s="125" t="str">
        <f>HLOOKUP(INDICE!$F$2,Nombres!$C$3:$D$636,42,FALSE)</f>
        <v xml:space="preserve">  Depreciation</v>
      </c>
      <c r="B17" s="77">
        <v>-8.588858759999999</v>
      </c>
      <c r="C17" s="77">
        <v>-9.2404869300000012</v>
      </c>
      <c r="D17" s="77">
        <v>-9.5416618299999989</v>
      </c>
      <c r="E17" s="78">
        <v>-11.251127140000003</v>
      </c>
      <c r="F17" s="77">
        <v>-10.554855079999999</v>
      </c>
      <c r="G17" s="77">
        <v>0</v>
      </c>
      <c r="H17" s="77">
        <v>0</v>
      </c>
      <c r="I17" s="77">
        <v>0</v>
      </c>
    </row>
    <row r="18" spans="1:9">
      <c r="A18" s="25" t="str">
        <f>HLOOKUP(INDICE!$F$2,Nombres!$C$3:$D$636,43,FALSE)</f>
        <v>Operating income</v>
      </c>
      <c r="B18" s="25">
        <f t="shared" ref="B18:I18" si="1">+B12+B13</f>
        <v>245.6158323625545</v>
      </c>
      <c r="C18" s="25">
        <f t="shared" si="1"/>
        <v>202.73422512713208</v>
      </c>
      <c r="D18" s="25">
        <f t="shared" si="1"/>
        <v>247.92969839559532</v>
      </c>
      <c r="E18" s="73">
        <f t="shared" si="1"/>
        <v>220.64283519253763</v>
      </c>
      <c r="F18" s="74">
        <f t="shared" si="1"/>
        <v>355.46075119582645</v>
      </c>
      <c r="G18" s="74">
        <f t="shared" si="1"/>
        <v>0</v>
      </c>
      <c r="H18" s="74">
        <f t="shared" si="1"/>
        <v>0</v>
      </c>
      <c r="I18" s="74">
        <f t="shared" si="1"/>
        <v>0</v>
      </c>
    </row>
    <row r="19" spans="1:9">
      <c r="A19" s="125" t="str">
        <f>HLOOKUP(INDICE!$F$2,Nombres!$C$3:$D$636,44,FALSE)</f>
        <v>Impaiment on financial assets not measured at fair value through profit or loss</v>
      </c>
      <c r="B19" s="77">
        <v>-18.959645709999993</v>
      </c>
      <c r="C19" s="77">
        <v>-17.604884339999995</v>
      </c>
      <c r="D19" s="77">
        <v>-8.8372054800000051</v>
      </c>
      <c r="E19" s="78">
        <v>-37.471321199999998</v>
      </c>
      <c r="F19" s="77">
        <v>-50.968077539999996</v>
      </c>
      <c r="G19" s="77">
        <v>0</v>
      </c>
      <c r="H19" s="77">
        <v>0</v>
      </c>
      <c r="I19" s="77">
        <v>0</v>
      </c>
    </row>
    <row r="20" spans="1:9">
      <c r="A20" s="125" t="str">
        <f>HLOOKUP(INDICE!$F$2,Nombres!$C$3:$D$636,45,FALSE)</f>
        <v>Provisions or reversal of provisions and other results</v>
      </c>
      <c r="B20" s="77">
        <v>2.9970416158669977</v>
      </c>
      <c r="C20" s="77">
        <v>-4.9624697087000005</v>
      </c>
      <c r="D20" s="77">
        <v>-9.2745314919999977</v>
      </c>
      <c r="E20" s="78">
        <v>-10.379677915999997</v>
      </c>
      <c r="F20" s="77">
        <v>-4.3271446172770016</v>
      </c>
      <c r="G20" s="77">
        <v>0</v>
      </c>
      <c r="H20" s="77">
        <v>0</v>
      </c>
      <c r="I20" s="77">
        <v>0</v>
      </c>
    </row>
    <row r="21" spans="1:9">
      <c r="A21" s="127" t="str">
        <f>HLOOKUP(INDICE!$F$2,Nombres!$C$3:$D$636,46,FALSE)</f>
        <v>Profit/(loss) before tax</v>
      </c>
      <c r="B21" s="25">
        <f t="shared" ref="B21:I21" si="2">+B18+B19+B20</f>
        <v>229.65322826842151</v>
      </c>
      <c r="C21" s="25">
        <f t="shared" si="2"/>
        <v>180.16687107843208</v>
      </c>
      <c r="D21" s="25">
        <f t="shared" si="2"/>
        <v>229.81796142359534</v>
      </c>
      <c r="E21" s="73">
        <f t="shared" si="2"/>
        <v>172.79183607653763</v>
      </c>
      <c r="F21" s="74">
        <f t="shared" si="2"/>
        <v>300.16552903854949</v>
      </c>
      <c r="G21" s="74">
        <f t="shared" si="2"/>
        <v>0</v>
      </c>
      <c r="H21" s="74">
        <f t="shared" si="2"/>
        <v>0</v>
      </c>
      <c r="I21" s="74">
        <f t="shared" si="2"/>
        <v>0</v>
      </c>
    </row>
    <row r="22" spans="1:9">
      <c r="A22" s="17" t="str">
        <f>HLOOKUP(INDICE!$F$2,Nombres!$C$3:$D$636,47,FALSE)</f>
        <v>Income tax</v>
      </c>
      <c r="B22" s="77">
        <v>-49.537904241933283</v>
      </c>
      <c r="C22" s="77">
        <v>-46.480470789324194</v>
      </c>
      <c r="D22" s="77">
        <v>-46.850207998176828</v>
      </c>
      <c r="E22" s="78">
        <v>-17.979058518022352</v>
      </c>
      <c r="F22" s="77">
        <v>-64.44740655801013</v>
      </c>
      <c r="G22" s="77">
        <v>0</v>
      </c>
      <c r="H22" s="77">
        <v>0</v>
      </c>
      <c r="I22" s="77">
        <v>0</v>
      </c>
    </row>
    <row r="23" spans="1:9">
      <c r="A23" s="127" t="str">
        <f>HLOOKUP(INDICE!$F$2,Nombres!$C$3:$D$636,48,FALSE)</f>
        <v>Profit/(loss) for the year</v>
      </c>
      <c r="B23" s="25">
        <f t="shared" ref="B23:I23" si="3">+B21+B22</f>
        <v>180.11532402648822</v>
      </c>
      <c r="C23" s="25">
        <f t="shared" si="3"/>
        <v>133.68640028910789</v>
      </c>
      <c r="D23" s="25">
        <f t="shared" si="3"/>
        <v>182.96775342541849</v>
      </c>
      <c r="E23" s="73">
        <f t="shared" si="3"/>
        <v>154.81277755851528</v>
      </c>
      <c r="F23" s="74">
        <f t="shared" si="3"/>
        <v>235.71812248053936</v>
      </c>
      <c r="G23" s="74">
        <f t="shared" si="3"/>
        <v>0</v>
      </c>
      <c r="H23" s="74">
        <f t="shared" si="3"/>
        <v>0</v>
      </c>
      <c r="I23" s="74">
        <f t="shared" si="3"/>
        <v>0</v>
      </c>
    </row>
    <row r="24" spans="1:9">
      <c r="A24" s="125" t="str">
        <f>HLOOKUP(INDICE!$F$2,Nombres!$C$3:$D$636,49,FALSE)</f>
        <v>Non-controlling interests</v>
      </c>
      <c r="B24" s="77">
        <v>0</v>
      </c>
      <c r="C24" s="77">
        <v>0</v>
      </c>
      <c r="D24" s="77">
        <v>0</v>
      </c>
      <c r="E24" s="78">
        <v>0</v>
      </c>
      <c r="F24" s="77">
        <v>0</v>
      </c>
      <c r="G24" s="77">
        <v>0</v>
      </c>
      <c r="H24" s="77">
        <v>0</v>
      </c>
      <c r="I24" s="77">
        <v>0</v>
      </c>
    </row>
    <row r="25" spans="1:9">
      <c r="A25" s="128" t="str">
        <f>HLOOKUP(INDICE!$F$2,Nombres!$C$3:$D$636,50,FALSE)</f>
        <v>Net attributable profit</v>
      </c>
      <c r="B25" s="19">
        <f t="shared" ref="B25:I25" si="4">+B23+B24</f>
        <v>180.11532402648822</v>
      </c>
      <c r="C25" s="19">
        <f t="shared" si="4"/>
        <v>133.68640028910789</v>
      </c>
      <c r="D25" s="19">
        <f t="shared" si="4"/>
        <v>182.96775342541849</v>
      </c>
      <c r="E25" s="19">
        <f t="shared" si="4"/>
        <v>154.81277755851528</v>
      </c>
      <c r="F25" s="96">
        <f t="shared" si="4"/>
        <v>235.71812248053936</v>
      </c>
      <c r="G25" s="96">
        <f t="shared" si="4"/>
        <v>0</v>
      </c>
      <c r="H25" s="96">
        <f t="shared" si="4"/>
        <v>0</v>
      </c>
      <c r="I25" s="96">
        <f t="shared" si="4"/>
        <v>0</v>
      </c>
    </row>
    <row r="26" spans="1:9">
      <c r="A26" s="129"/>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119" t="str">
        <f>HLOOKUP(INDICE!$F$2,Nombres!$C$3:$D$636,51,FALSE)</f>
        <v>Balance sheets</v>
      </c>
      <c r="B28" s="66"/>
      <c r="C28" s="66"/>
      <c r="D28" s="66"/>
      <c r="E28" s="66"/>
      <c r="F28" s="66"/>
      <c r="G28" s="66"/>
      <c r="H28" s="66"/>
      <c r="I28" s="66"/>
    </row>
    <row r="29" spans="1:9">
      <c r="A29" s="120"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25" t="str">
        <f>HLOOKUP(INDICE!$F$2,Nombres!$C$3:$D$636,52,FALSE)</f>
        <v>Cash, cash balances at central banks and other demand deposits</v>
      </c>
      <c r="B31" s="77">
        <v>6497.187385049996</v>
      </c>
      <c r="C31" s="77">
        <v>5868.5774458699989</v>
      </c>
      <c r="D31" s="77">
        <v>9147.5909119500011</v>
      </c>
      <c r="E31" s="78">
        <v>11559.17634998</v>
      </c>
      <c r="F31" s="77">
        <v>7544.8408922699937</v>
      </c>
      <c r="G31" s="77">
        <v>0</v>
      </c>
      <c r="H31" s="77">
        <v>0</v>
      </c>
      <c r="I31" s="77">
        <v>0</v>
      </c>
    </row>
    <row r="32" spans="1:9">
      <c r="A32" s="125" t="str">
        <f>HLOOKUP(INDICE!$F$2,Nombres!$C$3:$D$636,53,FALSE)</f>
        <v xml:space="preserve">Financial assets designated at fair value </v>
      </c>
      <c r="B32" s="86">
        <v>1724.6423781400003</v>
      </c>
      <c r="C32" s="86">
        <v>1629.1505647700001</v>
      </c>
      <c r="D32" s="86">
        <v>1945.9303250199998</v>
      </c>
      <c r="E32" s="97">
        <v>1928.44316695</v>
      </c>
      <c r="F32" s="77">
        <v>2612.3796094299996</v>
      </c>
      <c r="G32" s="77">
        <v>0</v>
      </c>
      <c r="H32" s="77">
        <v>0</v>
      </c>
      <c r="I32" s="77">
        <v>0</v>
      </c>
    </row>
    <row r="33" spans="1:9">
      <c r="A33" s="17" t="str">
        <f>HLOOKUP(INDICE!$F$2,Nombres!$C$3:$D$636,54,FALSE)</f>
        <v>Financial assets at amortized cost</v>
      </c>
      <c r="B33" s="77">
        <v>55944.886563250002</v>
      </c>
      <c r="C33" s="77">
        <v>61814.121167880003</v>
      </c>
      <c r="D33" s="77">
        <v>64578.122101330009</v>
      </c>
      <c r="E33" s="78">
        <v>74291.58106904001</v>
      </c>
      <c r="F33" s="77">
        <v>84389.847155419993</v>
      </c>
      <c r="G33" s="77">
        <v>0</v>
      </c>
      <c r="H33" s="77">
        <v>0</v>
      </c>
      <c r="I33" s="77">
        <v>0</v>
      </c>
    </row>
    <row r="34" spans="1:9">
      <c r="A34" s="125" t="str">
        <f>HLOOKUP(INDICE!$F$2,Nombres!$C$3:$D$636,55,FALSE)</f>
        <v xml:space="preserve">    of which loans and advances to customers</v>
      </c>
      <c r="B34" s="77">
        <v>50152.444993930003</v>
      </c>
      <c r="C34" s="77">
        <v>55957.548646970012</v>
      </c>
      <c r="D34" s="77">
        <v>58240.381009520002</v>
      </c>
      <c r="E34" s="78">
        <v>66418.255302090009</v>
      </c>
      <c r="F34" s="77">
        <v>75432.092326750033</v>
      </c>
      <c r="G34" s="77">
        <v>0</v>
      </c>
      <c r="H34" s="77">
        <v>0</v>
      </c>
      <c r="I34" s="77">
        <v>0</v>
      </c>
    </row>
    <row r="35" spans="1:9">
      <c r="A35" s="125" t="str">
        <f>HLOOKUP(INDICE!$F$2,Nombres!$C$3:$D$636,121,FALSE)</f>
        <v>Inter-area positions</v>
      </c>
      <c r="B35" s="77">
        <v>0</v>
      </c>
      <c r="C35" s="77">
        <v>0</v>
      </c>
      <c r="D35" s="77">
        <v>0</v>
      </c>
      <c r="E35" s="78">
        <v>0</v>
      </c>
      <c r="F35" s="77">
        <v>0</v>
      </c>
      <c r="G35" s="77">
        <v>0</v>
      </c>
      <c r="H35" s="77">
        <v>0</v>
      </c>
      <c r="I35" s="77">
        <v>0</v>
      </c>
    </row>
    <row r="36" spans="1:9">
      <c r="A36" s="17" t="str">
        <f>HLOOKUP(INDICE!$F$2,Nombres!$C$3:$D$636,56,FALSE)</f>
        <v>Tangible assets</v>
      </c>
      <c r="B36" s="77">
        <v>190.92378310999999</v>
      </c>
      <c r="C36" s="77">
        <v>201.96578818999998</v>
      </c>
      <c r="D36" s="77">
        <v>225.90309882999998</v>
      </c>
      <c r="E36" s="78">
        <v>261.08999700999999</v>
      </c>
      <c r="F36" s="77">
        <v>250.90649386000001</v>
      </c>
      <c r="G36" s="77">
        <v>0</v>
      </c>
      <c r="H36" s="77">
        <v>0</v>
      </c>
      <c r="I36" s="77">
        <v>0</v>
      </c>
    </row>
    <row r="37" spans="1:9">
      <c r="A37" s="125" t="str">
        <f>HLOOKUP(INDICE!$F$2,Nombres!$C$3:$D$636,57,FALSE)</f>
        <v>Other assets</v>
      </c>
      <c r="B37" s="86">
        <f>+B38-B36-B33-B32-B31-B35</f>
        <v>367.17332956995415</v>
      </c>
      <c r="C37" s="86">
        <f t="shared" ref="C37:I37" si="5">+C38-C36-C33-C32-C31</f>
        <v>457.6798472699893</v>
      </c>
      <c r="D37" s="86">
        <f t="shared" si="5"/>
        <v>485.89416544001324</v>
      </c>
      <c r="E37" s="97">
        <f t="shared" si="5"/>
        <v>313.76765564989546</v>
      </c>
      <c r="F37" s="77">
        <f t="shared" si="5"/>
        <v>451.40888494005867</v>
      </c>
      <c r="G37" s="77">
        <f t="shared" si="5"/>
        <v>0</v>
      </c>
      <c r="H37" s="77">
        <f t="shared" si="5"/>
        <v>0</v>
      </c>
      <c r="I37" s="77">
        <f t="shared" si="5"/>
        <v>0</v>
      </c>
    </row>
    <row r="38" spans="1:9">
      <c r="A38" s="128" t="str">
        <f>HLOOKUP(INDICE!$F$2,Nombres!$C$3:$D$636,58,FALSE)</f>
        <v>Total assets / Liabilities and equity</v>
      </c>
      <c r="B38" s="19">
        <v>64724.813439119956</v>
      </c>
      <c r="C38" s="19">
        <v>69971.494813979996</v>
      </c>
      <c r="D38" s="19">
        <v>76383.440602570015</v>
      </c>
      <c r="E38" s="95">
        <v>88354.058238629907</v>
      </c>
      <c r="F38" s="19">
        <v>95249.383035920051</v>
      </c>
      <c r="G38" s="19">
        <v>0</v>
      </c>
      <c r="H38" s="19">
        <v>0</v>
      </c>
      <c r="I38" s="19">
        <v>0</v>
      </c>
    </row>
    <row r="39" spans="1:9">
      <c r="A39" s="125" t="str">
        <f>HLOOKUP(INDICE!$F$2,Nombres!$C$3:$D$636,59,FALSE)</f>
        <v>Financial liabilities held for trading and designated at fair value through profit or loss</v>
      </c>
      <c r="B39" s="86">
        <v>550.45557771000006</v>
      </c>
      <c r="C39" s="86">
        <v>901.95654254999999</v>
      </c>
      <c r="D39" s="86">
        <v>787.61347475000002</v>
      </c>
      <c r="E39" s="97">
        <v>764.01729123999996</v>
      </c>
      <c r="F39" s="77">
        <v>771.62791429999993</v>
      </c>
      <c r="G39" s="77">
        <v>0</v>
      </c>
      <c r="H39" s="77">
        <v>0</v>
      </c>
      <c r="I39" s="77">
        <v>0</v>
      </c>
    </row>
    <row r="40" spans="1:9">
      <c r="A40" s="125" t="str">
        <f>HLOOKUP(INDICE!$F$2,Nombres!$C$3:$D$636,60,FALSE)</f>
        <v>Deposits from central banks and credit institutions</v>
      </c>
      <c r="B40" s="86">
        <v>2754.4951732499999</v>
      </c>
      <c r="C40" s="86">
        <v>2736.0808215999996</v>
      </c>
      <c r="D40" s="86">
        <v>5130.7431352499998</v>
      </c>
      <c r="E40" s="97">
        <v>5180.9973456499993</v>
      </c>
      <c r="F40" s="77">
        <v>5074.3600904000004</v>
      </c>
      <c r="G40" s="77">
        <v>0</v>
      </c>
      <c r="H40" s="77">
        <v>0</v>
      </c>
      <c r="I40" s="77">
        <v>0</v>
      </c>
    </row>
    <row r="41" spans="1:9" ht="15.75" customHeight="1">
      <c r="A41" s="125" t="str">
        <f>HLOOKUP(INDICE!$F$2,Nombres!$C$3:$D$636,61,FALSE)</f>
        <v>Deposits from customers</v>
      </c>
      <c r="B41" s="86">
        <v>28032.473641509998</v>
      </c>
      <c r="C41" s="86">
        <v>26032.759979120001</v>
      </c>
      <c r="D41" s="86">
        <v>35177.922300340004</v>
      </c>
      <c r="E41" s="97">
        <v>40932.212348660003</v>
      </c>
      <c r="F41" s="77">
        <v>38047.543250939998</v>
      </c>
      <c r="G41" s="77">
        <v>0</v>
      </c>
      <c r="H41" s="77">
        <v>0</v>
      </c>
      <c r="I41" s="77">
        <v>0</v>
      </c>
    </row>
    <row r="42" spans="1:9">
      <c r="A42" s="17" t="str">
        <f>HLOOKUP(INDICE!$F$2,Nombres!$C$3:$D$636,62,FALSE)</f>
        <v>Debt certificates</v>
      </c>
      <c r="B42" s="77">
        <v>1568.7307937250455</v>
      </c>
      <c r="C42" s="77">
        <v>1566.4830349998415</v>
      </c>
      <c r="D42" s="77">
        <v>1657.4821407429099</v>
      </c>
      <c r="E42" s="78">
        <v>1799.7684104386346</v>
      </c>
      <c r="F42" s="77">
        <v>1908.3254788122113</v>
      </c>
      <c r="G42" s="77">
        <v>0</v>
      </c>
      <c r="H42" s="77">
        <v>0</v>
      </c>
      <c r="I42" s="77">
        <v>0</v>
      </c>
    </row>
    <row r="43" spans="1:9">
      <c r="A43" s="125" t="str">
        <f>HLOOKUP(INDICE!$F$2,Nombres!$C$3:$D$636,122,FALSE)</f>
        <v>Inter-area positions</v>
      </c>
      <c r="B43" s="77">
        <v>26136.307653345826</v>
      </c>
      <c r="C43" s="77">
        <v>32876.961462373773</v>
      </c>
      <c r="D43" s="77">
        <v>27015.064787871859</v>
      </c>
      <c r="E43" s="78">
        <v>32593.189173213581</v>
      </c>
      <c r="F43" s="77">
        <v>42316.323241697217</v>
      </c>
      <c r="G43" s="77">
        <v>0</v>
      </c>
      <c r="H43" s="77">
        <v>0</v>
      </c>
      <c r="I43" s="77">
        <v>0</v>
      </c>
    </row>
    <row r="44" spans="1:9">
      <c r="A44" s="17" t="str">
        <f>HLOOKUP(INDICE!$F$2,Nombres!$C$3:$D$636,63,FALSE)</f>
        <v>Other liabilities</v>
      </c>
      <c r="B44" s="86">
        <f t="shared" ref="B44:I44" si="6">+B38-B39-B40-B41-B42-B45-B43</f>
        <v>1140.9419820614567</v>
      </c>
      <c r="C44" s="86">
        <f t="shared" si="6"/>
        <v>1308.135284373755</v>
      </c>
      <c r="D44" s="86">
        <f t="shared" si="6"/>
        <v>1811.2794891199228</v>
      </c>
      <c r="E44" s="97">
        <f t="shared" si="6"/>
        <v>1881.9286962385486</v>
      </c>
      <c r="F44" s="86">
        <f t="shared" si="6"/>
        <v>1615.6811101634667</v>
      </c>
      <c r="G44" s="86">
        <f t="shared" si="6"/>
        <v>0</v>
      </c>
      <c r="H44" s="86">
        <f t="shared" si="6"/>
        <v>0</v>
      </c>
      <c r="I44" s="86">
        <f t="shared" si="6"/>
        <v>0</v>
      </c>
    </row>
    <row r="45" spans="1:9">
      <c r="A45" s="17" t="str">
        <f>HLOOKUP(INDICE!$F$2,Nombres!$C$3:$D$636,282,FALSE)</f>
        <v>Allocated regulatory capital</v>
      </c>
      <c r="B45" s="86">
        <v>4541.4086175176317</v>
      </c>
      <c r="C45" s="86">
        <v>4549.1176889626186</v>
      </c>
      <c r="D45" s="86">
        <v>4803.3352744953163</v>
      </c>
      <c r="E45" s="86">
        <v>5201.9449731891364</v>
      </c>
      <c r="F45" s="86">
        <v>5515.5219496071513</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119" t="str">
        <f>HLOOKUP(INDICE!$F$2,Nombres!$C$3:$D$636,65,FALSE)</f>
        <v>Relevant business indicators</v>
      </c>
      <c r="B48" s="66"/>
      <c r="C48" s="66"/>
      <c r="D48" s="66"/>
      <c r="E48" s="66"/>
      <c r="F48" s="106"/>
      <c r="G48" s="106"/>
      <c r="H48" s="106"/>
      <c r="I48" s="106"/>
    </row>
    <row r="49" spans="1:12">
      <c r="A49" s="120" t="str">
        <f>HLOOKUP(INDICE!$F$2,Nombres!$C$3:$D$636,32,FALSE)</f>
        <v>(Million euros)</v>
      </c>
      <c r="B49" s="62"/>
      <c r="C49" s="62"/>
      <c r="D49" s="62"/>
      <c r="E49" s="62"/>
      <c r="F49" s="107"/>
      <c r="G49" s="77"/>
      <c r="H49" s="77"/>
      <c r="I49" s="77"/>
    </row>
    <row r="50" spans="1:12">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12">
      <c r="A51" s="125" t="str">
        <f>HLOOKUP(INDICE!$F$2,Nombres!$C$3:$D$636,66,FALSE)</f>
        <v>Loans and advances to customers (gross) (*)</v>
      </c>
      <c r="B51" s="77">
        <v>50359.857021879994</v>
      </c>
      <c r="C51" s="77">
        <v>56179.441407950006</v>
      </c>
      <c r="D51" s="77">
        <v>58430.99067946001</v>
      </c>
      <c r="E51" s="78">
        <v>66606.36989514</v>
      </c>
      <c r="F51" s="77">
        <v>75656.575218090031</v>
      </c>
      <c r="G51" s="77">
        <v>0</v>
      </c>
      <c r="H51" s="77">
        <v>0</v>
      </c>
      <c r="I51" s="77">
        <v>0</v>
      </c>
      <c r="L51" s="75"/>
    </row>
    <row r="52" spans="1:12">
      <c r="A52" s="125" t="str">
        <f>HLOOKUP(INDICE!$F$2,Nombres!$C$3:$D$636,67,FALSE)</f>
        <v>Customer deposits under management (*)</v>
      </c>
      <c r="B52" s="77">
        <v>28032.473641510001</v>
      </c>
      <c r="C52" s="77">
        <v>26032.759979120001</v>
      </c>
      <c r="D52" s="77">
        <v>35177.922300339997</v>
      </c>
      <c r="E52" s="78">
        <v>40932.212348660003</v>
      </c>
      <c r="F52" s="77">
        <v>38047.543250940005</v>
      </c>
      <c r="G52" s="77">
        <v>0</v>
      </c>
      <c r="H52" s="77">
        <v>0</v>
      </c>
      <c r="I52" s="77">
        <v>0</v>
      </c>
    </row>
    <row r="53" spans="1:12">
      <c r="A53" s="17" t="str">
        <f>HLOOKUP(INDICE!$F$2,Nombres!$C$3:$D$636,68,FALSE)</f>
        <v>Investment funds and managed portfolios</v>
      </c>
      <c r="B53" s="77">
        <v>0</v>
      </c>
      <c r="C53" s="77">
        <v>0</v>
      </c>
      <c r="D53" s="77">
        <v>0</v>
      </c>
      <c r="E53" s="78">
        <v>0</v>
      </c>
      <c r="F53" s="77">
        <v>0</v>
      </c>
      <c r="G53" s="77">
        <v>0</v>
      </c>
      <c r="H53" s="77">
        <v>0</v>
      </c>
      <c r="I53" s="77">
        <v>0</v>
      </c>
    </row>
    <row r="54" spans="1:12">
      <c r="A54" s="125" t="str">
        <f>HLOOKUP(INDICE!$F$2,Nombres!$C$3:$D$636,69,FALSE)</f>
        <v>Pension funds</v>
      </c>
      <c r="B54" s="77">
        <v>655</v>
      </c>
      <c r="C54" s="77">
        <v>681.75939010000002</v>
      </c>
      <c r="D54" s="77">
        <v>686.829971</v>
      </c>
      <c r="E54" s="78">
        <v>735.87697260000004</v>
      </c>
      <c r="F54" s="77">
        <v>754.70387359999995</v>
      </c>
      <c r="G54" s="77">
        <v>0</v>
      </c>
      <c r="H54" s="77">
        <v>0</v>
      </c>
      <c r="I54" s="77">
        <v>0</v>
      </c>
    </row>
    <row r="55" spans="1:12">
      <c r="A55" s="125" t="str">
        <f>HLOOKUP(INDICE!$F$2,Nombres!$C$3:$D$636,70,FALSE)</f>
        <v>Other off balance-sheet funds</v>
      </c>
      <c r="B55" s="77">
        <v>0</v>
      </c>
      <c r="C55" s="77">
        <v>0</v>
      </c>
      <c r="D55" s="77">
        <v>0</v>
      </c>
      <c r="E55" s="78">
        <v>0</v>
      </c>
      <c r="F55" s="77">
        <v>0</v>
      </c>
      <c r="G55" s="77">
        <v>0</v>
      </c>
      <c r="H55" s="77">
        <v>0</v>
      </c>
      <c r="I55" s="77">
        <v>0</v>
      </c>
    </row>
    <row r="56" spans="1:12">
      <c r="A56" s="129" t="str">
        <f>HLOOKUP(INDICE!$F$2,Nombres!$C$3:$D$636,71,FALSE)</f>
        <v xml:space="preserve">(*) Excluding repos. </v>
      </c>
      <c r="B56" s="86"/>
      <c r="C56" s="86"/>
      <c r="D56" s="86"/>
      <c r="E56" s="86"/>
      <c r="F56" s="77"/>
      <c r="G56" s="77"/>
      <c r="H56" s="77"/>
      <c r="I56" s="77"/>
    </row>
    <row r="57" spans="1:12">
      <c r="A57" s="129">
        <f>HLOOKUP(INDICE!$F$2,Nombres!$C$3:$D$636,72,FALSE)</f>
        <v>0</v>
      </c>
      <c r="B57" s="62"/>
      <c r="C57" s="62"/>
      <c r="D57" s="62"/>
      <c r="E57" s="62"/>
      <c r="F57" s="107"/>
      <c r="G57" s="107"/>
      <c r="H57" s="107"/>
      <c r="I57" s="107"/>
    </row>
    <row r="58" spans="1:12">
      <c r="A58" s="93"/>
      <c r="B58" s="62"/>
      <c r="C58" s="62"/>
      <c r="D58" s="62"/>
      <c r="E58" s="62"/>
      <c r="F58" s="107"/>
      <c r="G58" s="107"/>
      <c r="H58" s="107"/>
      <c r="I58" s="107"/>
    </row>
    <row r="59" spans="1:12" ht="17">
      <c r="A59" s="119" t="str">
        <f>HLOOKUP(INDICE!$F$2,Nombres!$C$3:$D$636,31,FALSE)</f>
        <v xml:space="preserve">Income statement  </v>
      </c>
      <c r="B59" s="66"/>
      <c r="C59" s="66"/>
      <c r="D59" s="66"/>
      <c r="E59" s="66"/>
      <c r="F59" s="106"/>
      <c r="G59" s="106"/>
      <c r="H59" s="106"/>
      <c r="I59" s="106"/>
    </row>
    <row r="60" spans="1:12">
      <c r="A60" s="120" t="str">
        <f>HLOOKUP(INDICE!$F$2,Nombres!$C$3:$D$636,73,FALSE)</f>
        <v xml:space="preserve">(Constant million euros)    </v>
      </c>
      <c r="B60" s="62"/>
      <c r="C60" s="68"/>
      <c r="D60" s="68"/>
      <c r="E60" s="68"/>
      <c r="F60" s="107"/>
      <c r="G60" s="107"/>
      <c r="H60" s="107"/>
      <c r="I60" s="107"/>
    </row>
    <row r="61" spans="1:12">
      <c r="A61" s="69"/>
      <c r="B61" s="62"/>
      <c r="C61" s="68"/>
      <c r="D61" s="68"/>
      <c r="E61" s="68"/>
      <c r="F61" s="62"/>
      <c r="G61" s="62"/>
      <c r="H61" s="62"/>
      <c r="I61" s="62"/>
    </row>
    <row r="62" spans="1:12">
      <c r="A62" s="70"/>
      <c r="B62" s="301">
        <f>+B$6</f>
        <v>2025</v>
      </c>
      <c r="C62" s="301"/>
      <c r="D62" s="301"/>
      <c r="E62" s="302"/>
      <c r="F62" s="301">
        <f>+F$6</f>
        <v>2026</v>
      </c>
      <c r="G62" s="301"/>
      <c r="H62" s="301"/>
      <c r="I62" s="301"/>
    </row>
    <row r="63" spans="1:12">
      <c r="A63" s="70"/>
      <c r="B63" s="121" t="str">
        <f t="shared" ref="B63:I63" si="8">+B$7</f>
        <v>1Q</v>
      </c>
      <c r="C63" s="121" t="str">
        <f t="shared" si="8"/>
        <v>2Q</v>
      </c>
      <c r="D63" s="121" t="str">
        <f t="shared" si="8"/>
        <v>3Q</v>
      </c>
      <c r="E63" s="122" t="str">
        <f t="shared" si="8"/>
        <v>4Q</v>
      </c>
      <c r="F63" s="121" t="str">
        <f t="shared" si="8"/>
        <v>1Q</v>
      </c>
      <c r="G63" s="121" t="str">
        <f t="shared" si="8"/>
        <v>2Q</v>
      </c>
      <c r="H63" s="121" t="str">
        <f t="shared" si="8"/>
        <v>3Q</v>
      </c>
      <c r="I63" s="121" t="str">
        <f t="shared" si="8"/>
        <v>4Q</v>
      </c>
    </row>
    <row r="64" spans="1:12">
      <c r="A64" s="25" t="str">
        <f>HLOOKUP(INDICE!$F$2,Nombres!$C$3:$D$636,33,FALSE)</f>
        <v>Net interest income</v>
      </c>
      <c r="B64" s="25">
        <v>182.86994693050838</v>
      </c>
      <c r="C64" s="25">
        <v>187.97987209845959</v>
      </c>
      <c r="D64" s="25">
        <v>218.89949822474813</v>
      </c>
      <c r="E64" s="73">
        <v>231.02274870542621</v>
      </c>
      <c r="F64" s="74">
        <v>232.26637791684365</v>
      </c>
      <c r="G64" s="74">
        <v>0</v>
      </c>
      <c r="H64" s="74">
        <v>0</v>
      </c>
      <c r="I64" s="74">
        <v>0</v>
      </c>
    </row>
    <row r="65" spans="1:9">
      <c r="A65" s="125" t="str">
        <f>HLOOKUP(INDICE!$F$2,Nombres!$C$3:$D$636,34,FALSE)</f>
        <v>Net fees and commissions</v>
      </c>
      <c r="B65" s="77">
        <v>132.34301374021481</v>
      </c>
      <c r="C65" s="77">
        <v>143.18216053814203</v>
      </c>
      <c r="D65" s="77">
        <v>152.73281446247208</v>
      </c>
      <c r="E65" s="78">
        <v>164.08634877324164</v>
      </c>
      <c r="F65" s="77">
        <v>200.54967535200026</v>
      </c>
      <c r="G65" s="77">
        <v>0</v>
      </c>
      <c r="H65" s="77">
        <v>0</v>
      </c>
      <c r="I65" s="77">
        <v>0</v>
      </c>
    </row>
    <row r="66" spans="1:9">
      <c r="A66" s="125" t="str">
        <f>HLOOKUP(INDICE!$F$2,Nombres!$C$3:$D$636,35,FALSE)</f>
        <v>Net trading income</v>
      </c>
      <c r="B66" s="77">
        <v>103.15110447056985</v>
      </c>
      <c r="C66" s="77">
        <v>75.798192512673083</v>
      </c>
      <c r="D66" s="77">
        <v>94.793924367967477</v>
      </c>
      <c r="E66" s="78">
        <v>116.29869385082196</v>
      </c>
      <c r="F66" s="77">
        <v>161.40197909098805</v>
      </c>
      <c r="G66" s="77">
        <v>0</v>
      </c>
      <c r="H66" s="77">
        <v>0</v>
      </c>
      <c r="I66" s="77">
        <v>0</v>
      </c>
    </row>
    <row r="67" spans="1:9">
      <c r="A67" s="125" t="str">
        <f>HLOOKUP(INDICE!$F$2,Nombres!$C$3:$D$636,36,FALSE)</f>
        <v>Other operating income and expenses</v>
      </c>
      <c r="B67" s="77">
        <v>1.0358181421163764</v>
      </c>
      <c r="C67" s="77">
        <v>0.36308354465565285</v>
      </c>
      <c r="D67" s="77">
        <v>2.4210483959793581</v>
      </c>
      <c r="E67" s="78">
        <v>2.7063788193968876</v>
      </c>
      <c r="F67" s="77">
        <v>0.40480022699977464</v>
      </c>
      <c r="G67" s="77">
        <v>0</v>
      </c>
      <c r="H67" s="77">
        <v>0</v>
      </c>
      <c r="I67" s="77">
        <v>0</v>
      </c>
    </row>
    <row r="68" spans="1:9">
      <c r="A68" s="25" t="str">
        <f>HLOOKUP(INDICE!$F$2,Nombres!$C$3:$D$636,37,FALSE)</f>
        <v>Gross income</v>
      </c>
      <c r="B68" s="25">
        <f t="shared" ref="B68:I68" si="9">+SUM(B64:B67)</f>
        <v>419.39988328340945</v>
      </c>
      <c r="C68" s="25">
        <f t="shared" si="9"/>
        <v>407.32330869393036</v>
      </c>
      <c r="D68" s="25">
        <f t="shared" si="9"/>
        <v>468.84728545116701</v>
      </c>
      <c r="E68" s="73">
        <f t="shared" si="9"/>
        <v>514.11417014888673</v>
      </c>
      <c r="F68" s="74">
        <f t="shared" si="9"/>
        <v>594.62283258683181</v>
      </c>
      <c r="G68" s="74">
        <f t="shared" si="9"/>
        <v>0</v>
      </c>
      <c r="H68" s="74">
        <f t="shared" si="9"/>
        <v>0</v>
      </c>
      <c r="I68" s="74">
        <f t="shared" si="9"/>
        <v>0</v>
      </c>
    </row>
    <row r="69" spans="1:9">
      <c r="A69" s="125" t="str">
        <f>HLOOKUP(INDICE!$F$2,Nombres!$C$3:$D$636,38,FALSE)</f>
        <v>Operating expenses</v>
      </c>
      <c r="B69" s="77">
        <v>-183.57838364876994</v>
      </c>
      <c r="C69" s="77">
        <v>-192.86420638936431</v>
      </c>
      <c r="D69" s="77">
        <v>-216.88183185788634</v>
      </c>
      <c r="E69" s="78">
        <v>-290.06938671996886</v>
      </c>
      <c r="F69" s="77">
        <v>-239.16205829082756</v>
      </c>
      <c r="G69" s="77">
        <v>0</v>
      </c>
      <c r="H69" s="77">
        <v>0</v>
      </c>
      <c r="I69" s="77">
        <v>0</v>
      </c>
    </row>
    <row r="70" spans="1:9">
      <c r="A70" s="125" t="str">
        <f>HLOOKUP(INDICE!$F$2,Nombres!$C$3:$D$636,39,FALSE)</f>
        <v xml:space="preserve">  Administration expenses</v>
      </c>
      <c r="B70" s="77">
        <v>-175.18097595150113</v>
      </c>
      <c r="C70" s="77">
        <v>-183.4187174471102</v>
      </c>
      <c r="D70" s="77">
        <v>-207.24660284703762</v>
      </c>
      <c r="E70" s="78">
        <v>-278.75895525390973</v>
      </c>
      <c r="F70" s="77">
        <v>-228.60720321082795</v>
      </c>
      <c r="G70" s="77">
        <v>0</v>
      </c>
      <c r="H70" s="77">
        <v>0</v>
      </c>
      <c r="I70" s="77">
        <v>0</v>
      </c>
    </row>
    <row r="71" spans="1:9">
      <c r="A71" s="126" t="str">
        <f>HLOOKUP(INDICE!$F$2,Nombres!$C$3:$D$636,40,FALSE)</f>
        <v xml:space="preserve">  Personnel expenses</v>
      </c>
      <c r="B71" s="77">
        <v>-97.165530665163402</v>
      </c>
      <c r="C71" s="77">
        <v>-102.3379493586224</v>
      </c>
      <c r="D71" s="77">
        <v>-113.80354173787961</v>
      </c>
      <c r="E71" s="78">
        <v>-166.53692440068815</v>
      </c>
      <c r="F71" s="77">
        <v>-120.17501853999057</v>
      </c>
      <c r="G71" s="77">
        <v>0</v>
      </c>
      <c r="H71" s="77">
        <v>0</v>
      </c>
      <c r="I71" s="77">
        <v>0</v>
      </c>
    </row>
    <row r="72" spans="1:9">
      <c r="A72" s="126" t="str">
        <f>HLOOKUP(INDICE!$F$2,Nombres!$C$3:$D$636,41,FALSE)</f>
        <v xml:space="preserve">  General and administrative expenses</v>
      </c>
      <c r="B72" s="77">
        <v>-78.015445286337751</v>
      </c>
      <c r="C72" s="77">
        <v>-81.080768088487801</v>
      </c>
      <c r="D72" s="77">
        <v>-93.443061109157995</v>
      </c>
      <c r="E72" s="78">
        <v>-112.22203085322154</v>
      </c>
      <c r="F72" s="77">
        <v>-108.43218467083739</v>
      </c>
      <c r="G72" s="77">
        <v>0</v>
      </c>
      <c r="H72" s="77">
        <v>0</v>
      </c>
      <c r="I72" s="77">
        <v>0</v>
      </c>
    </row>
    <row r="73" spans="1:9">
      <c r="A73" s="125" t="str">
        <f>HLOOKUP(INDICE!$F$2,Nombres!$C$3:$D$636,42,FALSE)</f>
        <v xml:space="preserve">  Depreciation</v>
      </c>
      <c r="B73" s="77">
        <v>-8.3974076972688128</v>
      </c>
      <c r="C73" s="77">
        <v>-9.4454889422540997</v>
      </c>
      <c r="D73" s="77">
        <v>-9.6352290108487217</v>
      </c>
      <c r="E73" s="78">
        <v>-11.310431466059155</v>
      </c>
      <c r="F73" s="77">
        <v>-10.554855079999632</v>
      </c>
      <c r="G73" s="77">
        <v>0</v>
      </c>
      <c r="H73" s="77">
        <v>0</v>
      </c>
      <c r="I73" s="77">
        <v>0</v>
      </c>
    </row>
    <row r="74" spans="1:9">
      <c r="A74" s="25" t="str">
        <f>HLOOKUP(INDICE!$F$2,Nombres!$C$3:$D$636,43,FALSE)</f>
        <v>Operating income</v>
      </c>
      <c r="B74" s="25">
        <f t="shared" ref="B74:I74" si="10">+B68+B69</f>
        <v>235.82149963463951</v>
      </c>
      <c r="C74" s="25">
        <f t="shared" si="10"/>
        <v>214.45910230456604</v>
      </c>
      <c r="D74" s="25">
        <f t="shared" si="10"/>
        <v>251.96545359328067</v>
      </c>
      <c r="E74" s="73">
        <f t="shared" si="10"/>
        <v>224.04478342891787</v>
      </c>
      <c r="F74" s="74">
        <f t="shared" si="10"/>
        <v>355.46077429600427</v>
      </c>
      <c r="G74" s="74">
        <f t="shared" si="10"/>
        <v>0</v>
      </c>
      <c r="H74" s="74">
        <f t="shared" si="10"/>
        <v>0</v>
      </c>
      <c r="I74" s="74">
        <f t="shared" si="10"/>
        <v>0</v>
      </c>
    </row>
    <row r="75" spans="1:9">
      <c r="A75" s="125" t="str">
        <f>HLOOKUP(INDICE!$F$2,Nombres!$C$3:$D$636,44,FALSE)</f>
        <v>Impaiment on financial assets not measured at fair value through profit or loss</v>
      </c>
      <c r="B75" s="77">
        <v>-18.056021063209052</v>
      </c>
      <c r="C75" s="77">
        <v>-18.230209778485683</v>
      </c>
      <c r="D75" s="77">
        <v>-9.4859933887218038</v>
      </c>
      <c r="E75" s="78">
        <v>-37.726820915050581</v>
      </c>
      <c r="F75" s="77">
        <v>-50.968077540001531</v>
      </c>
      <c r="G75" s="77">
        <v>0</v>
      </c>
      <c r="H75" s="77">
        <v>0</v>
      </c>
      <c r="I75" s="77">
        <v>0</v>
      </c>
    </row>
    <row r="76" spans="1:9">
      <c r="A76" s="125" t="str">
        <f>HLOOKUP(INDICE!$F$2,Nombres!$C$3:$D$636,45,FALSE)</f>
        <v>Provisions or reversal of provisions and other results</v>
      </c>
      <c r="B76" s="77">
        <v>3.1262640766919754</v>
      </c>
      <c r="C76" s="77">
        <v>-5.0068188714161614</v>
      </c>
      <c r="D76" s="77">
        <v>-9.5018261074096557</v>
      </c>
      <c r="E76" s="78">
        <v>-10.524137485782479</v>
      </c>
      <c r="F76" s="77">
        <v>-4.3271446172765291</v>
      </c>
      <c r="G76" s="77">
        <v>0</v>
      </c>
      <c r="H76" s="77">
        <v>0</v>
      </c>
      <c r="I76" s="77">
        <v>0</v>
      </c>
    </row>
    <row r="77" spans="1:9">
      <c r="A77" s="127" t="str">
        <f>HLOOKUP(INDICE!$F$2,Nombres!$C$3:$D$636,46,FALSE)</f>
        <v>Profit/(loss) before tax</v>
      </c>
      <c r="B77" s="25">
        <f t="shared" ref="B77:I77" si="11">+B74+B75+B76</f>
        <v>220.89174264812243</v>
      </c>
      <c r="C77" s="25">
        <f t="shared" si="11"/>
        <v>191.2220736546642</v>
      </c>
      <c r="D77" s="25">
        <f t="shared" si="11"/>
        <v>232.97763409714923</v>
      </c>
      <c r="E77" s="73">
        <f t="shared" si="11"/>
        <v>175.7938250280848</v>
      </c>
      <c r="F77" s="74">
        <f t="shared" si="11"/>
        <v>300.16555213872618</v>
      </c>
      <c r="G77" s="74">
        <f t="shared" si="11"/>
        <v>0</v>
      </c>
      <c r="H77" s="74">
        <f t="shared" si="11"/>
        <v>0</v>
      </c>
      <c r="I77" s="74">
        <f t="shared" si="11"/>
        <v>0</v>
      </c>
    </row>
    <row r="78" spans="1:9">
      <c r="A78" s="17" t="str">
        <f>HLOOKUP(INDICE!$F$2,Nombres!$C$3:$D$636,47,FALSE)</f>
        <v>Income tax</v>
      </c>
      <c r="B78" s="77">
        <v>-47.617100234684536</v>
      </c>
      <c r="C78" s="77">
        <v>-48.53621482355851</v>
      </c>
      <c r="D78" s="77">
        <v>-47.570249119373024</v>
      </c>
      <c r="E78" s="78">
        <v>-18.660159577100611</v>
      </c>
      <c r="F78" s="77">
        <v>-64.4474134880641</v>
      </c>
      <c r="G78" s="77">
        <v>0</v>
      </c>
      <c r="H78" s="77">
        <v>0</v>
      </c>
      <c r="I78" s="77">
        <v>0</v>
      </c>
    </row>
    <row r="79" spans="1:9">
      <c r="A79" s="127" t="str">
        <f>HLOOKUP(INDICE!$F$2,Nombres!$C$3:$D$636,48,FALSE)</f>
        <v>Profit/(loss) for the year</v>
      </c>
      <c r="B79" s="25">
        <f t="shared" ref="B79:I79" si="12">+B77+B78</f>
        <v>173.2746424134379</v>
      </c>
      <c r="C79" s="25">
        <f t="shared" si="12"/>
        <v>142.68585883110569</v>
      </c>
      <c r="D79" s="25">
        <f t="shared" si="12"/>
        <v>185.40738497777622</v>
      </c>
      <c r="E79" s="73">
        <f t="shared" si="12"/>
        <v>157.13366545098418</v>
      </c>
      <c r="F79" s="74">
        <f t="shared" si="12"/>
        <v>235.71813865066207</v>
      </c>
      <c r="G79" s="74">
        <f t="shared" si="12"/>
        <v>0</v>
      </c>
      <c r="H79" s="74">
        <f t="shared" si="12"/>
        <v>0</v>
      </c>
      <c r="I79" s="74">
        <f t="shared" si="12"/>
        <v>0</v>
      </c>
    </row>
    <row r="80" spans="1:9">
      <c r="A80" s="125" t="str">
        <f>HLOOKUP(INDICE!$F$2,Nombres!$C$3:$D$636,49,FALSE)</f>
        <v>Non-controlling interests</v>
      </c>
      <c r="B80" s="77">
        <v>0</v>
      </c>
      <c r="C80" s="77">
        <v>0</v>
      </c>
      <c r="D80" s="77">
        <v>0</v>
      </c>
      <c r="E80" s="78">
        <v>0</v>
      </c>
      <c r="F80" s="77">
        <v>0</v>
      </c>
      <c r="G80" s="77">
        <v>0</v>
      </c>
      <c r="H80" s="77">
        <v>0</v>
      </c>
      <c r="I80" s="77">
        <v>0</v>
      </c>
    </row>
    <row r="81" spans="1:9">
      <c r="A81" s="128" t="str">
        <f>HLOOKUP(INDICE!$F$2,Nombres!$C$3:$D$636,50,FALSE)</f>
        <v>Net attributable profit</v>
      </c>
      <c r="B81" s="19">
        <f t="shared" ref="B81:I81" si="13">+B79+B80</f>
        <v>173.2746424134379</v>
      </c>
      <c r="C81" s="19">
        <f t="shared" si="13"/>
        <v>142.68585883110569</v>
      </c>
      <c r="D81" s="19">
        <f t="shared" si="13"/>
        <v>185.40738497777622</v>
      </c>
      <c r="E81" s="19">
        <f t="shared" si="13"/>
        <v>157.13366545098418</v>
      </c>
      <c r="F81" s="96">
        <f t="shared" si="13"/>
        <v>235.71813865066207</v>
      </c>
      <c r="G81" s="96">
        <f t="shared" si="13"/>
        <v>0</v>
      </c>
      <c r="H81" s="96">
        <f t="shared" si="13"/>
        <v>0</v>
      </c>
      <c r="I81" s="96">
        <f t="shared" si="13"/>
        <v>0</v>
      </c>
    </row>
    <row r="82" spans="1:9">
      <c r="A82" s="129"/>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119" t="str">
        <f>HLOOKUP(INDICE!$F$2,Nombres!$C$3:$D$636,51,FALSE)</f>
        <v>Balance sheets</v>
      </c>
      <c r="B84" s="66"/>
      <c r="C84" s="66"/>
      <c r="D84" s="66"/>
      <c r="E84" s="66"/>
      <c r="F84" s="106"/>
      <c r="G84" s="106"/>
      <c r="H84" s="106"/>
      <c r="I84" s="106"/>
    </row>
    <row r="85" spans="1:9">
      <c r="A85" s="120"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25" t="str">
        <f>HLOOKUP(INDICE!$F$2,Nombres!$C$3:$D$636,52,FALSE)</f>
        <v>Cash, cash balances at central banks and other demand deposits</v>
      </c>
      <c r="B87" s="77">
        <v>6139.5131674857857</v>
      </c>
      <c r="C87" s="77">
        <v>5972.0262233026124</v>
      </c>
      <c r="D87" s="77">
        <v>9329.2043906032777</v>
      </c>
      <c r="E87" s="78">
        <v>11798.823974302013</v>
      </c>
      <c r="F87" s="77">
        <v>7544.8408922700901</v>
      </c>
      <c r="G87" s="77">
        <v>0</v>
      </c>
      <c r="H87" s="77">
        <v>0</v>
      </c>
      <c r="I87" s="77">
        <v>0</v>
      </c>
    </row>
    <row r="88" spans="1:9">
      <c r="A88" s="125" t="str">
        <f>HLOOKUP(INDICE!$F$2,Nombres!$C$3:$D$636,53,FALSE)</f>
        <v xml:space="preserve">Financial assets designated at fair value </v>
      </c>
      <c r="B88" s="86">
        <v>1657.2798669848303</v>
      </c>
      <c r="C88" s="86">
        <v>1641.3025014577247</v>
      </c>
      <c r="D88" s="86">
        <v>1968.8390519966615</v>
      </c>
      <c r="E88" s="97">
        <v>1950.385620659255</v>
      </c>
      <c r="F88" s="77">
        <v>2612.3796094298946</v>
      </c>
      <c r="G88" s="77">
        <v>0</v>
      </c>
      <c r="H88" s="77">
        <v>0</v>
      </c>
      <c r="I88" s="77">
        <v>0</v>
      </c>
    </row>
    <row r="89" spans="1:9">
      <c r="A89" s="17" t="str">
        <f>HLOOKUP(INDICE!$F$2,Nombres!$C$3:$D$636,54,FALSE)</f>
        <v>Financial assets at amortized cost</v>
      </c>
      <c r="B89" s="77">
        <v>54564.124391064775</v>
      </c>
      <c r="C89" s="77">
        <v>62125.121282611595</v>
      </c>
      <c r="D89" s="77">
        <v>65119.651270838847</v>
      </c>
      <c r="E89" s="78">
        <v>74906.399837537989</v>
      </c>
      <c r="F89" s="77">
        <v>84389.847155418538</v>
      </c>
      <c r="G89" s="77">
        <v>0</v>
      </c>
      <c r="H89" s="77">
        <v>0</v>
      </c>
      <c r="I89" s="77">
        <v>0</v>
      </c>
    </row>
    <row r="90" spans="1:9">
      <c r="A90" s="125" t="str">
        <f>HLOOKUP(INDICE!$F$2,Nombres!$C$3:$D$636,55,FALSE)</f>
        <v xml:space="preserve">    of which loans and advances to customers</v>
      </c>
      <c r="B90" s="77">
        <v>48872.180333382232</v>
      </c>
      <c r="C90" s="77">
        <v>56245.706125735705</v>
      </c>
      <c r="D90" s="77">
        <v>58742.768747304581</v>
      </c>
      <c r="E90" s="78">
        <v>66993.581837412741</v>
      </c>
      <c r="F90" s="77">
        <v>75432.09232674884</v>
      </c>
      <c r="G90" s="77">
        <v>0</v>
      </c>
      <c r="H90" s="77">
        <v>0</v>
      </c>
      <c r="I90" s="77">
        <v>0</v>
      </c>
    </row>
    <row r="91" spans="1:9">
      <c r="A91" s="125" t="str">
        <f>HLOOKUP(INDICE!$F$2,Nombres!$C$3:$D$636,121,FALSE)</f>
        <v>Inter-area positions</v>
      </c>
      <c r="B91" s="77">
        <v>0</v>
      </c>
      <c r="C91" s="77">
        <v>0</v>
      </c>
      <c r="D91" s="77">
        <v>0</v>
      </c>
      <c r="E91" s="78">
        <v>0</v>
      </c>
      <c r="F91" s="77">
        <v>0</v>
      </c>
      <c r="G91" s="77">
        <v>0</v>
      </c>
      <c r="H91" s="77">
        <v>0</v>
      </c>
      <c r="I91" s="77">
        <v>0</v>
      </c>
    </row>
    <row r="92" spans="1:9">
      <c r="A92" s="17" t="str">
        <f>HLOOKUP(INDICE!$F$2,Nombres!$C$3:$D$636,56,FALSE)</f>
        <v>Tangible assets</v>
      </c>
      <c r="B92" s="77">
        <v>182.66329671093035</v>
      </c>
      <c r="C92" s="77">
        <v>204.27860718242036</v>
      </c>
      <c r="D92" s="77">
        <v>228.79290581651628</v>
      </c>
      <c r="E92" s="78">
        <v>264.88584283434079</v>
      </c>
      <c r="F92" s="77">
        <v>250.90649385999572</v>
      </c>
      <c r="G92" s="77">
        <v>0</v>
      </c>
      <c r="H92" s="77">
        <v>0</v>
      </c>
      <c r="I92" s="77">
        <v>0</v>
      </c>
    </row>
    <row r="93" spans="1:9">
      <c r="A93" s="125" t="str">
        <f>HLOOKUP(INDICE!$F$2,Nombres!$C$3:$D$636,57,FALSE)</f>
        <v>Other assets</v>
      </c>
      <c r="B93" s="86">
        <f>+B94-B92-B89-B88-B87-B91</f>
        <v>355.55204602342747</v>
      </c>
      <c r="C93" s="86">
        <f t="shared" ref="C93:I93" si="15">+C94-C92-C89-C88-C87</f>
        <v>462.23191889879581</v>
      </c>
      <c r="D93" s="86">
        <f t="shared" si="15"/>
        <v>493.16128645466415</v>
      </c>
      <c r="E93" s="97">
        <f t="shared" si="15"/>
        <v>316.0164966445609</v>
      </c>
      <c r="F93" s="77">
        <f t="shared" si="15"/>
        <v>451.40888494003866</v>
      </c>
      <c r="G93" s="77">
        <f t="shared" si="15"/>
        <v>0</v>
      </c>
      <c r="H93" s="77">
        <f t="shared" si="15"/>
        <v>0</v>
      </c>
      <c r="I93" s="77">
        <f t="shared" si="15"/>
        <v>0</v>
      </c>
    </row>
    <row r="94" spans="1:9">
      <c r="A94" s="128" t="str">
        <f>HLOOKUP(INDICE!$F$2,Nombres!$C$3:$D$636,58,FALSE)</f>
        <v>Total assets / Liabilities and equity</v>
      </c>
      <c r="B94" s="19">
        <v>62899.132768269752</v>
      </c>
      <c r="C94" s="19">
        <v>70404.960533453152</v>
      </c>
      <c r="D94" s="19">
        <v>77139.648905709968</v>
      </c>
      <c r="E94" s="95">
        <v>89236.511771978156</v>
      </c>
      <c r="F94" s="96">
        <v>95249.383035918552</v>
      </c>
      <c r="G94" s="96">
        <v>0</v>
      </c>
      <c r="H94" s="96">
        <v>0</v>
      </c>
      <c r="I94" s="96">
        <v>0</v>
      </c>
    </row>
    <row r="95" spans="1:9">
      <c r="A95" s="125" t="str">
        <f>HLOOKUP(INDICE!$F$2,Nombres!$C$3:$D$636,59,FALSE)</f>
        <v>Financial liabilities held for trading and designated at fair value through profit or loss</v>
      </c>
      <c r="B95" s="86">
        <v>519.07733372401651</v>
      </c>
      <c r="C95" s="86">
        <v>916.41178747903564</v>
      </c>
      <c r="D95" s="86">
        <v>803.14362528908202</v>
      </c>
      <c r="E95" s="97">
        <v>780.0745513410842</v>
      </c>
      <c r="F95" s="77">
        <v>771.62791430001039</v>
      </c>
      <c r="G95" s="77">
        <v>0</v>
      </c>
      <c r="H95" s="77">
        <v>0</v>
      </c>
      <c r="I95" s="77">
        <v>0</v>
      </c>
    </row>
    <row r="96" spans="1:9">
      <c r="A96" s="125" t="str">
        <f>HLOOKUP(INDICE!$F$2,Nombres!$C$3:$D$636,60,FALSE)</f>
        <v>Deposits from central banks and credit institutions</v>
      </c>
      <c r="B96" s="86">
        <v>2704.8747976775207</v>
      </c>
      <c r="C96" s="86">
        <v>2755.8362142203491</v>
      </c>
      <c r="D96" s="86">
        <v>5188.5361901792639</v>
      </c>
      <c r="E96" s="97">
        <v>5212.9837853497038</v>
      </c>
      <c r="F96" s="77">
        <v>5074.3600903999886</v>
      </c>
      <c r="G96" s="77">
        <v>0</v>
      </c>
      <c r="H96" s="77">
        <v>0</v>
      </c>
      <c r="I96" s="77">
        <v>0</v>
      </c>
    </row>
    <row r="97" spans="1:9">
      <c r="A97" s="125" t="str">
        <f>HLOOKUP(INDICE!$F$2,Nombres!$C$3:$D$636,61,FALSE)</f>
        <v>Deposits from customers</v>
      </c>
      <c r="B97" s="86">
        <v>27370.9163524172</v>
      </c>
      <c r="C97" s="86">
        <v>26084.171246071164</v>
      </c>
      <c r="D97" s="86">
        <v>35385.332977833838</v>
      </c>
      <c r="E97" s="97">
        <v>41171.693460270588</v>
      </c>
      <c r="F97" s="77">
        <v>38047.543250938768</v>
      </c>
      <c r="G97" s="77">
        <v>0</v>
      </c>
      <c r="H97" s="77">
        <v>0</v>
      </c>
      <c r="I97" s="77">
        <v>0</v>
      </c>
    </row>
    <row r="98" spans="1:9">
      <c r="A98" s="17" t="str">
        <f>HLOOKUP(INDICE!$F$2,Nombres!$C$3:$D$636,62,FALSE)</f>
        <v>Debt certificates</v>
      </c>
      <c r="B98" s="77">
        <v>1520.9071337041746</v>
      </c>
      <c r="C98" s="77">
        <v>1574.6555372917317</v>
      </c>
      <c r="D98" s="77">
        <v>1673.6500537553954</v>
      </c>
      <c r="E98" s="78">
        <v>1817.833516721337</v>
      </c>
      <c r="F98" s="77">
        <v>1908.3254788121556</v>
      </c>
      <c r="G98" s="77">
        <v>0</v>
      </c>
      <c r="H98" s="77">
        <v>0</v>
      </c>
      <c r="I98" s="77">
        <v>0</v>
      </c>
    </row>
    <row r="99" spans="1:9">
      <c r="A99" s="125" t="str">
        <f>HLOOKUP(INDICE!$F$2,Nombres!$C$3:$D$636,122,FALSE)</f>
        <v>Inter-area positions</v>
      </c>
      <c r="B99" s="77">
        <v>25275.387245708949</v>
      </c>
      <c r="C99" s="77">
        <v>33182.731405800216</v>
      </c>
      <c r="D99" s="77">
        <v>27406.435884397142</v>
      </c>
      <c r="E99" s="78">
        <v>33096.982215077704</v>
      </c>
      <c r="F99" s="77">
        <v>42316.323241697202</v>
      </c>
      <c r="G99" s="77">
        <v>0</v>
      </c>
      <c r="H99" s="77">
        <v>0</v>
      </c>
      <c r="I99" s="77">
        <v>0</v>
      </c>
    </row>
    <row r="100" spans="1:9">
      <c r="A100" s="17" t="str">
        <f>HLOOKUP(INDICE!$F$2,Nombres!$C$3:$D$636,63,FALSE)</f>
        <v>Other liabilities</v>
      </c>
      <c r="B100" s="86">
        <f t="shared" ref="B100:I100" si="16">+B94-B95-B96-B97-B98-B101-B99</f>
        <v>1104.7138741725175</v>
      </c>
      <c r="C100" s="86">
        <f t="shared" si="16"/>
        <v>1318.2739631349687</v>
      </c>
      <c r="D100" s="86">
        <f t="shared" si="16"/>
        <v>1832.425778821409</v>
      </c>
      <c r="E100" s="97">
        <f t="shared" si="16"/>
        <v>1902.8546521441895</v>
      </c>
      <c r="F100" s="86">
        <f t="shared" si="16"/>
        <v>1615.6811101634303</v>
      </c>
      <c r="G100" s="86">
        <f t="shared" si="16"/>
        <v>0</v>
      </c>
      <c r="H100" s="86">
        <f t="shared" si="16"/>
        <v>0</v>
      </c>
      <c r="I100" s="86">
        <f t="shared" si="16"/>
        <v>0</v>
      </c>
    </row>
    <row r="101" spans="1:9">
      <c r="A101" s="17" t="str">
        <f>HLOOKUP(INDICE!$F$2,Nombres!$C$3:$D$636,282,FALSE)</f>
        <v>Allocated regulatory capital</v>
      </c>
      <c r="B101" s="86">
        <v>4403.2560308653719</v>
      </c>
      <c r="C101" s="86">
        <v>4572.8803794556788</v>
      </c>
      <c r="D101" s="86">
        <v>4850.124395433837</v>
      </c>
      <c r="E101" s="86">
        <v>5254.089591073558</v>
      </c>
      <c r="F101" s="86">
        <v>5515.5219496069885</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119" t="str">
        <f>HLOOKUP(INDICE!$F$2,Nombres!$C$3:$D$636,65,FALSE)</f>
        <v>Relevant business indicators</v>
      </c>
      <c r="B104" s="66"/>
      <c r="C104" s="66"/>
      <c r="D104" s="66"/>
      <c r="E104" s="66"/>
      <c r="F104" s="106"/>
      <c r="G104" s="106"/>
      <c r="H104" s="106"/>
      <c r="I104" s="106"/>
    </row>
    <row r="105" spans="1:9">
      <c r="A105" s="120"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25" t="str">
        <f>HLOOKUP(INDICE!$F$2,Nombres!$C$3:$D$636,66,FALSE)</f>
        <v>Loans and advances to customers (gross) (*)</v>
      </c>
      <c r="B107" s="77">
        <v>49077.055842262227</v>
      </c>
      <c r="C107" s="77">
        <v>56466.850439719718</v>
      </c>
      <c r="D107" s="77">
        <v>58933.803277024221</v>
      </c>
      <c r="E107" s="78">
        <v>67182.293079380048</v>
      </c>
      <c r="F107" s="77">
        <v>75656.575218088838</v>
      </c>
      <c r="G107" s="77">
        <v>0</v>
      </c>
      <c r="H107" s="77">
        <v>0</v>
      </c>
      <c r="I107" s="77">
        <v>0</v>
      </c>
    </row>
    <row r="108" spans="1:9">
      <c r="A108" s="125" t="str">
        <f>HLOOKUP(INDICE!$F$2,Nombres!$C$3:$D$636,67,FALSE)</f>
        <v>Customer deposits under management (*)</v>
      </c>
      <c r="B108" s="77">
        <v>27370.9163524172</v>
      </c>
      <c r="C108" s="77">
        <v>26084.171246071168</v>
      </c>
      <c r="D108" s="77">
        <v>35385.33297783383</v>
      </c>
      <c r="E108" s="78">
        <v>41171.693460270581</v>
      </c>
      <c r="F108" s="77">
        <v>38047.543250938768</v>
      </c>
      <c r="G108" s="77">
        <v>0</v>
      </c>
      <c r="H108" s="77">
        <v>0</v>
      </c>
      <c r="I108" s="77">
        <v>0</v>
      </c>
    </row>
    <row r="109" spans="1:9">
      <c r="A109" s="17" t="str">
        <f>HLOOKUP(INDICE!$F$2,Nombres!$C$3:$D$636,68,FALSE)</f>
        <v>Investment funds and managed portfolios</v>
      </c>
      <c r="B109" s="77">
        <v>0</v>
      </c>
      <c r="C109" s="77">
        <v>0</v>
      </c>
      <c r="D109" s="77">
        <v>0</v>
      </c>
      <c r="E109" s="78">
        <v>0</v>
      </c>
      <c r="F109" s="77">
        <v>0</v>
      </c>
      <c r="G109" s="77">
        <v>0</v>
      </c>
      <c r="H109" s="77">
        <v>0</v>
      </c>
      <c r="I109" s="77">
        <v>0</v>
      </c>
    </row>
    <row r="110" spans="1:9">
      <c r="A110" s="125" t="str">
        <f>HLOOKUP(INDICE!$F$2,Nombres!$C$3:$D$636,69,FALSE)</f>
        <v>Pension funds</v>
      </c>
      <c r="B110" s="77">
        <v>655</v>
      </c>
      <c r="C110" s="77">
        <v>681.75939010000002</v>
      </c>
      <c r="D110" s="77">
        <v>686.829971</v>
      </c>
      <c r="E110" s="78">
        <v>735.87697260000004</v>
      </c>
      <c r="F110" s="77">
        <v>754.70387359999995</v>
      </c>
      <c r="G110" s="77">
        <v>0</v>
      </c>
      <c r="H110" s="77">
        <v>0</v>
      </c>
      <c r="I110" s="77">
        <v>0</v>
      </c>
    </row>
    <row r="111" spans="1:9">
      <c r="A111" s="125" t="str">
        <f>HLOOKUP(INDICE!$F$2,Nombres!$C$3:$D$636,70,FALSE)</f>
        <v>Other off balance-sheet funds</v>
      </c>
      <c r="B111" s="77">
        <v>0</v>
      </c>
      <c r="C111" s="77">
        <v>0</v>
      </c>
      <c r="D111" s="77">
        <v>0</v>
      </c>
      <c r="E111" s="78">
        <v>0</v>
      </c>
      <c r="F111" s="77">
        <v>0</v>
      </c>
      <c r="G111" s="77">
        <v>0</v>
      </c>
      <c r="H111" s="77">
        <v>0</v>
      </c>
      <c r="I111" s="77">
        <v>0</v>
      </c>
    </row>
    <row r="112" spans="1:9">
      <c r="A112" s="129" t="str">
        <f>HLOOKUP(INDICE!$F$2,Nombres!$C$3:$D$636,71,FALSE)</f>
        <v xml:space="preserve">(*) Excluding repos. </v>
      </c>
      <c r="B112" s="86"/>
      <c r="C112" s="86"/>
      <c r="D112" s="86"/>
      <c r="E112" s="86"/>
      <c r="F112" s="86"/>
      <c r="G112" s="86"/>
      <c r="H112" s="86"/>
      <c r="I112" s="86"/>
    </row>
    <row r="113" spans="1:9">
      <c r="A113" s="129">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20" spans="1:9">
      <c r="F120" s="115"/>
      <c r="G120" s="115"/>
      <c r="H120" s="115"/>
      <c r="I120" s="115"/>
    </row>
    <row r="121" spans="1:9">
      <c r="F121" s="115"/>
      <c r="G121" s="115"/>
      <c r="H121" s="115"/>
      <c r="I121" s="115"/>
    </row>
    <row r="122" spans="1:9">
      <c r="F122" s="115"/>
      <c r="G122" s="115"/>
      <c r="H122" s="115"/>
      <c r="I122" s="115"/>
    </row>
    <row r="123" spans="1:9">
      <c r="F123" s="115"/>
      <c r="G123" s="115"/>
      <c r="H123" s="115"/>
      <c r="I123" s="115"/>
    </row>
    <row r="124" spans="1:9">
      <c r="F124" s="115"/>
      <c r="G124" s="115"/>
      <c r="H124" s="115"/>
      <c r="I124" s="115"/>
    </row>
    <row r="125" spans="1:9">
      <c r="F125" s="115"/>
      <c r="G125" s="115"/>
      <c r="H125" s="115"/>
      <c r="I125" s="115"/>
    </row>
    <row r="126" spans="1:9">
      <c r="F126" s="115"/>
      <c r="G126" s="115"/>
      <c r="H126" s="115"/>
      <c r="I126" s="115"/>
    </row>
    <row r="127" spans="1:9">
      <c r="F127" s="115"/>
      <c r="G127" s="115"/>
      <c r="H127" s="115"/>
      <c r="I127" s="115"/>
    </row>
    <row r="128" spans="1: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row r="164" spans="6:9">
      <c r="F164" s="115"/>
      <c r="G164" s="115"/>
      <c r="H164" s="115"/>
      <c r="I164" s="115"/>
    </row>
    <row r="165" spans="6:9">
      <c r="F165" s="115"/>
      <c r="G165" s="115"/>
      <c r="H165" s="115"/>
      <c r="I165" s="115"/>
    </row>
    <row r="166" spans="6:9">
      <c r="F166" s="115"/>
      <c r="G166" s="115"/>
      <c r="H166" s="115"/>
      <c r="I166" s="115"/>
    </row>
    <row r="1000" spans="1:1">
      <c r="A1000" s="63" t="s">
        <v>555</v>
      </c>
    </row>
  </sheetData>
  <mergeCells count="4">
    <mergeCell ref="B6:E6"/>
    <mergeCell ref="F6:I6"/>
    <mergeCell ref="B62:E62"/>
    <mergeCell ref="F62:I62"/>
  </mergeCells>
  <conditionalFormatting sqref="B26:I26">
    <cfRule type="cellIs" dxfId="20" priority="2" operator="notBetween">
      <formula>0.5</formula>
      <formula>-0.5</formula>
    </cfRule>
  </conditionalFormatting>
  <conditionalFormatting sqref="B82:I82">
    <cfRule type="cellIs" dxfId="19" priority="1" operator="notBetween">
      <formula>0.5</formula>
      <formula>-0.5</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O163"/>
  <sheetViews>
    <sheetView showGridLines="0" zoomScaleNormal="100" workbookViewId="0"/>
  </sheetViews>
  <sheetFormatPr baseColWidth="10" defaultColWidth="11.453125" defaultRowHeight="14.5"/>
  <cols>
    <col min="1" max="1" width="63.7265625" style="63" customWidth="1"/>
    <col min="2" max="2" width="10.453125" style="63" customWidth="1"/>
    <col min="3" max="6" width="11.453125" style="63"/>
    <col min="7" max="9" width="0" style="63" hidden="1" customWidth="1"/>
    <col min="10" max="16384" width="11.453125" style="63"/>
  </cols>
  <sheetData>
    <row r="1" spans="1:15" ht="17">
      <c r="A1" s="118" t="str">
        <f>HLOOKUP(INDICE!$F$2,Nombres!$C$3:$D$636,19,FALSE)</f>
        <v xml:space="preserve">Corporate Center </v>
      </c>
      <c r="B1" s="62"/>
      <c r="C1" s="62"/>
      <c r="D1" s="62"/>
      <c r="E1" s="62"/>
      <c r="F1" s="62"/>
      <c r="G1" s="62"/>
      <c r="H1" s="62"/>
      <c r="I1" s="62"/>
    </row>
    <row r="2" spans="1:15" ht="19.5">
      <c r="A2" s="64"/>
      <c r="B2" s="62"/>
      <c r="C2" s="62"/>
      <c r="D2" s="62"/>
      <c r="E2" s="62"/>
      <c r="F2" s="62"/>
      <c r="G2" s="62"/>
      <c r="H2" s="62"/>
      <c r="I2" s="62"/>
    </row>
    <row r="3" spans="1:15" ht="17">
      <c r="A3" s="119" t="str">
        <f>HLOOKUP(INDICE!$F$2,Nombres!$C$3:$D$636,31,FALSE)</f>
        <v xml:space="preserve">Income statement  </v>
      </c>
      <c r="B3" s="66"/>
      <c r="C3" s="66"/>
      <c r="D3" s="66"/>
      <c r="E3" s="66"/>
      <c r="F3" s="66"/>
      <c r="G3" s="66"/>
      <c r="H3" s="66"/>
      <c r="I3" s="66"/>
    </row>
    <row r="4" spans="1:15">
      <c r="A4" s="120" t="str">
        <f>HLOOKUP(INDICE!$F$2,Nombres!$C$3:$D$636,32,FALSE)</f>
        <v>(Million euros)</v>
      </c>
      <c r="B4" s="62"/>
      <c r="C4" s="68"/>
      <c r="D4" s="68"/>
      <c r="E4" s="68"/>
      <c r="F4" s="62"/>
      <c r="G4" s="62"/>
      <c r="H4" s="62"/>
      <c r="I4" s="62"/>
    </row>
    <row r="5" spans="1:15">
      <c r="A5" s="69"/>
      <c r="B5" s="62"/>
      <c r="C5" s="68"/>
      <c r="D5" s="68"/>
      <c r="E5" s="68"/>
      <c r="F5" s="62"/>
      <c r="G5" s="62"/>
      <c r="H5" s="62"/>
      <c r="I5" s="62"/>
    </row>
    <row r="6" spans="1:15">
      <c r="A6" s="70"/>
      <c r="B6" s="301">
        <f>+España!B6</f>
        <v>2025</v>
      </c>
      <c r="C6" s="301"/>
      <c r="D6" s="301"/>
      <c r="E6" s="302"/>
      <c r="F6" s="301">
        <f>+España!F6</f>
        <v>2026</v>
      </c>
      <c r="G6" s="301"/>
      <c r="H6" s="301"/>
      <c r="I6" s="301"/>
    </row>
    <row r="7" spans="1:15">
      <c r="A7" s="70"/>
      <c r="B7" s="121" t="str">
        <f>+España!B7</f>
        <v>1Q</v>
      </c>
      <c r="C7" s="121" t="str">
        <f>+España!C7</f>
        <v>2Q</v>
      </c>
      <c r="D7" s="121" t="str">
        <f>+España!D7</f>
        <v>3Q</v>
      </c>
      <c r="E7" s="122" t="str">
        <f>+España!E7</f>
        <v>4Q</v>
      </c>
      <c r="F7" s="121" t="str">
        <f>+España!F7</f>
        <v>1Q</v>
      </c>
      <c r="G7" s="121" t="str">
        <f>+España!G7</f>
        <v>2Q</v>
      </c>
      <c r="H7" s="121" t="str">
        <f>+España!H7</f>
        <v>3Q</v>
      </c>
      <c r="I7" s="121" t="str">
        <f>+España!I7</f>
        <v>4Q</v>
      </c>
    </row>
    <row r="8" spans="1:15">
      <c r="A8" s="25" t="str">
        <f>HLOOKUP(INDICE!$F$2,Nombres!$C$3:$D$636,33,FALSE)</f>
        <v>Net interest income</v>
      </c>
      <c r="B8" s="25">
        <v>-88.295080894836474</v>
      </c>
      <c r="C8" s="25">
        <v>-93.852774011299218</v>
      </c>
      <c r="D8" s="25">
        <v>-119.12908290327634</v>
      </c>
      <c r="E8" s="73">
        <v>-142.39602540207076</v>
      </c>
      <c r="F8" s="74">
        <v>-82.62274732296703</v>
      </c>
      <c r="G8" s="74">
        <v>0</v>
      </c>
      <c r="H8" s="123">
        <v>0</v>
      </c>
      <c r="I8" s="123">
        <v>0</v>
      </c>
      <c r="J8" s="124"/>
      <c r="K8" s="124"/>
      <c r="L8" s="124"/>
      <c r="M8" s="124"/>
      <c r="N8" s="124"/>
      <c r="O8" s="124"/>
    </row>
    <row r="9" spans="1:15">
      <c r="A9" s="125" t="str">
        <f>HLOOKUP(INDICE!$F$2,Nombres!$C$3:$D$636,34,FALSE)</f>
        <v>Net fees and commissions</v>
      </c>
      <c r="B9" s="77">
        <v>-20.753253117710695</v>
      </c>
      <c r="C9" s="77">
        <v>-33.613703535221056</v>
      </c>
      <c r="D9" s="77">
        <v>-20.82696895643366</v>
      </c>
      <c r="E9" s="78">
        <v>-37.562216131626244</v>
      </c>
      <c r="F9" s="77">
        <v>-25.272278704342604</v>
      </c>
      <c r="G9" s="77">
        <v>0</v>
      </c>
      <c r="H9" s="77">
        <v>0</v>
      </c>
      <c r="I9" s="77">
        <v>0</v>
      </c>
    </row>
    <row r="10" spans="1:15">
      <c r="A10" s="125" t="str">
        <f>HLOOKUP(INDICE!$F$2,Nombres!$C$3:$D$636,35,FALSE)</f>
        <v>Net trading income</v>
      </c>
      <c r="B10" s="77">
        <v>61.379241786030036</v>
      </c>
      <c r="C10" s="77">
        <v>-146.37706996485605</v>
      </c>
      <c r="D10" s="77">
        <v>-101.00658072912168</v>
      </c>
      <c r="E10" s="78">
        <v>-13.961516669493783</v>
      </c>
      <c r="F10" s="77">
        <v>-117.63118039996495</v>
      </c>
      <c r="G10" s="77">
        <v>0</v>
      </c>
      <c r="H10" s="77">
        <v>0</v>
      </c>
      <c r="I10" s="77">
        <v>0</v>
      </c>
    </row>
    <row r="11" spans="1:15">
      <c r="A11" s="125" t="str">
        <f>HLOOKUP(INDICE!$F$2,Nombres!$C$3:$D$636,36,FALSE)</f>
        <v>Other operating income and expenses</v>
      </c>
      <c r="B11" s="77">
        <v>7.8575155580246197</v>
      </c>
      <c r="C11" s="77">
        <v>53.942106576071069</v>
      </c>
      <c r="D11" s="77">
        <v>0.499819268249311</v>
      </c>
      <c r="E11" s="78">
        <v>55.750261269186559</v>
      </c>
      <c r="F11" s="77">
        <v>17.912540940069981</v>
      </c>
      <c r="G11" s="77">
        <v>0</v>
      </c>
      <c r="H11" s="77">
        <v>0</v>
      </c>
      <c r="I11" s="77">
        <v>0</v>
      </c>
    </row>
    <row r="12" spans="1:15">
      <c r="A12" s="25" t="str">
        <f>HLOOKUP(INDICE!$F$2,Nombres!$C$3:$D$636,37,FALSE)</f>
        <v>Gross income</v>
      </c>
      <c r="B12" s="25">
        <f t="shared" ref="B12:I12" si="0">+SUM(B8:B11)</f>
        <v>-39.811576668492521</v>
      </c>
      <c r="C12" s="25">
        <f t="shared" si="0"/>
        <v>-219.90144093530523</v>
      </c>
      <c r="D12" s="25">
        <f t="shared" si="0"/>
        <v>-240.46281332058237</v>
      </c>
      <c r="E12" s="73">
        <f t="shared" si="0"/>
        <v>-138.16949693400423</v>
      </c>
      <c r="F12" s="74">
        <f t="shared" si="0"/>
        <v>-207.6136654872046</v>
      </c>
      <c r="G12" s="74">
        <f t="shared" si="0"/>
        <v>0</v>
      </c>
      <c r="H12" s="74">
        <f t="shared" si="0"/>
        <v>0</v>
      </c>
      <c r="I12" s="74">
        <f t="shared" si="0"/>
        <v>0</v>
      </c>
    </row>
    <row r="13" spans="1:15">
      <c r="A13" s="125" t="str">
        <f>HLOOKUP(INDICE!$F$2,Nombres!$C$3:$D$636,38,FALSE)</f>
        <v>Operating expenses</v>
      </c>
      <c r="B13" s="77">
        <v>-190.49897854507111</v>
      </c>
      <c r="C13" s="77">
        <v>-109.63330005698496</v>
      </c>
      <c r="D13" s="77">
        <v>-223.60110919994557</v>
      </c>
      <c r="E13" s="78">
        <v>-266.06929104471442</v>
      </c>
      <c r="F13" s="77">
        <v>-242.11740846961729</v>
      </c>
      <c r="G13" s="77">
        <v>0</v>
      </c>
      <c r="H13" s="77">
        <v>0</v>
      </c>
      <c r="I13" s="77">
        <v>0</v>
      </c>
    </row>
    <row r="14" spans="1:15">
      <c r="A14" s="125" t="str">
        <f>HLOOKUP(INDICE!$F$2,Nombres!$C$3:$D$636,39,FALSE)</f>
        <v xml:space="preserve">  Administration expenses</v>
      </c>
      <c r="B14" s="77">
        <v>-136.01615650439112</v>
      </c>
      <c r="C14" s="77">
        <v>-56.808331903204888</v>
      </c>
      <c r="D14" s="77">
        <v>-172.03372848993553</v>
      </c>
      <c r="E14" s="78">
        <v>-211.74039594261453</v>
      </c>
      <c r="F14" s="77">
        <v>-185.72763898925726</v>
      </c>
      <c r="G14" s="77">
        <v>0</v>
      </c>
      <c r="H14" s="77">
        <v>0</v>
      </c>
      <c r="I14" s="77">
        <v>0</v>
      </c>
    </row>
    <row r="15" spans="1:15">
      <c r="A15" s="126" t="str">
        <f>HLOOKUP(INDICE!$F$2,Nombres!$C$3:$D$636,40,FALSE)</f>
        <v xml:space="preserve">  Personnel expenses</v>
      </c>
      <c r="B15" s="77">
        <v>-204.8401237069198</v>
      </c>
      <c r="C15" s="77">
        <v>-202.72775496357903</v>
      </c>
      <c r="D15" s="77">
        <v>-218.74050942529328</v>
      </c>
      <c r="E15" s="78">
        <v>-244.03872570042654</v>
      </c>
      <c r="F15" s="77">
        <v>-277.20669327038013</v>
      </c>
      <c r="G15" s="77">
        <v>0</v>
      </c>
      <c r="H15" s="77">
        <v>0</v>
      </c>
      <c r="I15" s="77">
        <v>0</v>
      </c>
    </row>
    <row r="16" spans="1:15">
      <c r="A16" s="126" t="str">
        <f>HLOOKUP(INDICE!$F$2,Nombres!$C$3:$D$636,41,FALSE)</f>
        <v xml:space="preserve">  General and administrative expenses</v>
      </c>
      <c r="B16" s="77">
        <v>68.82396720252865</v>
      </c>
      <c r="C16" s="77">
        <v>145.91942306037413</v>
      </c>
      <c r="D16" s="77">
        <v>46.706780935357777</v>
      </c>
      <c r="E16" s="78">
        <v>32.298329757812013</v>
      </c>
      <c r="F16" s="77">
        <v>91.479054281122899</v>
      </c>
      <c r="G16" s="77">
        <v>0</v>
      </c>
      <c r="H16" s="77">
        <v>0</v>
      </c>
      <c r="I16" s="77">
        <v>0</v>
      </c>
    </row>
    <row r="17" spans="1:9">
      <c r="A17" s="125" t="str">
        <f>HLOOKUP(INDICE!$F$2,Nombres!$C$3:$D$636,42,FALSE)</f>
        <v xml:space="preserve">  Depreciation</v>
      </c>
      <c r="B17" s="77">
        <v>-54.482822040679977</v>
      </c>
      <c r="C17" s="77">
        <v>-52.82496815378007</v>
      </c>
      <c r="D17" s="77">
        <v>-51.567380710010063</v>
      </c>
      <c r="E17" s="78">
        <v>-54.328895102099871</v>
      </c>
      <c r="F17" s="77">
        <v>-56.38976948036003</v>
      </c>
      <c r="G17" s="77">
        <v>0</v>
      </c>
      <c r="H17" s="77">
        <v>0</v>
      </c>
      <c r="I17" s="77">
        <v>0</v>
      </c>
    </row>
    <row r="18" spans="1:9">
      <c r="A18" s="25" t="str">
        <f>HLOOKUP(INDICE!$F$2,Nombres!$C$3:$D$636,43,FALSE)</f>
        <v>Operating income</v>
      </c>
      <c r="B18" s="25">
        <f t="shared" ref="B18:I18" si="1">+B12+B13</f>
        <v>-230.31055521356365</v>
      </c>
      <c r="C18" s="25">
        <f t="shared" si="1"/>
        <v>-329.53474099229021</v>
      </c>
      <c r="D18" s="25">
        <f t="shared" si="1"/>
        <v>-464.06392252052797</v>
      </c>
      <c r="E18" s="73">
        <f t="shared" si="1"/>
        <v>-404.23878797871862</v>
      </c>
      <c r="F18" s="74">
        <f t="shared" si="1"/>
        <v>-449.73107395682189</v>
      </c>
      <c r="G18" s="74">
        <f t="shared" si="1"/>
        <v>0</v>
      </c>
      <c r="H18" s="74">
        <f t="shared" si="1"/>
        <v>0</v>
      </c>
      <c r="I18" s="74">
        <f t="shared" si="1"/>
        <v>0</v>
      </c>
    </row>
    <row r="19" spans="1:9">
      <c r="A19" s="125" t="str">
        <f>HLOOKUP(INDICE!$F$2,Nombres!$C$3:$D$636,44,FALSE)</f>
        <v>Impaiment on financial assets not measured at fair value through profit or loss</v>
      </c>
      <c r="B19" s="77">
        <v>-0.90320965370028883</v>
      </c>
      <c r="C19" s="77">
        <v>-0.77321272086815296</v>
      </c>
      <c r="D19" s="77">
        <v>0.79925317910302407</v>
      </c>
      <c r="E19" s="78">
        <v>-0.21007851810082045</v>
      </c>
      <c r="F19" s="77">
        <v>3.6083679529000454</v>
      </c>
      <c r="G19" s="77">
        <v>0</v>
      </c>
      <c r="H19" s="77">
        <v>0</v>
      </c>
      <c r="I19" s="77">
        <v>0</v>
      </c>
    </row>
    <row r="20" spans="1:9">
      <c r="A20" s="125" t="str">
        <f>HLOOKUP(INDICE!$F$2,Nombres!$C$3:$D$636,45,FALSE)</f>
        <v>Provisions or reversal of provisions and other results</v>
      </c>
      <c r="B20" s="77">
        <v>3.5618278015720057</v>
      </c>
      <c r="C20" s="77">
        <v>16.856860119407536</v>
      </c>
      <c r="D20" s="77">
        <v>4.4938208931944867</v>
      </c>
      <c r="E20" s="78">
        <v>3.4575358483631469E-2</v>
      </c>
      <c r="F20" s="77">
        <v>2.897570666177006</v>
      </c>
      <c r="G20" s="77">
        <v>0</v>
      </c>
      <c r="H20" s="77">
        <v>0</v>
      </c>
      <c r="I20" s="77">
        <v>0</v>
      </c>
    </row>
    <row r="21" spans="1:9">
      <c r="A21" s="127" t="str">
        <f>HLOOKUP(INDICE!$F$2,Nombres!$C$3:$D$636,46,FALSE)</f>
        <v>Profit/(loss) before tax</v>
      </c>
      <c r="B21" s="25">
        <f t="shared" ref="B21:I21" si="2">+B18+B19+B20</f>
        <v>-227.65193706569192</v>
      </c>
      <c r="C21" s="25">
        <f t="shared" si="2"/>
        <v>-313.45109359375084</v>
      </c>
      <c r="D21" s="25">
        <f t="shared" si="2"/>
        <v>-458.77084844823048</v>
      </c>
      <c r="E21" s="73">
        <f t="shared" si="2"/>
        <v>-404.41429113833584</v>
      </c>
      <c r="F21" s="74">
        <f t="shared" si="2"/>
        <v>-443.22513533774486</v>
      </c>
      <c r="G21" s="74">
        <f t="shared" si="2"/>
        <v>0</v>
      </c>
      <c r="H21" s="74">
        <f t="shared" si="2"/>
        <v>0</v>
      </c>
      <c r="I21" s="74">
        <f t="shared" si="2"/>
        <v>0</v>
      </c>
    </row>
    <row r="22" spans="1:9">
      <c r="A22" s="17" t="str">
        <f>HLOOKUP(INDICE!$F$2,Nombres!$C$3:$D$636,47,FALSE)</f>
        <v>Income tax</v>
      </c>
      <c r="B22" s="77">
        <v>39.00779921945449</v>
      </c>
      <c r="C22" s="77">
        <v>120.67720864724699</v>
      </c>
      <c r="D22" s="77">
        <v>121.93966899784273</v>
      </c>
      <c r="E22" s="78">
        <v>74.038694219824691</v>
      </c>
      <c r="F22" s="77">
        <v>144.77387571978963</v>
      </c>
      <c r="G22" s="77">
        <v>0</v>
      </c>
      <c r="H22" s="77">
        <v>0</v>
      </c>
      <c r="I22" s="77">
        <v>0</v>
      </c>
    </row>
    <row r="23" spans="1:9">
      <c r="A23" s="25" t="str">
        <f>HLOOKUP(INDICE!$F$2,Nombres!$C$3:$D$636,48,FALSE)</f>
        <v>Profit/(loss) for the year</v>
      </c>
      <c r="B23" s="25">
        <f t="shared" ref="B23:I23" si="3">+B21+B22</f>
        <v>-188.64413784623744</v>
      </c>
      <c r="C23" s="25">
        <f t="shared" si="3"/>
        <v>-192.77388494650387</v>
      </c>
      <c r="D23" s="25">
        <f t="shared" si="3"/>
        <v>-336.83117945038776</v>
      </c>
      <c r="E23" s="73">
        <f t="shared" si="3"/>
        <v>-330.37559691851118</v>
      </c>
      <c r="F23" s="74">
        <f t="shared" si="3"/>
        <v>-298.4512596179552</v>
      </c>
      <c r="G23" s="74">
        <f t="shared" si="3"/>
        <v>0</v>
      </c>
      <c r="H23" s="74">
        <f t="shared" si="3"/>
        <v>0</v>
      </c>
      <c r="I23" s="74">
        <f t="shared" si="3"/>
        <v>0</v>
      </c>
    </row>
    <row r="24" spans="1:9">
      <c r="A24" s="17" t="str">
        <f>HLOOKUP(INDICE!$F$2,Nombres!$C$3:$D$636,49,FALSE)</f>
        <v>Non-controlling interests</v>
      </c>
      <c r="B24" s="77">
        <v>-6.5241042381794134</v>
      </c>
      <c r="C24" s="77">
        <v>-2.1803892622060328</v>
      </c>
      <c r="D24" s="77">
        <v>3.7466978458917324</v>
      </c>
      <c r="E24" s="78">
        <v>-1.8960929055919538</v>
      </c>
      <c r="F24" s="77">
        <v>-6.9766913466759197</v>
      </c>
      <c r="G24" s="77">
        <v>0</v>
      </c>
      <c r="H24" s="77">
        <v>0</v>
      </c>
      <c r="I24" s="77">
        <v>0</v>
      </c>
    </row>
    <row r="25" spans="1:9">
      <c r="A25" s="19" t="str">
        <f>HLOOKUP(INDICE!$F$2,Nombres!$C$3:$D$636,50,FALSE)</f>
        <v>Net attributable profit</v>
      </c>
      <c r="B25" s="19">
        <f>+B23+B24</f>
        <v>-195.16824208441685</v>
      </c>
      <c r="C25" s="19">
        <f t="shared" ref="C25:I25" si="4">+C23+C24</f>
        <v>-194.9542742087099</v>
      </c>
      <c r="D25" s="19">
        <f t="shared" si="4"/>
        <v>-333.08448160449603</v>
      </c>
      <c r="E25" s="19">
        <f t="shared" si="4"/>
        <v>-332.27168982410313</v>
      </c>
      <c r="F25" s="19">
        <f t="shared" si="4"/>
        <v>-305.42795096463112</v>
      </c>
      <c r="G25" s="19">
        <f t="shared" si="4"/>
        <v>0</v>
      </c>
      <c r="H25" s="19">
        <f t="shared" si="4"/>
        <v>0</v>
      </c>
      <c r="I25" s="19">
        <f t="shared" si="4"/>
        <v>0</v>
      </c>
    </row>
    <row r="26" spans="1:9">
      <c r="A26" s="130" t="s">
        <v>557</v>
      </c>
      <c r="B26" s="77"/>
      <c r="C26" s="77"/>
      <c r="D26" s="77"/>
      <c r="E26" s="77"/>
      <c r="F26" s="77"/>
      <c r="G26" s="77"/>
      <c r="H26" s="77"/>
      <c r="I26" s="77"/>
    </row>
    <row r="27" spans="1:9" ht="14.5" customHeight="1">
      <c r="A27" s="300"/>
      <c r="B27" s="300"/>
      <c r="C27" s="300"/>
      <c r="D27" s="300"/>
      <c r="E27" s="300"/>
      <c r="F27" s="300"/>
      <c r="G27" s="300"/>
      <c r="H27" s="300"/>
      <c r="I27" s="300"/>
    </row>
    <row r="28" spans="1:9">
      <c r="A28" s="300"/>
      <c r="B28" s="300"/>
      <c r="C28" s="300"/>
      <c r="D28" s="300"/>
      <c r="E28" s="300"/>
      <c r="F28" s="300"/>
      <c r="G28" s="300"/>
      <c r="H28" s="300"/>
      <c r="I28" s="300"/>
    </row>
    <row r="29" spans="1:9">
      <c r="A29" s="25"/>
      <c r="B29" s="101" t="e">
        <v>#REF!</v>
      </c>
      <c r="C29" s="101" t="e">
        <v>#REF!</v>
      </c>
      <c r="D29" s="101" t="e">
        <v>#REF!</v>
      </c>
      <c r="E29" s="101" t="e">
        <v>#REF!</v>
      </c>
      <c r="F29" s="101" t="e">
        <v>#REF!</v>
      </c>
      <c r="G29" s="101" t="e">
        <v>#REF!</v>
      </c>
      <c r="H29" s="101" t="e">
        <v>#REF!</v>
      </c>
      <c r="I29" s="101" t="e">
        <v>#REF!</v>
      </c>
    </row>
    <row r="30" spans="1:9">
      <c r="A30" s="25"/>
      <c r="B30" s="25"/>
      <c r="C30" s="25"/>
      <c r="D30" s="25"/>
      <c r="E30" s="25"/>
      <c r="F30" s="25"/>
      <c r="G30" s="25"/>
      <c r="H30" s="25"/>
      <c r="I30" s="25"/>
    </row>
    <row r="31" spans="1:9" ht="17">
      <c r="A31" s="119" t="str">
        <f>HLOOKUP(INDICE!$F$2,Nombres!$C$3:$D$636,51,FALSE)</f>
        <v>Balance sheets</v>
      </c>
      <c r="B31" s="66"/>
      <c r="C31" s="66"/>
      <c r="D31" s="66"/>
      <c r="E31" s="66"/>
      <c r="F31" s="113"/>
      <c r="G31" s="113"/>
      <c r="H31" s="113"/>
      <c r="I31" s="113"/>
    </row>
    <row r="32" spans="1:9">
      <c r="A32" s="120" t="str">
        <f>HLOOKUP(INDICE!$F$2,Nombres!$C$3:$D$636,32,FALSE)</f>
        <v>(Million euros)</v>
      </c>
      <c r="B32" s="62"/>
      <c r="C32" s="85"/>
      <c r="D32" s="85"/>
      <c r="E32" s="85"/>
      <c r="F32" s="105"/>
      <c r="G32" s="103"/>
      <c r="H32" s="103"/>
      <c r="I32" s="103"/>
    </row>
    <row r="33" spans="1:9">
      <c r="A33" s="62"/>
      <c r="B33" s="87">
        <f>+España!B32</f>
        <v>45747</v>
      </c>
      <c r="C33" s="87">
        <f>+España!C32</f>
        <v>45838</v>
      </c>
      <c r="D33" s="87">
        <f>+España!D32</f>
        <v>45930</v>
      </c>
      <c r="E33" s="100">
        <f>+España!E32</f>
        <v>46022</v>
      </c>
      <c r="F33" s="87">
        <f>+España!F32</f>
        <v>46112</v>
      </c>
      <c r="G33" s="87">
        <f>+España!G32</f>
        <v>46203</v>
      </c>
      <c r="H33" s="87">
        <f>+España!H32</f>
        <v>46295</v>
      </c>
      <c r="I33" s="87">
        <f>+España!I32</f>
        <v>46387</v>
      </c>
    </row>
    <row r="34" spans="1:9">
      <c r="A34" s="125" t="str">
        <f>HLOOKUP(INDICE!$F$2,Nombres!$C$3:$D$636,52,FALSE)</f>
        <v>Cash, cash balances at central banks and other demand deposits</v>
      </c>
      <c r="B34" s="77">
        <v>454.18299999999999</v>
      </c>
      <c r="C34" s="77">
        <v>521.49699999999996</v>
      </c>
      <c r="D34" s="77">
        <v>526.77700000000004</v>
      </c>
      <c r="E34" s="78">
        <v>516.149</v>
      </c>
      <c r="F34" s="77">
        <v>501.11239999999998</v>
      </c>
      <c r="G34" s="77">
        <v>0</v>
      </c>
      <c r="H34" s="77">
        <v>0</v>
      </c>
      <c r="I34" s="77">
        <v>0</v>
      </c>
    </row>
    <row r="35" spans="1:9">
      <c r="A35" s="125" t="str">
        <f>HLOOKUP(INDICE!$F$2,Nombres!$C$3:$D$636,53,FALSE)</f>
        <v xml:space="preserve">Financial assets designated at fair value </v>
      </c>
      <c r="B35" s="86">
        <v>6970.8568494199999</v>
      </c>
      <c r="C35" s="86">
        <v>7234.1404927200001</v>
      </c>
      <c r="D35" s="86">
        <v>6719.9392802400007</v>
      </c>
      <c r="E35" s="97">
        <v>6737.4656184799996</v>
      </c>
      <c r="F35" s="86">
        <v>6931.8991662400003</v>
      </c>
      <c r="G35" s="86">
        <v>0</v>
      </c>
      <c r="H35" s="86">
        <v>0</v>
      </c>
      <c r="I35" s="86">
        <v>0</v>
      </c>
    </row>
    <row r="36" spans="1:9">
      <c r="A36" s="17" t="str">
        <f>HLOOKUP(INDICE!$F$2,Nombres!$C$3:$D$636,54,FALSE)</f>
        <v>Financial assets at amortized cost</v>
      </c>
      <c r="B36" s="77">
        <v>4747.9641166599995</v>
      </c>
      <c r="C36" s="77">
        <v>4468.8352498500008</v>
      </c>
      <c r="D36" s="77">
        <v>4334.3767763199994</v>
      </c>
      <c r="E36" s="78">
        <v>4146.4092704499999</v>
      </c>
      <c r="F36" s="77">
        <v>4776.5164538999998</v>
      </c>
      <c r="G36" s="77">
        <v>0</v>
      </c>
      <c r="H36" s="77">
        <v>0</v>
      </c>
      <c r="I36" s="77">
        <v>0</v>
      </c>
    </row>
    <row r="37" spans="1:9">
      <c r="A37" s="125" t="str">
        <f>HLOOKUP(INDICE!$F$2,Nombres!$C$3:$D$636,55,FALSE)</f>
        <v xml:space="preserve">    of which loans and advances to customers</v>
      </c>
      <c r="B37" s="77">
        <v>491.28546725000007</v>
      </c>
      <c r="C37" s="77">
        <v>623.29663304999997</v>
      </c>
      <c r="D37" s="77">
        <v>451.55547248999989</v>
      </c>
      <c r="E37" s="78">
        <v>360.98474082999996</v>
      </c>
      <c r="F37" s="77">
        <v>538.9256771900001</v>
      </c>
      <c r="G37" s="77">
        <v>0</v>
      </c>
      <c r="H37" s="77">
        <v>0</v>
      </c>
      <c r="I37" s="77">
        <v>0</v>
      </c>
    </row>
    <row r="38" spans="1:9">
      <c r="A38" s="125" t="str">
        <f>HLOOKUP(INDICE!$F$2,Nombres!$C$3:$D$636,121,FALSE)</f>
        <v>Inter-area positions</v>
      </c>
      <c r="B38" s="77">
        <v>-5.0600385665893553E-7</v>
      </c>
      <c r="C38" s="77">
        <v>4.5234560966491699E-9</v>
      </c>
      <c r="D38" s="77">
        <v>-2.4465942382812499E-7</v>
      </c>
      <c r="E38" s="78">
        <v>-1.4920091629028319E-7</v>
      </c>
      <c r="F38" s="77">
        <v>568.12316942632685</v>
      </c>
      <c r="G38" s="77">
        <v>0</v>
      </c>
      <c r="H38" s="77">
        <v>0</v>
      </c>
      <c r="I38" s="77">
        <v>0</v>
      </c>
    </row>
    <row r="39" spans="1:9">
      <c r="A39" s="17" t="str">
        <f>HLOOKUP(INDICE!$F$2,Nombres!$C$3:$D$636,56,FALSE)</f>
        <v>Tangible assets</v>
      </c>
      <c r="B39" s="77">
        <v>1880.1421288399999</v>
      </c>
      <c r="C39" s="77">
        <v>1860.8829014100002</v>
      </c>
      <c r="D39" s="77">
        <v>1857.5142987699999</v>
      </c>
      <c r="E39" s="78">
        <v>1855.1369762200002</v>
      </c>
      <c r="F39" s="77">
        <v>1837.7205846500001</v>
      </c>
      <c r="G39" s="77">
        <v>0</v>
      </c>
      <c r="H39" s="77">
        <v>0</v>
      </c>
      <c r="I39" s="77">
        <v>0</v>
      </c>
    </row>
    <row r="40" spans="1:9">
      <c r="A40" s="125" t="str">
        <f>HLOOKUP(INDICE!$F$2,Nombres!$C$3:$D$636,57,FALSE)</f>
        <v>Other assets</v>
      </c>
      <c r="B40" s="77">
        <v>14965.970685510003</v>
      </c>
      <c r="C40" s="77">
        <v>15655.176650560003</v>
      </c>
      <c r="D40" s="77">
        <v>15504.87733493001</v>
      </c>
      <c r="E40" s="78">
        <v>15713.687911720015</v>
      </c>
      <c r="F40" s="77">
        <v>14221.139584609999</v>
      </c>
      <c r="G40" s="77">
        <v>0</v>
      </c>
      <c r="H40" s="77">
        <v>0</v>
      </c>
      <c r="I40" s="77">
        <v>0</v>
      </c>
    </row>
    <row r="41" spans="1:9">
      <c r="A41" s="128" t="str">
        <f>HLOOKUP(INDICE!$F$2,Nombres!$C$3:$D$636,58,FALSE)</f>
        <v>Total assets / Liabilities and equity</v>
      </c>
      <c r="B41" s="96">
        <f t="shared" ref="B41:I41" si="5">+B34+B35+B36+B38+B39+B40</f>
        <v>29019.116779923999</v>
      </c>
      <c r="C41" s="96">
        <f t="shared" si="5"/>
        <v>29740.532294544526</v>
      </c>
      <c r="D41" s="96">
        <f t="shared" si="5"/>
        <v>28943.48469001535</v>
      </c>
      <c r="E41" s="112">
        <f t="shared" si="5"/>
        <v>28968.848776720813</v>
      </c>
      <c r="F41" s="96">
        <f t="shared" si="5"/>
        <v>28836.511358826327</v>
      </c>
      <c r="G41" s="96">
        <f t="shared" si="5"/>
        <v>0</v>
      </c>
      <c r="H41" s="96">
        <f t="shared" si="5"/>
        <v>0</v>
      </c>
      <c r="I41" s="96">
        <f t="shared" si="5"/>
        <v>0</v>
      </c>
    </row>
    <row r="42" spans="1:9">
      <c r="A42" s="125" t="str">
        <f>HLOOKUP(INDICE!$F$2,Nombres!$C$3:$D$636,59,FALSE)</f>
        <v>Financial liabilities held for trading and designated at fair value through profit or loss</v>
      </c>
      <c r="B42" s="77">
        <v>79.387182670000001</v>
      </c>
      <c r="C42" s="77">
        <v>74.412758530000005</v>
      </c>
      <c r="D42" s="77">
        <v>121.55004004999998</v>
      </c>
      <c r="E42" s="78">
        <v>139.32609381999998</v>
      </c>
      <c r="F42" s="77">
        <v>229.53711529999998</v>
      </c>
      <c r="G42" s="77">
        <v>0</v>
      </c>
      <c r="H42" s="77">
        <v>0</v>
      </c>
      <c r="I42" s="77">
        <v>0</v>
      </c>
    </row>
    <row r="43" spans="1:9">
      <c r="A43" s="125" t="str">
        <f>HLOOKUP(INDICE!$F$2,Nombres!$C$3:$D$636,60,FALSE)</f>
        <v>Deposits from central banks and credit institutions</v>
      </c>
      <c r="B43" s="77">
        <v>3965.1580467499998</v>
      </c>
      <c r="C43" s="77">
        <v>4020.8346983599995</v>
      </c>
      <c r="D43" s="77">
        <v>3803.7060399699999</v>
      </c>
      <c r="E43" s="78">
        <v>3792.8075758499999</v>
      </c>
      <c r="F43" s="77">
        <v>3876.4898886000005</v>
      </c>
      <c r="G43" s="77">
        <v>0</v>
      </c>
      <c r="H43" s="77">
        <v>0</v>
      </c>
      <c r="I43" s="77">
        <v>0</v>
      </c>
    </row>
    <row r="44" spans="1:9" ht="15.75" customHeight="1">
      <c r="A44" s="125" t="str">
        <f>HLOOKUP(INDICE!$F$2,Nombres!$C$3:$D$636,61,FALSE)</f>
        <v>Deposits from customers</v>
      </c>
      <c r="B44" s="77">
        <v>1692.6003821800002</v>
      </c>
      <c r="C44" s="77">
        <v>1852.6794957700001</v>
      </c>
      <c r="D44" s="77">
        <v>1788.7338434200001</v>
      </c>
      <c r="E44" s="78">
        <v>2001.2564306899999</v>
      </c>
      <c r="F44" s="77">
        <v>2062.6266583800002</v>
      </c>
      <c r="G44" s="77">
        <v>0</v>
      </c>
      <c r="H44" s="77">
        <v>0</v>
      </c>
      <c r="I44" s="77">
        <v>0</v>
      </c>
    </row>
    <row r="45" spans="1:9">
      <c r="A45" s="17" t="str">
        <f>HLOOKUP(INDICE!$F$2,Nombres!$C$3:$D$636,62,FALSE)</f>
        <v>Debt certificates</v>
      </c>
      <c r="B45" s="77">
        <v>3143.9509234790607</v>
      </c>
      <c r="C45" s="77">
        <v>2735.240914430552</v>
      </c>
      <c r="D45" s="77">
        <v>2586.1832233401133</v>
      </c>
      <c r="E45" s="78">
        <v>3887.9011015161173</v>
      </c>
      <c r="F45" s="77">
        <v>2986.6290245920604</v>
      </c>
      <c r="G45" s="77">
        <v>0</v>
      </c>
      <c r="H45" s="77">
        <v>0</v>
      </c>
      <c r="I45" s="77">
        <v>0</v>
      </c>
    </row>
    <row r="46" spans="1:9">
      <c r="A46" s="125" t="str">
        <f>HLOOKUP(INDICE!$F$2,Nombres!$C$3:$D$636,122,FALSE)</f>
        <v>Inter-area positions</v>
      </c>
      <c r="B46" s="77">
        <v>458.04704473352052</v>
      </c>
      <c r="C46" s="77">
        <v>1690.6188710842591</v>
      </c>
      <c r="D46" s="77">
        <v>1507.0281253745422</v>
      </c>
      <c r="E46" s="78">
        <v>397.55403612025452</v>
      </c>
      <c r="F46" s="77">
        <v>0</v>
      </c>
      <c r="G46" s="77">
        <v>0</v>
      </c>
      <c r="H46" s="77">
        <v>0</v>
      </c>
      <c r="I46" s="77">
        <v>0</v>
      </c>
    </row>
    <row r="47" spans="1:9">
      <c r="A47" s="17" t="str">
        <f>HLOOKUP(INDICE!$F$2,Nombres!$C$3:$D$636,63,FALSE)</f>
        <v>Other liabilities</v>
      </c>
      <c r="B47" s="77">
        <f t="shared" ref="B47:I47" si="6">+B41-B42-B43-B44-B45-B46-B49-B48</f>
        <v>8286.9546211772758</v>
      </c>
      <c r="C47" s="77">
        <f t="shared" si="6"/>
        <v>6023.2558696328197</v>
      </c>
      <c r="D47" s="77">
        <f t="shared" si="6"/>
        <v>5585.3205804617755</v>
      </c>
      <c r="E47" s="78">
        <f t="shared" si="6"/>
        <v>4846.6835209561541</v>
      </c>
      <c r="F47" s="77">
        <f t="shared" si="6"/>
        <v>8230.2702582651618</v>
      </c>
      <c r="G47" s="77">
        <f t="shared" si="6"/>
        <v>0</v>
      </c>
      <c r="H47" s="77">
        <f t="shared" si="6"/>
        <v>0</v>
      </c>
      <c r="I47" s="77">
        <f t="shared" si="6"/>
        <v>0</v>
      </c>
    </row>
    <row r="48" spans="1:9">
      <c r="A48" s="17" t="str">
        <f>HLOOKUP(INDICE!$F$2,Nombres!$C$3:$D$636,282,FALSE)</f>
        <v>Allocated regulatory capital</v>
      </c>
      <c r="B48" s="77">
        <f>-España!B47-Mexico!B45-Turquia!B45-AdS!B45-'Resto de Negocios'!B45</f>
        <v>-47870.698421065856</v>
      </c>
      <c r="C48" s="77">
        <f>-España!C47-Mexico!C45-Turquia!C45-AdS!C45-'Resto de Negocios'!C45</f>
        <v>-47543.144313263096</v>
      </c>
      <c r="D48" s="77">
        <f>-España!D47-Mexico!D45-Turquia!D45-AdS!D45-'Resto de Negocios'!D45</f>
        <v>-48258.390162601107</v>
      </c>
      <c r="E48" s="78">
        <f>-España!E47-Mexico!E45-Turquia!E45-AdS!E45-'Resto de Negocios'!E45</f>
        <v>-47894.68098223173</v>
      </c>
      <c r="F48" s="77">
        <f>-España!F47-Mexico!F45-Turquia!F45-AdS!F45-'Resto de Negocios'!F45</f>
        <v>-49352.786586310896</v>
      </c>
      <c r="G48" s="77">
        <f>-España!G47-Mexico!G45-Turquia!G45-AdS!G45-'Resto de Negocios'!G45</f>
        <v>0</v>
      </c>
      <c r="H48" s="77">
        <f>-España!H47-Mexico!H45-Turquia!H45-AdS!H45-'Resto de Negocios'!H45</f>
        <v>0</v>
      </c>
      <c r="I48" s="77">
        <f>-España!I47-Mexico!I45-Turquia!I45-AdS!I45-'Resto de Negocios'!I45</f>
        <v>0</v>
      </c>
    </row>
    <row r="49" spans="1:9">
      <c r="A49" s="125" t="str">
        <f>HLOOKUP(INDICE!$F$2,Nombres!$C$3:$D$636,150,FALSE)</f>
        <v>Total equity</v>
      </c>
      <c r="B49" s="77">
        <v>59263.716999999997</v>
      </c>
      <c r="C49" s="77">
        <v>60886.633999999991</v>
      </c>
      <c r="D49" s="77">
        <v>61809.353000000032</v>
      </c>
      <c r="E49" s="78">
        <v>61798.001000000018</v>
      </c>
      <c r="F49" s="77">
        <v>60803.745000000003</v>
      </c>
      <c r="G49" s="77">
        <v>0</v>
      </c>
      <c r="H49" s="77">
        <v>0</v>
      </c>
      <c r="I49" s="77">
        <v>0</v>
      </c>
    </row>
    <row r="50" spans="1:9">
      <c r="A50" s="17"/>
      <c r="B50" s="86"/>
      <c r="C50" s="86"/>
      <c r="D50" s="86"/>
      <c r="E50" s="86"/>
      <c r="F50" s="86"/>
      <c r="G50" s="86"/>
      <c r="H50" s="86"/>
      <c r="I50" s="86"/>
    </row>
    <row r="51" spans="1:9">
      <c r="A51" s="17"/>
      <c r="B51" s="86"/>
      <c r="C51" s="86"/>
      <c r="D51" s="86"/>
      <c r="E51" s="86"/>
      <c r="F51" s="86"/>
      <c r="G51" s="86"/>
      <c r="H51" s="86"/>
      <c r="I51" s="86"/>
    </row>
    <row r="52" spans="1:9">
      <c r="A52" s="17"/>
      <c r="B52" s="86"/>
      <c r="C52" s="86"/>
      <c r="D52" s="86"/>
      <c r="E52" s="86"/>
      <c r="F52" s="77"/>
      <c r="G52" s="77"/>
      <c r="H52" s="77"/>
      <c r="I52" s="77"/>
    </row>
    <row r="53" spans="1:9">
      <c r="A53" s="17"/>
      <c r="B53" s="62"/>
      <c r="C53" s="131"/>
      <c r="D53" s="62"/>
      <c r="E53" s="62"/>
      <c r="F53" s="107"/>
      <c r="G53" s="77"/>
      <c r="H53" s="77"/>
      <c r="I53" s="77"/>
    </row>
    <row r="54" spans="1:9">
      <c r="A54" s="17"/>
      <c r="B54" s="62"/>
      <c r="C54" s="87"/>
      <c r="D54" s="87"/>
      <c r="E54" s="87"/>
      <c r="F54" s="87"/>
      <c r="G54" s="87"/>
      <c r="H54" s="87"/>
      <c r="I54" s="87"/>
    </row>
    <row r="55" spans="1:9">
      <c r="A55" s="17"/>
      <c r="B55" s="77"/>
      <c r="C55" s="77"/>
      <c r="D55" s="77"/>
      <c r="E55" s="77"/>
      <c r="F55" s="77"/>
      <c r="G55" s="77"/>
      <c r="H55" s="77"/>
      <c r="I55" s="77"/>
    </row>
    <row r="56" spans="1:9">
      <c r="A56" s="25"/>
      <c r="B56" s="77"/>
      <c r="C56" s="77"/>
      <c r="D56" s="77"/>
      <c r="E56" s="77"/>
      <c r="F56" s="77"/>
      <c r="G56" s="77"/>
      <c r="H56" s="77"/>
      <c r="I56" s="77"/>
    </row>
    <row r="57" spans="1:9">
      <c r="A57" s="17"/>
      <c r="B57" s="77"/>
      <c r="C57" s="77"/>
      <c r="D57" s="77"/>
      <c r="E57" s="77"/>
      <c r="F57" s="77"/>
      <c r="G57" s="77"/>
      <c r="H57" s="77"/>
      <c r="I57" s="77"/>
    </row>
    <row r="58" spans="1:9">
      <c r="A58" s="17"/>
      <c r="B58" s="77"/>
      <c r="D58" s="77"/>
      <c r="E58" s="77"/>
      <c r="F58" s="77"/>
      <c r="G58" s="77"/>
      <c r="H58" s="77"/>
      <c r="I58" s="77"/>
    </row>
    <row r="59" spans="1:9">
      <c r="A59" s="17"/>
      <c r="B59" s="77"/>
      <c r="D59" s="77"/>
      <c r="E59" s="77"/>
      <c r="F59" s="77"/>
      <c r="G59" s="77"/>
      <c r="H59" s="77"/>
      <c r="I59" s="77"/>
    </row>
    <row r="60" spans="1:9">
      <c r="A60" s="93"/>
      <c r="B60" s="86"/>
      <c r="D60" s="86"/>
      <c r="E60" s="86"/>
      <c r="F60" s="77"/>
      <c r="G60" s="77"/>
      <c r="H60" s="77"/>
      <c r="I60" s="77"/>
    </row>
    <row r="61" spans="1:9">
      <c r="A61" s="93"/>
      <c r="B61" s="86"/>
      <c r="D61" s="62"/>
      <c r="E61" s="62"/>
      <c r="F61" s="107"/>
      <c r="G61" s="107"/>
      <c r="H61" s="107"/>
      <c r="I61" s="107"/>
    </row>
    <row r="62" spans="1:9">
      <c r="A62" s="93"/>
      <c r="B62" s="86"/>
      <c r="D62" s="62"/>
      <c r="E62" s="62"/>
      <c r="F62" s="107"/>
      <c r="G62" s="107"/>
      <c r="H62" s="107"/>
      <c r="I62" s="107"/>
    </row>
    <row r="63" spans="1:9">
      <c r="B63" s="75"/>
      <c r="C63" s="75"/>
      <c r="D63" s="75"/>
      <c r="E63" s="110"/>
      <c r="F63" s="132"/>
      <c r="G63" s="115"/>
      <c r="H63" s="115"/>
      <c r="I63" s="115"/>
    </row>
    <row r="64" spans="1:9">
      <c r="B64" s="75"/>
      <c r="F64" s="115"/>
      <c r="G64" s="115"/>
      <c r="H64" s="115"/>
      <c r="I64" s="115"/>
    </row>
    <row r="65" spans="2:9">
      <c r="B65" s="75"/>
      <c r="F65" s="115"/>
      <c r="G65" s="115"/>
      <c r="H65" s="115"/>
      <c r="I65" s="115"/>
    </row>
    <row r="66" spans="2:9">
      <c r="B66" s="75"/>
      <c r="F66" s="115"/>
      <c r="G66" s="115"/>
      <c r="H66" s="115"/>
      <c r="I66" s="115"/>
    </row>
    <row r="67" spans="2:9">
      <c r="B67" s="75"/>
      <c r="F67" s="115"/>
      <c r="G67" s="115"/>
      <c r="H67" s="115"/>
      <c r="I67" s="115"/>
    </row>
    <row r="68" spans="2:9">
      <c r="B68" s="75"/>
      <c r="F68" s="115"/>
      <c r="G68" s="115"/>
      <c r="H68" s="115"/>
      <c r="I68" s="115"/>
    </row>
    <row r="69" spans="2:9">
      <c r="B69" s="75"/>
      <c r="F69" s="115"/>
      <c r="G69" s="115"/>
      <c r="H69" s="115"/>
      <c r="I69" s="115"/>
    </row>
    <row r="70" spans="2:9">
      <c r="B70" s="75"/>
      <c r="F70" s="115"/>
      <c r="G70" s="115"/>
      <c r="H70" s="115"/>
      <c r="I70" s="115"/>
    </row>
    <row r="71" spans="2:9">
      <c r="F71" s="115"/>
      <c r="G71" s="115"/>
      <c r="H71" s="115"/>
      <c r="I71" s="115"/>
    </row>
    <row r="72" spans="2:9">
      <c r="F72" s="115"/>
      <c r="G72" s="115"/>
      <c r="H72" s="115"/>
      <c r="I72" s="115"/>
    </row>
    <row r="73" spans="2:9">
      <c r="F73" s="115"/>
      <c r="G73" s="115"/>
      <c r="H73" s="115"/>
      <c r="I73" s="115"/>
    </row>
    <row r="74" spans="2:9">
      <c r="F74" s="115"/>
      <c r="G74" s="115"/>
      <c r="H74" s="115"/>
      <c r="I74" s="115"/>
    </row>
    <row r="75" spans="2:9">
      <c r="F75" s="115"/>
      <c r="G75" s="115"/>
      <c r="H75" s="115"/>
      <c r="I75" s="115"/>
    </row>
    <row r="76" spans="2:9">
      <c r="F76" s="115"/>
      <c r="G76" s="115"/>
      <c r="H76" s="115"/>
      <c r="I76" s="115"/>
    </row>
    <row r="77" spans="2:9">
      <c r="F77" s="115"/>
      <c r="G77" s="115"/>
      <c r="H77" s="115"/>
      <c r="I77" s="115"/>
    </row>
    <row r="78" spans="2:9">
      <c r="F78" s="115"/>
      <c r="G78" s="115"/>
      <c r="H78" s="115"/>
      <c r="I78" s="115"/>
    </row>
    <row r="79" spans="2:9">
      <c r="F79" s="115"/>
      <c r="G79" s="115"/>
      <c r="H79" s="115"/>
      <c r="I79" s="115"/>
    </row>
    <row r="80" spans="2:9">
      <c r="F80" s="115"/>
      <c r="G80" s="115"/>
      <c r="H80" s="115"/>
      <c r="I80" s="115"/>
    </row>
    <row r="81" spans="6:9">
      <c r="F81" s="115"/>
      <c r="G81" s="115"/>
      <c r="H81" s="115"/>
      <c r="I81" s="115"/>
    </row>
    <row r="82" spans="6:9">
      <c r="F82" s="115"/>
      <c r="G82" s="115"/>
      <c r="H82" s="115"/>
      <c r="I82" s="115"/>
    </row>
    <row r="83" spans="6:9">
      <c r="F83" s="115"/>
      <c r="G83" s="115"/>
      <c r="H83" s="115"/>
      <c r="I83" s="115"/>
    </row>
    <row r="84" spans="6:9">
      <c r="F84" s="115"/>
      <c r="G84" s="115"/>
      <c r="H84" s="115"/>
      <c r="I84" s="115"/>
    </row>
    <row r="85" spans="6:9">
      <c r="F85" s="115"/>
      <c r="G85" s="115"/>
      <c r="H85" s="115"/>
      <c r="I85" s="115"/>
    </row>
    <row r="86" spans="6:9">
      <c r="F86" s="115"/>
      <c r="G86" s="115"/>
      <c r="H86" s="115"/>
      <c r="I86" s="115"/>
    </row>
    <row r="87" spans="6:9">
      <c r="F87" s="115"/>
      <c r="G87" s="115"/>
      <c r="H87" s="115"/>
      <c r="I87" s="115"/>
    </row>
    <row r="88" spans="6:9">
      <c r="F88" s="115"/>
      <c r="G88" s="115"/>
      <c r="H88" s="115"/>
      <c r="I88" s="115"/>
    </row>
    <row r="89" spans="6:9">
      <c r="F89" s="115"/>
      <c r="G89" s="115"/>
      <c r="H89" s="115"/>
      <c r="I89" s="115"/>
    </row>
    <row r="90" spans="6:9">
      <c r="F90" s="115"/>
      <c r="G90" s="115"/>
      <c r="H90" s="115"/>
      <c r="I90" s="115"/>
    </row>
    <row r="91" spans="6:9">
      <c r="F91" s="115"/>
      <c r="G91" s="115"/>
      <c r="H91" s="115"/>
      <c r="I91" s="115"/>
    </row>
    <row r="92" spans="6:9">
      <c r="F92" s="115"/>
      <c r="G92" s="115"/>
      <c r="H92" s="115"/>
      <c r="I92" s="115"/>
    </row>
    <row r="93" spans="6:9">
      <c r="F93" s="115"/>
      <c r="G93" s="115"/>
      <c r="H93" s="115"/>
      <c r="I93" s="115"/>
    </row>
    <row r="94" spans="6:9">
      <c r="F94" s="115"/>
      <c r="G94" s="115"/>
      <c r="H94" s="115"/>
      <c r="I94" s="115"/>
    </row>
    <row r="95" spans="6:9">
      <c r="F95" s="115"/>
      <c r="G95" s="115"/>
      <c r="H95" s="115"/>
      <c r="I95" s="115"/>
    </row>
    <row r="96" spans="6:9">
      <c r="F96" s="115"/>
      <c r="G96" s="115"/>
      <c r="H96" s="115"/>
      <c r="I96" s="115"/>
    </row>
    <row r="97" spans="6:9">
      <c r="F97" s="115"/>
      <c r="G97" s="115"/>
      <c r="H97" s="115"/>
      <c r="I97" s="115"/>
    </row>
    <row r="98" spans="6:9">
      <c r="F98" s="115"/>
      <c r="G98" s="115"/>
      <c r="H98" s="115"/>
      <c r="I98" s="115"/>
    </row>
    <row r="99" spans="6:9">
      <c r="F99" s="115"/>
      <c r="G99" s="115"/>
      <c r="H99" s="115"/>
      <c r="I99" s="115"/>
    </row>
    <row r="100" spans="6:9">
      <c r="F100" s="115"/>
      <c r="G100" s="115"/>
      <c r="H100" s="115"/>
      <c r="I100" s="115"/>
    </row>
    <row r="101" spans="6:9">
      <c r="F101" s="115"/>
      <c r="G101" s="115"/>
      <c r="H101" s="115"/>
      <c r="I101" s="115"/>
    </row>
    <row r="102" spans="6:9">
      <c r="F102" s="115"/>
      <c r="G102" s="115"/>
      <c r="H102" s="115"/>
      <c r="I102" s="115"/>
    </row>
    <row r="103" spans="6:9">
      <c r="F103" s="115"/>
      <c r="G103" s="115"/>
      <c r="H103" s="115"/>
      <c r="I103" s="115"/>
    </row>
    <row r="104" spans="6:9">
      <c r="F104" s="115"/>
      <c r="G104" s="115"/>
      <c r="H104" s="115"/>
      <c r="I104" s="115"/>
    </row>
    <row r="105" spans="6:9">
      <c r="F105" s="115"/>
      <c r="G105" s="115"/>
      <c r="H105" s="115"/>
      <c r="I105" s="115"/>
    </row>
    <row r="106" spans="6:9">
      <c r="F106" s="115"/>
      <c r="G106" s="115"/>
      <c r="H106" s="115"/>
      <c r="I106" s="115"/>
    </row>
    <row r="107" spans="6:9">
      <c r="F107" s="115"/>
      <c r="G107" s="115"/>
      <c r="H107" s="115"/>
      <c r="I107" s="115"/>
    </row>
    <row r="108" spans="6:9">
      <c r="F108" s="115"/>
      <c r="G108" s="115"/>
      <c r="H108" s="115"/>
      <c r="I108" s="115"/>
    </row>
    <row r="117" spans="6:9">
      <c r="F117" s="115"/>
      <c r="G117" s="115"/>
      <c r="H117" s="115"/>
      <c r="I117" s="115"/>
    </row>
    <row r="118" spans="6:9">
      <c r="F118" s="115"/>
      <c r="G118" s="115"/>
      <c r="H118" s="115"/>
      <c r="I118" s="115"/>
    </row>
    <row r="119" spans="6:9">
      <c r="F119" s="115"/>
      <c r="G119" s="115"/>
      <c r="H119" s="115"/>
      <c r="I119" s="115"/>
    </row>
    <row r="120" spans="6:9">
      <c r="F120" s="115"/>
      <c r="G120" s="115"/>
      <c r="H120" s="115"/>
      <c r="I120" s="115"/>
    </row>
    <row r="121" spans="6:9">
      <c r="F121" s="115"/>
      <c r="G121" s="115"/>
      <c r="H121" s="115"/>
      <c r="I121" s="115"/>
    </row>
    <row r="122" spans="6:9">
      <c r="F122" s="115"/>
      <c r="G122" s="115"/>
      <c r="H122" s="115"/>
      <c r="I122" s="115"/>
    </row>
    <row r="123" spans="6:9">
      <c r="F123" s="115"/>
      <c r="G123" s="115"/>
      <c r="H123" s="115"/>
      <c r="I123" s="115"/>
    </row>
    <row r="124" spans="6:9">
      <c r="F124" s="115"/>
      <c r="G124" s="115"/>
      <c r="H124" s="115"/>
      <c r="I124" s="115"/>
    </row>
    <row r="125" spans="6:9">
      <c r="F125" s="115"/>
      <c r="G125" s="115"/>
      <c r="H125" s="115"/>
      <c r="I125" s="115"/>
    </row>
    <row r="126" spans="6:9">
      <c r="F126" s="115"/>
      <c r="G126" s="115"/>
      <c r="H126" s="115"/>
      <c r="I126" s="115"/>
    </row>
    <row r="127" spans="6:9">
      <c r="F127" s="115"/>
      <c r="G127" s="115"/>
      <c r="H127" s="115"/>
      <c r="I127" s="115"/>
    </row>
    <row r="128" spans="6: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sheetData>
  <mergeCells count="4">
    <mergeCell ref="B6:E6"/>
    <mergeCell ref="F6:I6"/>
    <mergeCell ref="A27:I27"/>
    <mergeCell ref="A28:I28"/>
  </mergeCells>
  <conditionalFormatting sqref="B29:I29">
    <cfRule type="cellIs" dxfId="18" priority="1" operator="notBetween">
      <formula>0.5</formula>
      <formula>-0.5</formula>
    </cfRule>
  </conditionalFormatting>
  <pageMargins left="0.7" right="0.7" top="0.75" bottom="0.75" header="0.3" footer="0.3"/>
  <pageSetup paperSize="9" scale="2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P1000"/>
  <sheetViews>
    <sheetView showGridLines="0" workbookViewId="0"/>
  </sheetViews>
  <sheetFormatPr baseColWidth="10" defaultColWidth="11.453125" defaultRowHeight="14.5"/>
  <cols>
    <col min="1" max="1" width="62" style="63" customWidth="1"/>
    <col min="2" max="4" width="11.453125" style="63" customWidth="1"/>
    <col min="5" max="6" width="11.453125" style="63"/>
    <col min="7" max="9" width="0" style="63" hidden="1" customWidth="1"/>
    <col min="10" max="16384" width="11.453125" style="63"/>
  </cols>
  <sheetData>
    <row r="1" spans="1:9" ht="17">
      <c r="A1" s="61" t="str">
        <f>HLOOKUP(INDICE!$F$2,Nombres!$C$3:$D$636,280,FALSE)</f>
        <v>Corporate &amp; Investment Banking (*)</v>
      </c>
      <c r="B1" s="62"/>
      <c r="C1" s="62"/>
      <c r="D1" s="62"/>
      <c r="E1" s="62"/>
      <c r="F1" s="62"/>
      <c r="G1" s="62"/>
      <c r="H1" s="62"/>
      <c r="I1" s="62"/>
    </row>
    <row r="2" spans="1:9">
      <c r="A2" s="300"/>
      <c r="B2" s="300"/>
      <c r="C2" s="300"/>
      <c r="D2" s="300"/>
      <c r="E2" s="300"/>
      <c r="F2" s="300"/>
      <c r="G2" s="300"/>
      <c r="H2" s="300"/>
      <c r="I2" s="300"/>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25">
        <v>838.36795471344658</v>
      </c>
      <c r="C8" s="25">
        <v>875.73142159340239</v>
      </c>
      <c r="D8" s="25">
        <v>1006.0116581904679</v>
      </c>
      <c r="E8" s="73">
        <v>1085.5147644223975</v>
      </c>
      <c r="F8" s="74">
        <v>1018.4742882704359</v>
      </c>
      <c r="G8" s="74">
        <v>0</v>
      </c>
      <c r="H8" s="74">
        <v>0</v>
      </c>
      <c r="I8" s="74">
        <v>0</v>
      </c>
    </row>
    <row r="9" spans="1:9">
      <c r="A9" s="17" t="str">
        <f>HLOOKUP(INDICE!$F$2,Nombres!$C$3:$D$636,34,FALSE)</f>
        <v>Net fees and commissions</v>
      </c>
      <c r="B9" s="77">
        <v>362.41243913989427</v>
      </c>
      <c r="C9" s="77">
        <v>341.16861274641195</v>
      </c>
      <c r="D9" s="77">
        <v>370.25088720755281</v>
      </c>
      <c r="E9" s="78">
        <v>377.85608872000995</v>
      </c>
      <c r="F9" s="77">
        <v>472.73428057589803</v>
      </c>
      <c r="G9" s="77">
        <v>0</v>
      </c>
      <c r="H9" s="77">
        <v>0</v>
      </c>
      <c r="I9" s="77">
        <v>0</v>
      </c>
    </row>
    <row r="10" spans="1:9">
      <c r="A10" s="17" t="str">
        <f>HLOOKUP(INDICE!$F$2,Nombres!$C$3:$D$636,35,FALSE)</f>
        <v>Net trading income</v>
      </c>
      <c r="B10" s="77">
        <v>675.57373299195035</v>
      </c>
      <c r="C10" s="77">
        <v>427.7735324736874</v>
      </c>
      <c r="D10" s="77">
        <v>431.80683957448468</v>
      </c>
      <c r="E10" s="78">
        <v>440.23952776555819</v>
      </c>
      <c r="F10" s="77">
        <v>714.16017562992215</v>
      </c>
      <c r="G10" s="77">
        <v>0</v>
      </c>
      <c r="H10" s="77">
        <v>0</v>
      </c>
      <c r="I10" s="77">
        <v>0</v>
      </c>
    </row>
    <row r="11" spans="1:9">
      <c r="A11" s="17" t="str">
        <f>HLOOKUP(INDICE!$F$2,Nombres!$C$3:$D$636,36,FALSE)</f>
        <v>Other operating income and expenses</v>
      </c>
      <c r="B11" s="77">
        <v>-12.465038595220701</v>
      </c>
      <c r="C11" s="77">
        <v>-11.82483362037069</v>
      </c>
      <c r="D11" s="77">
        <v>-9.2868071315321412</v>
      </c>
      <c r="E11" s="78">
        <v>-14.891779175375893</v>
      </c>
      <c r="F11" s="77">
        <v>-20.153240888968803</v>
      </c>
      <c r="G11" s="77">
        <v>0</v>
      </c>
      <c r="H11" s="77">
        <v>0</v>
      </c>
      <c r="I11" s="77">
        <v>0</v>
      </c>
    </row>
    <row r="12" spans="1:9">
      <c r="A12" s="25" t="str">
        <f>HLOOKUP(INDICE!$F$2,Nombres!$C$3:$D$636,37,FALSE)</f>
        <v>Gross income</v>
      </c>
      <c r="B12" s="25">
        <f>+SUM(B8:B11)</f>
        <v>1863.8890882500707</v>
      </c>
      <c r="C12" s="25">
        <f t="shared" ref="C12:I12" si="0">+SUM(C8:C11)</f>
        <v>1632.8487331931308</v>
      </c>
      <c r="D12" s="25">
        <f t="shared" si="0"/>
        <v>1798.7825778409731</v>
      </c>
      <c r="E12" s="73">
        <f t="shared" si="0"/>
        <v>1888.7186017325898</v>
      </c>
      <c r="F12" s="74">
        <f t="shared" si="0"/>
        <v>2185.2155035872875</v>
      </c>
      <c r="G12" s="74">
        <f t="shared" si="0"/>
        <v>0</v>
      </c>
      <c r="H12" s="74">
        <f t="shared" si="0"/>
        <v>0</v>
      </c>
      <c r="I12" s="74">
        <f t="shared" si="0"/>
        <v>0</v>
      </c>
    </row>
    <row r="13" spans="1:9">
      <c r="A13" s="17" t="str">
        <f>HLOOKUP(INDICE!$F$2,Nombres!$C$3:$D$636,38,FALSE)</f>
        <v>Operating expenses</v>
      </c>
      <c r="B13" s="77">
        <v>-451.07142341991374</v>
      </c>
      <c r="C13" s="77">
        <v>-431.76149048040634</v>
      </c>
      <c r="D13" s="77">
        <v>-453.07329982591534</v>
      </c>
      <c r="E13" s="78">
        <v>-593.37304951775195</v>
      </c>
      <c r="F13" s="77">
        <v>-532.82335926311225</v>
      </c>
      <c r="G13" s="77">
        <v>0</v>
      </c>
      <c r="H13" s="77">
        <v>0</v>
      </c>
      <c r="I13" s="77">
        <v>0</v>
      </c>
    </row>
    <row r="14" spans="1:9">
      <c r="A14" s="17" t="str">
        <f>HLOOKUP(INDICE!$F$2,Nombres!$C$3:$D$636,39,FALSE)</f>
        <v xml:space="preserve">  Administration expenses</v>
      </c>
      <c r="B14" s="77">
        <v>-421.08134746351618</v>
      </c>
      <c r="C14" s="77">
        <v>-399.86009197546355</v>
      </c>
      <c r="D14" s="77">
        <v>-419.20908356411957</v>
      </c>
      <c r="E14" s="78">
        <v>-555.57032115741265</v>
      </c>
      <c r="F14" s="77">
        <v>-493.06329661905528</v>
      </c>
      <c r="G14" s="77">
        <v>0</v>
      </c>
      <c r="H14" s="77">
        <v>0</v>
      </c>
      <c r="I14" s="77">
        <v>0</v>
      </c>
    </row>
    <row r="15" spans="1:9">
      <c r="A15" s="79" t="str">
        <f>HLOOKUP(INDICE!$F$2,Nombres!$C$3:$D$636,40,FALSE)</f>
        <v xml:space="preserve">  Personnel expenses</v>
      </c>
      <c r="B15" s="77">
        <v>-222.4682467766668</v>
      </c>
      <c r="C15" s="77">
        <v>-208.53741443807024</v>
      </c>
      <c r="D15" s="77">
        <v>-227.25334842283002</v>
      </c>
      <c r="E15" s="78">
        <v>-298.03837773851018</v>
      </c>
      <c r="F15" s="77">
        <v>-244.80151290139725</v>
      </c>
      <c r="G15" s="77">
        <v>0</v>
      </c>
      <c r="H15" s="77">
        <v>0</v>
      </c>
      <c r="I15" s="77">
        <v>0</v>
      </c>
    </row>
    <row r="16" spans="1:9">
      <c r="A16" s="79" t="str">
        <f>HLOOKUP(INDICE!$F$2,Nombres!$C$3:$D$636,41,FALSE)</f>
        <v xml:space="preserve">  General and administrative expenses</v>
      </c>
      <c r="B16" s="77">
        <v>-198.61310068684938</v>
      </c>
      <c r="C16" s="77">
        <v>-191.32267753739333</v>
      </c>
      <c r="D16" s="77">
        <v>-191.95573514128952</v>
      </c>
      <c r="E16" s="78">
        <v>-257.53194341890247</v>
      </c>
      <c r="F16" s="77">
        <v>-248.26178371765798</v>
      </c>
      <c r="G16" s="77">
        <v>0</v>
      </c>
      <c r="H16" s="77">
        <v>0</v>
      </c>
      <c r="I16" s="77">
        <v>0</v>
      </c>
    </row>
    <row r="17" spans="1:16">
      <c r="A17" s="17" t="str">
        <f>HLOOKUP(INDICE!$F$2,Nombres!$C$3:$D$636,42,FALSE)</f>
        <v xml:space="preserve">  Depreciation</v>
      </c>
      <c r="B17" s="77">
        <v>-29.990075956397607</v>
      </c>
      <c r="C17" s="77">
        <v>-31.901398504942783</v>
      </c>
      <c r="D17" s="77">
        <v>-33.864216261795761</v>
      </c>
      <c r="E17" s="78">
        <v>-37.802728360339316</v>
      </c>
      <c r="F17" s="77">
        <v>-39.760062644057037</v>
      </c>
      <c r="G17" s="77">
        <v>0</v>
      </c>
      <c r="H17" s="77">
        <v>0</v>
      </c>
      <c r="I17" s="77">
        <v>0</v>
      </c>
    </row>
    <row r="18" spans="1:16">
      <c r="A18" s="25" t="str">
        <f>HLOOKUP(INDICE!$F$2,Nombres!$C$3:$D$636,43,FALSE)</f>
        <v>Operating income</v>
      </c>
      <c r="B18" s="25">
        <f>+B12+B13</f>
        <v>1412.8176648301569</v>
      </c>
      <c r="C18" s="25">
        <f t="shared" ref="C18:I18" si="1">+C12+C13</f>
        <v>1201.0872427127244</v>
      </c>
      <c r="D18" s="25">
        <f t="shared" si="1"/>
        <v>1345.7092780150579</v>
      </c>
      <c r="E18" s="73">
        <f t="shared" si="1"/>
        <v>1295.3455522148379</v>
      </c>
      <c r="F18" s="74">
        <f t="shared" si="1"/>
        <v>1652.3921443241752</v>
      </c>
      <c r="G18" s="74">
        <f t="shared" si="1"/>
        <v>0</v>
      </c>
      <c r="H18" s="74">
        <f t="shared" si="1"/>
        <v>0</v>
      </c>
      <c r="I18" s="74">
        <f t="shared" si="1"/>
        <v>0</v>
      </c>
    </row>
    <row r="19" spans="1:16">
      <c r="A19" s="17" t="str">
        <f>HLOOKUP(INDICE!$F$2,Nombres!$C$3:$D$636,44,FALSE)</f>
        <v>Impaiment on financial assets not measured at fair value through profit or loss</v>
      </c>
      <c r="B19" s="77">
        <v>-26.412281520609817</v>
      </c>
      <c r="C19" s="77">
        <v>81.476412675441964</v>
      </c>
      <c r="D19" s="77">
        <v>12.549093354473642</v>
      </c>
      <c r="E19" s="78">
        <v>5.6202001478489247</v>
      </c>
      <c r="F19" s="77">
        <v>-14.422317793519825</v>
      </c>
      <c r="G19" s="77">
        <v>0</v>
      </c>
      <c r="H19" s="77">
        <v>0</v>
      </c>
      <c r="I19" s="77">
        <v>0</v>
      </c>
    </row>
    <row r="20" spans="1:16">
      <c r="A20" s="17" t="str">
        <f>HLOOKUP(INDICE!$F$2,Nombres!$C$3:$D$636,45,FALSE)</f>
        <v>Provisions or reversal of provisions and other results</v>
      </c>
      <c r="B20" s="77">
        <v>15.556568230841206</v>
      </c>
      <c r="C20" s="77">
        <v>-4.7150917671764159</v>
      </c>
      <c r="D20" s="77">
        <v>-15.716354391954939</v>
      </c>
      <c r="E20" s="78">
        <v>-10.332379771902765</v>
      </c>
      <c r="F20" s="77">
        <v>0.27910435953366552</v>
      </c>
      <c r="G20" s="77">
        <v>0</v>
      </c>
      <c r="H20" s="77">
        <v>0</v>
      </c>
      <c r="I20" s="77">
        <v>0</v>
      </c>
    </row>
    <row r="21" spans="1:16">
      <c r="A21" s="25" t="str">
        <f>HLOOKUP(INDICE!$F$2,Nombres!$C$3:$D$636,46,FALSE)</f>
        <v>Profit/(loss) before tax</v>
      </c>
      <c r="B21" s="25">
        <f>+B18+B19+B20</f>
        <v>1401.9619515403881</v>
      </c>
      <c r="C21" s="25">
        <f t="shared" ref="C21:I21" si="2">+C18+C19+C20</f>
        <v>1277.84856362099</v>
      </c>
      <c r="D21" s="25">
        <f t="shared" si="2"/>
        <v>1342.5420169775766</v>
      </c>
      <c r="E21" s="73">
        <f t="shared" si="2"/>
        <v>1290.6333725907839</v>
      </c>
      <c r="F21" s="74">
        <f t="shared" si="2"/>
        <v>1638.2489308901891</v>
      </c>
      <c r="G21" s="74">
        <f t="shared" si="2"/>
        <v>0</v>
      </c>
      <c r="H21" s="74">
        <f t="shared" si="2"/>
        <v>0</v>
      </c>
      <c r="I21" s="74">
        <f t="shared" si="2"/>
        <v>0</v>
      </c>
    </row>
    <row r="22" spans="1:16">
      <c r="A22" s="17" t="str">
        <f>HLOOKUP(INDICE!$F$2,Nombres!$C$3:$D$636,47,FALSE)</f>
        <v>Income tax</v>
      </c>
      <c r="B22" s="77">
        <v>-388.44701024125123</v>
      </c>
      <c r="C22" s="77">
        <v>-373.56059976803112</v>
      </c>
      <c r="D22" s="77">
        <v>-368.45052595431508</v>
      </c>
      <c r="E22" s="78">
        <v>-367.67257674129803</v>
      </c>
      <c r="F22" s="77">
        <v>-461.33084172275898</v>
      </c>
      <c r="G22" s="77">
        <v>0</v>
      </c>
      <c r="H22" s="77">
        <v>0</v>
      </c>
      <c r="I22" s="77">
        <v>0</v>
      </c>
    </row>
    <row r="23" spans="1:16">
      <c r="A23" s="25" t="str">
        <f>HLOOKUP(INDICE!$F$2,Nombres!$C$3:$D$636,48,FALSE)</f>
        <v>Profit/(loss) for the year</v>
      </c>
      <c r="B23" s="25">
        <f>+B21+B22</f>
        <v>1013.5149412991368</v>
      </c>
      <c r="C23" s="25">
        <f t="shared" ref="C23:I23" si="3">+C21+C22</f>
        <v>904.28796385295891</v>
      </c>
      <c r="D23" s="25">
        <f t="shared" si="3"/>
        <v>974.0914910232616</v>
      </c>
      <c r="E23" s="73">
        <f t="shared" si="3"/>
        <v>922.96079584948586</v>
      </c>
      <c r="F23" s="74">
        <f t="shared" si="3"/>
        <v>1176.91808916743</v>
      </c>
      <c r="G23" s="74">
        <f t="shared" si="3"/>
        <v>0</v>
      </c>
      <c r="H23" s="74">
        <f t="shared" si="3"/>
        <v>0</v>
      </c>
      <c r="I23" s="74">
        <f t="shared" si="3"/>
        <v>0</v>
      </c>
    </row>
    <row r="24" spans="1:16">
      <c r="A24" s="17" t="str">
        <f>HLOOKUP(INDICE!$F$2,Nombres!$C$3:$D$636,49,FALSE)</f>
        <v>Non-controlling interests</v>
      </c>
      <c r="B24" s="77">
        <v>-91.930688168092672</v>
      </c>
      <c r="C24" s="77">
        <v>-87.839527173196288</v>
      </c>
      <c r="D24" s="77">
        <v>-88.274163931932236</v>
      </c>
      <c r="E24" s="78">
        <v>-94.467537677652075</v>
      </c>
      <c r="F24" s="77">
        <v>-93.623037291914173</v>
      </c>
      <c r="G24" s="77">
        <v>0</v>
      </c>
      <c r="H24" s="77">
        <v>0</v>
      </c>
      <c r="I24" s="77">
        <v>0</v>
      </c>
    </row>
    <row r="25" spans="1:16">
      <c r="A25" s="19" t="str">
        <f>HLOOKUP(INDICE!$F$2,Nombres!$C$3:$D$636,50,FALSE)</f>
        <v>Net attributable profit</v>
      </c>
      <c r="B25" s="19">
        <f>+B23+B24</f>
        <v>921.58425313104408</v>
      </c>
      <c r="C25" s="19">
        <f t="shared" ref="C25:I25" si="4">+C23+C24</f>
        <v>816.44843667976261</v>
      </c>
      <c r="D25" s="19">
        <f t="shared" si="4"/>
        <v>885.81732709132939</v>
      </c>
      <c r="E25" s="19">
        <f t="shared" si="4"/>
        <v>828.49325817183376</v>
      </c>
      <c r="F25" s="96">
        <f t="shared" si="4"/>
        <v>1083.2950518755158</v>
      </c>
      <c r="G25" s="96">
        <f t="shared" si="4"/>
        <v>0</v>
      </c>
      <c r="H25" s="96">
        <f t="shared" si="4"/>
        <v>0</v>
      </c>
      <c r="I25" s="96">
        <f t="shared" si="4"/>
        <v>0</v>
      </c>
    </row>
    <row r="26" spans="1:16" ht="24.75" customHeight="1">
      <c r="A26" s="28"/>
      <c r="B26" s="101">
        <v>0</v>
      </c>
      <c r="C26" s="101">
        <v>0</v>
      </c>
      <c r="D26" s="101">
        <v>0</v>
      </c>
      <c r="E26" s="101">
        <v>0</v>
      </c>
      <c r="F26" s="101">
        <v>0</v>
      </c>
      <c r="G26" s="101">
        <v>0</v>
      </c>
      <c r="H26" s="101">
        <v>0</v>
      </c>
      <c r="I26" s="101">
        <v>0</v>
      </c>
    </row>
    <row r="27" spans="1:16">
      <c r="A27" s="25"/>
      <c r="B27" s="25"/>
      <c r="C27" s="25"/>
      <c r="D27" s="25"/>
      <c r="E27" s="25"/>
      <c r="F27" s="25"/>
      <c r="G27" s="25"/>
      <c r="H27" s="25"/>
      <c r="I27" s="25"/>
    </row>
    <row r="28" spans="1:16" ht="17">
      <c r="A28" s="65" t="str">
        <f>HLOOKUP(INDICE!$F$2,Nombres!$C$3:$D$636,51,FALSE)</f>
        <v>Balance sheets</v>
      </c>
      <c r="B28" s="66"/>
      <c r="C28" s="66"/>
      <c r="D28" s="66"/>
      <c r="E28" s="66"/>
      <c r="F28" s="66"/>
      <c r="G28" s="66"/>
      <c r="H28" s="66"/>
      <c r="I28" s="66"/>
    </row>
    <row r="29" spans="1:16">
      <c r="A29" s="67" t="str">
        <f>HLOOKUP(INDICE!$F$2,Nombres!$C$3:$D$636,32,FALSE)</f>
        <v>(Million euros)</v>
      </c>
      <c r="B29" s="62"/>
      <c r="C29" s="85"/>
      <c r="D29" s="85"/>
      <c r="E29" s="85"/>
      <c r="F29" s="62"/>
      <c r="G29" s="86"/>
      <c r="H29" s="86"/>
      <c r="I29" s="86"/>
    </row>
    <row r="30" spans="1:16">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16">
      <c r="A31" s="17" t="str">
        <f>HLOOKUP(INDICE!$F$2,Nombres!$C$3:$D$636,52,FALSE)</f>
        <v>Cash, cash balances at central banks and other demand deposits</v>
      </c>
      <c r="B31" s="77">
        <v>10056.061279257256</v>
      </c>
      <c r="C31" s="77">
        <v>7360.8044031378904</v>
      </c>
      <c r="D31" s="77">
        <v>12992.036732606701</v>
      </c>
      <c r="E31" s="78">
        <v>15106.460087219715</v>
      </c>
      <c r="F31" s="77">
        <v>10862.186788413288</v>
      </c>
      <c r="G31" s="77">
        <v>0</v>
      </c>
      <c r="H31" s="77">
        <v>0</v>
      </c>
      <c r="I31" s="77">
        <v>0</v>
      </c>
      <c r="L31" s="75"/>
      <c r="M31" s="75"/>
      <c r="N31" s="75"/>
      <c r="O31" s="75"/>
      <c r="P31" s="75"/>
    </row>
    <row r="32" spans="1:16">
      <c r="A32" s="17" t="str">
        <f>HLOOKUP(INDICE!$F$2,Nombres!$C$3:$D$636,53,FALSE)</f>
        <v xml:space="preserve">Financial assets designated at fair value </v>
      </c>
      <c r="B32" s="86">
        <v>111153.26744788747</v>
      </c>
      <c r="C32" s="86">
        <v>115580.0935370885</v>
      </c>
      <c r="D32" s="86">
        <v>120314.35325073618</v>
      </c>
      <c r="E32" s="97">
        <v>130559.45487735127</v>
      </c>
      <c r="F32" s="77">
        <v>152171.38553386083</v>
      </c>
      <c r="G32" s="77">
        <v>0</v>
      </c>
      <c r="H32" s="77">
        <v>0</v>
      </c>
      <c r="I32" s="77">
        <v>0</v>
      </c>
      <c r="L32" s="75"/>
      <c r="M32" s="75"/>
      <c r="N32" s="75"/>
      <c r="O32" s="75"/>
      <c r="P32" s="75"/>
    </row>
    <row r="33" spans="1:16">
      <c r="A33" s="17" t="str">
        <f>HLOOKUP(INDICE!$F$2,Nombres!$C$3:$D$636,54,FALSE)</f>
        <v>Financial assets at amortized cost</v>
      </c>
      <c r="B33" s="77">
        <v>126340.62897221463</v>
      </c>
      <c r="C33" s="77">
        <v>134011.98842416771</v>
      </c>
      <c r="D33" s="77">
        <v>138842.56071636418</v>
      </c>
      <c r="E33" s="78">
        <v>154717.81754037156</v>
      </c>
      <c r="F33" s="77">
        <v>166717.23661819706</v>
      </c>
      <c r="G33" s="77">
        <v>0</v>
      </c>
      <c r="H33" s="77">
        <v>0</v>
      </c>
      <c r="I33" s="77">
        <v>0</v>
      </c>
      <c r="L33" s="75"/>
      <c r="M33" s="75"/>
      <c r="N33" s="75"/>
      <c r="O33" s="75"/>
      <c r="P33" s="75"/>
    </row>
    <row r="34" spans="1:16">
      <c r="A34" s="17" t="str">
        <f>HLOOKUP(INDICE!$F$2,Nombres!$C$3:$D$636,55,FALSE)</f>
        <v xml:space="preserve">    of which loans and advances to customers</v>
      </c>
      <c r="B34" s="77">
        <v>105869.33024800487</v>
      </c>
      <c r="C34" s="77">
        <v>110214.13664077477</v>
      </c>
      <c r="D34" s="77">
        <v>115494.41675545556</v>
      </c>
      <c r="E34" s="78">
        <v>129459.45858405414</v>
      </c>
      <c r="F34" s="77">
        <v>139215.07759783589</v>
      </c>
      <c r="G34" s="77">
        <v>0</v>
      </c>
      <c r="H34" s="77">
        <v>0</v>
      </c>
      <c r="I34" s="77">
        <v>0</v>
      </c>
      <c r="L34" s="75"/>
      <c r="M34" s="75"/>
      <c r="N34" s="75"/>
      <c r="O34" s="75"/>
      <c r="P34" s="75"/>
    </row>
    <row r="35" spans="1:16">
      <c r="A35" s="17" t="str">
        <f>HLOOKUP(INDICE!$F$2,Nombres!$C$3:$D$636,121,FALSE)</f>
        <v>Inter-area positions</v>
      </c>
      <c r="B35" s="77">
        <v>0</v>
      </c>
      <c r="C35" s="77">
        <v>0</v>
      </c>
      <c r="D35" s="77">
        <v>0</v>
      </c>
      <c r="E35" s="78">
        <v>0</v>
      </c>
      <c r="F35" s="77">
        <v>0</v>
      </c>
      <c r="G35" s="77">
        <v>0</v>
      </c>
      <c r="H35" s="77">
        <v>0</v>
      </c>
      <c r="I35" s="77">
        <v>0</v>
      </c>
      <c r="L35" s="75"/>
      <c r="M35" s="75"/>
      <c r="N35" s="75"/>
      <c r="O35" s="75"/>
      <c r="P35" s="75"/>
    </row>
    <row r="36" spans="1:16">
      <c r="A36" s="17" t="str">
        <f>HLOOKUP(INDICE!$F$2,Nombres!$C$3:$D$636,56,FALSE)</f>
        <v>Tangible assets</v>
      </c>
      <c r="B36" s="77">
        <v>-316.15194007680657</v>
      </c>
      <c r="C36" s="77">
        <v>215.21116140138918</v>
      </c>
      <c r="D36" s="77">
        <v>235.82958732672347</v>
      </c>
      <c r="E36" s="78">
        <v>268.89179555114987</v>
      </c>
      <c r="F36" s="77">
        <v>257.86076207038752</v>
      </c>
      <c r="G36" s="77">
        <v>0</v>
      </c>
      <c r="H36" s="77">
        <v>0</v>
      </c>
      <c r="I36" s="77">
        <v>0</v>
      </c>
      <c r="L36" s="75"/>
      <c r="M36" s="75"/>
      <c r="N36" s="75"/>
      <c r="O36" s="75"/>
      <c r="P36" s="75"/>
    </row>
    <row r="37" spans="1:16">
      <c r="A37" s="17" t="str">
        <f>HLOOKUP(INDICE!$F$2,Nombres!$C$3:$D$636,57,FALSE)</f>
        <v>Other assets</v>
      </c>
      <c r="B37" s="86">
        <f>+B38-B36-B33-B32-B31-B35</f>
        <v>4674.7009307651406</v>
      </c>
      <c r="C37" s="86">
        <f t="shared" ref="C37:I37" si="5">+C38-C36-C33-C32-C31-C35</f>
        <v>2095.7405231657958</v>
      </c>
      <c r="D37" s="86">
        <f t="shared" si="5"/>
        <v>3856.5886728755631</v>
      </c>
      <c r="E37" s="97">
        <f t="shared" si="5"/>
        <v>3639.7960983263074</v>
      </c>
      <c r="F37" s="86">
        <f t="shared" si="5"/>
        <v>4914.7868050955949</v>
      </c>
      <c r="G37" s="86">
        <f t="shared" si="5"/>
        <v>0</v>
      </c>
      <c r="H37" s="86">
        <f t="shared" si="5"/>
        <v>0</v>
      </c>
      <c r="I37" s="86">
        <f t="shared" si="5"/>
        <v>0</v>
      </c>
      <c r="L37" s="75"/>
      <c r="M37" s="75"/>
      <c r="N37" s="75"/>
      <c r="O37" s="75"/>
      <c r="P37" s="75"/>
    </row>
    <row r="38" spans="1:16">
      <c r="A38" s="19" t="str">
        <f>HLOOKUP(INDICE!$F$2,Nombres!$C$3:$D$636,58,FALSE)</f>
        <v>Total assets / Liabilities and equity</v>
      </c>
      <c r="B38" s="19">
        <v>251908.50669004768</v>
      </c>
      <c r="C38" s="19">
        <v>259263.83804896128</v>
      </c>
      <c r="D38" s="19">
        <v>276241.36895990936</v>
      </c>
      <c r="E38" s="95">
        <v>304292.42039882002</v>
      </c>
      <c r="F38" s="96">
        <v>334923.45650763717</v>
      </c>
      <c r="G38" s="96">
        <v>0</v>
      </c>
      <c r="H38" s="96">
        <v>0</v>
      </c>
      <c r="I38" s="96">
        <v>0</v>
      </c>
      <c r="L38" s="75"/>
      <c r="M38" s="75"/>
      <c r="N38" s="75"/>
      <c r="O38" s="75"/>
      <c r="P38" s="75"/>
    </row>
    <row r="39" spans="1:16">
      <c r="A39" s="17" t="str">
        <f>HLOOKUP(INDICE!$F$2,Nombres!$C$3:$D$636,59,FALSE)</f>
        <v>Financial liabilities held for trading and designated at fair value through profit or loss</v>
      </c>
      <c r="B39" s="86">
        <v>80075.125382648344</v>
      </c>
      <c r="C39" s="86">
        <v>89438.991532194981</v>
      </c>
      <c r="D39" s="86">
        <v>92044.307279967645</v>
      </c>
      <c r="E39" s="97">
        <v>97798.239694309712</v>
      </c>
      <c r="F39" s="77">
        <v>111654.8968626753</v>
      </c>
      <c r="G39" s="77">
        <v>0</v>
      </c>
      <c r="H39" s="77">
        <v>0</v>
      </c>
      <c r="I39" s="77">
        <v>0</v>
      </c>
      <c r="L39" s="75"/>
      <c r="M39" s="75"/>
      <c r="N39" s="75"/>
      <c r="O39" s="75"/>
      <c r="P39" s="75"/>
    </row>
    <row r="40" spans="1:16">
      <c r="A40" s="17" t="str">
        <f>HLOOKUP(INDICE!$F$2,Nombres!$C$3:$D$636,60,FALSE)</f>
        <v>Deposits from central banks and credit institutions</v>
      </c>
      <c r="B40" s="86">
        <v>36763.000524781586</v>
      </c>
      <c r="C40" s="86">
        <v>32649.866392495191</v>
      </c>
      <c r="D40" s="86">
        <v>38010.764601605842</v>
      </c>
      <c r="E40" s="97">
        <v>41780.326186963794</v>
      </c>
      <c r="F40" s="77">
        <v>42852.028735864595</v>
      </c>
      <c r="G40" s="77">
        <v>0</v>
      </c>
      <c r="H40" s="77">
        <v>0</v>
      </c>
      <c r="I40" s="77">
        <v>0</v>
      </c>
      <c r="L40" s="75"/>
      <c r="M40" s="75"/>
      <c r="N40" s="75"/>
      <c r="O40" s="75"/>
      <c r="P40" s="75"/>
    </row>
    <row r="41" spans="1:16" ht="15.75" customHeight="1">
      <c r="A41" s="17" t="str">
        <f>HLOOKUP(INDICE!$F$2,Nombres!$C$3:$D$636,61,FALSE)</f>
        <v>Deposits from customers</v>
      </c>
      <c r="B41" s="86">
        <v>83224.51122170224</v>
      </c>
      <c r="C41" s="86">
        <v>79464.124547221916</v>
      </c>
      <c r="D41" s="86">
        <v>93789.246161961724</v>
      </c>
      <c r="E41" s="97">
        <v>105751.07571976453</v>
      </c>
      <c r="F41" s="77">
        <v>102810.27960184337</v>
      </c>
      <c r="G41" s="77">
        <v>0</v>
      </c>
      <c r="H41" s="77">
        <v>0</v>
      </c>
      <c r="I41" s="77">
        <v>0</v>
      </c>
      <c r="L41" s="75"/>
      <c r="M41" s="75"/>
      <c r="N41" s="75"/>
      <c r="O41" s="75"/>
      <c r="P41" s="75"/>
    </row>
    <row r="42" spans="1:16">
      <c r="A42" s="17" t="str">
        <f>HLOOKUP(INDICE!$F$2,Nombres!$C$3:$D$636,62,FALSE)</f>
        <v>Debt certificates</v>
      </c>
      <c r="B42" s="77">
        <v>11262.012976947117</v>
      </c>
      <c r="C42" s="77">
        <v>11180.697123817154</v>
      </c>
      <c r="D42" s="77">
        <v>12077.816323824276</v>
      </c>
      <c r="E42" s="78">
        <v>13766.23868714299</v>
      </c>
      <c r="F42" s="77">
        <v>15563.458052530588</v>
      </c>
      <c r="G42" s="77">
        <v>0</v>
      </c>
      <c r="H42" s="77">
        <v>0</v>
      </c>
      <c r="I42" s="77">
        <v>0</v>
      </c>
      <c r="L42" s="75"/>
      <c r="M42" s="75"/>
      <c r="N42" s="75"/>
      <c r="O42" s="75"/>
      <c r="P42" s="75"/>
    </row>
    <row r="43" spans="1:16">
      <c r="A43" s="17" t="str">
        <f>HLOOKUP(INDICE!$F$2,Nombres!$C$3:$D$636,122,FALSE)</f>
        <v>Inter-area positions</v>
      </c>
      <c r="B43" s="77">
        <v>27020.96435842842</v>
      </c>
      <c r="C43" s="77">
        <v>31088.510749892219</v>
      </c>
      <c r="D43" s="77">
        <v>22405.702777684815</v>
      </c>
      <c r="E43" s="78">
        <v>27534.748403337708</v>
      </c>
      <c r="F43" s="77">
        <v>43910.883098578706</v>
      </c>
      <c r="G43" s="77">
        <v>0</v>
      </c>
      <c r="H43" s="77">
        <v>0</v>
      </c>
      <c r="I43" s="77">
        <v>0</v>
      </c>
      <c r="L43" s="75"/>
      <c r="M43" s="75"/>
      <c r="N43" s="75"/>
      <c r="O43" s="75"/>
      <c r="P43" s="75"/>
    </row>
    <row r="44" spans="1:16">
      <c r="A44" s="17" t="str">
        <f>HLOOKUP(INDICE!$F$2,Nombres!$C$3:$D$636,63,FALSE)</f>
        <v>Other liabilities</v>
      </c>
      <c r="B44" s="77">
        <f t="shared" ref="B44:I44" si="6">+B38-B39-B40-B41-B42-B45-B43</f>
        <v>-371.05615320502693</v>
      </c>
      <c r="C44" s="77">
        <f t="shared" si="6"/>
        <v>1851.6813575821689</v>
      </c>
      <c r="D44" s="77">
        <f t="shared" si="6"/>
        <v>4182.7937161313457</v>
      </c>
      <c r="E44" s="78">
        <f t="shared" si="6"/>
        <v>3490.4664289195025</v>
      </c>
      <c r="F44" s="77">
        <f t="shared" si="6"/>
        <v>3352.7022806532186</v>
      </c>
      <c r="G44" s="77">
        <f t="shared" si="6"/>
        <v>0</v>
      </c>
      <c r="H44" s="77">
        <f t="shared" si="6"/>
        <v>0</v>
      </c>
      <c r="I44" s="77">
        <f t="shared" si="6"/>
        <v>0</v>
      </c>
      <c r="L44" s="75"/>
      <c r="M44" s="75"/>
      <c r="N44" s="75"/>
      <c r="O44" s="75"/>
      <c r="P44" s="75"/>
    </row>
    <row r="45" spans="1:16">
      <c r="A45" s="17" t="str">
        <f>HLOOKUP(INDICE!$F$2,Nombres!$C$3:$D$636,282,FALSE)</f>
        <v>Allocated regulatory capital</v>
      </c>
      <c r="B45" s="77">
        <v>13933.948378745003</v>
      </c>
      <c r="C45" s="77">
        <v>13589.966345757639</v>
      </c>
      <c r="D45" s="77">
        <v>13730.738098733727</v>
      </c>
      <c r="E45" s="78">
        <v>14171.325278381781</v>
      </c>
      <c r="F45" s="77">
        <v>14779.207875491376</v>
      </c>
      <c r="G45" s="77">
        <v>0</v>
      </c>
      <c r="H45" s="77">
        <v>0</v>
      </c>
      <c r="I45" s="77">
        <v>0</v>
      </c>
      <c r="L45" s="75"/>
      <c r="M45" s="75"/>
      <c r="N45" s="75"/>
      <c r="O45" s="75"/>
      <c r="P45" s="75"/>
    </row>
    <row r="46" spans="1:16">
      <c r="A46" s="93"/>
      <c r="B46" s="86"/>
      <c r="C46" s="86"/>
      <c r="D46" s="86"/>
      <c r="E46" s="86"/>
      <c r="F46" s="103"/>
      <c r="G46" s="103"/>
      <c r="H46" s="103"/>
      <c r="I46" s="103"/>
    </row>
    <row r="47" spans="1:16">
      <c r="A47" s="17"/>
      <c r="B47" s="86"/>
      <c r="C47" s="86"/>
      <c r="D47" s="86"/>
      <c r="E47" s="86"/>
      <c r="F47" s="103"/>
      <c r="G47" s="103"/>
      <c r="H47" s="103"/>
      <c r="I47" s="103"/>
    </row>
    <row r="48" spans="1:16" ht="17">
      <c r="A48" s="65" t="str">
        <f>HLOOKUP(INDICE!$F$2,Nombres!$C$3:$D$636,65,FALSE)</f>
        <v>Relevant business indicators</v>
      </c>
      <c r="B48" s="66"/>
      <c r="C48" s="66"/>
      <c r="D48" s="66"/>
      <c r="E48" s="66"/>
      <c r="F48" s="113"/>
      <c r="G48" s="113"/>
      <c r="H48" s="113"/>
      <c r="I48" s="113"/>
    </row>
    <row r="49" spans="1:9">
      <c r="A49" s="67" t="str">
        <f>HLOOKUP(INDICE!$F$2,Nombres!$C$3:$D$636,32,FALSE)</f>
        <v>(Million euros)</v>
      </c>
      <c r="B49" s="62"/>
      <c r="C49" s="62"/>
      <c r="D49" s="62"/>
      <c r="E49" s="62"/>
      <c r="F49" s="105"/>
      <c r="G49" s="103"/>
      <c r="H49" s="103"/>
      <c r="I49" s="103"/>
    </row>
    <row r="50" spans="1:9">
      <c r="A50" s="62"/>
      <c r="B50" s="87">
        <f t="shared" ref="B50:I50" si="7">+B$30</f>
        <v>45747</v>
      </c>
      <c r="C50" s="87">
        <f t="shared" si="7"/>
        <v>45838</v>
      </c>
      <c r="D50" s="87">
        <f t="shared" si="7"/>
        <v>45930</v>
      </c>
      <c r="E50" s="100">
        <f t="shared" si="7"/>
        <v>46022</v>
      </c>
      <c r="F50" s="102">
        <f t="shared" si="7"/>
        <v>46112</v>
      </c>
      <c r="G50" s="102">
        <f t="shared" si="7"/>
        <v>46203</v>
      </c>
      <c r="H50" s="102">
        <f t="shared" si="7"/>
        <v>46295</v>
      </c>
      <c r="I50" s="102">
        <f t="shared" si="7"/>
        <v>46387</v>
      </c>
    </row>
    <row r="51" spans="1:9" ht="15" customHeight="1">
      <c r="A51" s="17" t="str">
        <f>HLOOKUP(INDICE!$F$2,Nombres!$C$3:$D$636,66,FALSE)</f>
        <v>Loans and advances to customers (gross) (*)</v>
      </c>
      <c r="B51" s="77">
        <v>106087.80646899863</v>
      </c>
      <c r="C51" s="77">
        <v>109487.14184501582</v>
      </c>
      <c r="D51" s="77">
        <v>114398.88412507782</v>
      </c>
      <c r="E51" s="78">
        <v>126922.95900898194</v>
      </c>
      <c r="F51" s="77">
        <v>139675.46958543576</v>
      </c>
      <c r="G51" s="77">
        <v>0</v>
      </c>
      <c r="H51" s="77">
        <v>0</v>
      </c>
      <c r="I51" s="77">
        <v>0</v>
      </c>
    </row>
    <row r="52" spans="1:9">
      <c r="A52" s="17" t="str">
        <f>HLOOKUP(INDICE!$F$2,Nombres!$C$3:$D$636,67,FALSE)</f>
        <v>Customer deposits under management (*)</v>
      </c>
      <c r="B52" s="77">
        <v>79207.32643872984</v>
      </c>
      <c r="C52" s="77">
        <v>74158.260036060063</v>
      </c>
      <c r="D52" s="77">
        <v>88791.398824843811</v>
      </c>
      <c r="E52" s="78">
        <v>98567.362495319278</v>
      </c>
      <c r="F52" s="77">
        <v>95617.979168927035</v>
      </c>
      <c r="G52" s="77">
        <v>0</v>
      </c>
      <c r="H52" s="77">
        <v>0</v>
      </c>
      <c r="I52" s="77">
        <v>0</v>
      </c>
    </row>
    <row r="53" spans="1:9">
      <c r="A53" s="17" t="str">
        <f>HLOOKUP(INDICE!$F$2,Nombres!$C$3:$D$636,68,FALSE)</f>
        <v>Investment funds and managed portfolios</v>
      </c>
      <c r="B53" s="77">
        <v>3941.6934481478738</v>
      </c>
      <c r="C53" s="77">
        <v>3625.1078967511821</v>
      </c>
      <c r="D53" s="77">
        <v>4195.8607926128943</v>
      </c>
      <c r="E53" s="78">
        <v>3962.1542031473523</v>
      </c>
      <c r="F53" s="77">
        <v>1828.3766694787114</v>
      </c>
      <c r="G53" s="77">
        <v>0</v>
      </c>
      <c r="H53" s="77">
        <v>0</v>
      </c>
      <c r="I53" s="77">
        <v>0</v>
      </c>
    </row>
    <row r="54" spans="1:9">
      <c r="A54" s="17" t="str">
        <f>HLOOKUP(INDICE!$F$2,Nombres!$C$3:$D$636,69,FALSE)</f>
        <v>Pension funds</v>
      </c>
      <c r="B54" s="77">
        <v>25.183210990000248</v>
      </c>
      <c r="C54" s="77">
        <v>25.753442840000151</v>
      </c>
      <c r="D54" s="77">
        <v>26.266501119999887</v>
      </c>
      <c r="E54" s="78">
        <v>9.6000099182128909E-7</v>
      </c>
      <c r="F54" s="77">
        <v>-4.4000005722045898E-7</v>
      </c>
      <c r="G54" s="77">
        <v>0</v>
      </c>
      <c r="H54" s="77">
        <v>0</v>
      </c>
      <c r="I54" s="77">
        <v>0</v>
      </c>
    </row>
    <row r="55" spans="1:9">
      <c r="A55" s="17" t="str">
        <f>HLOOKUP(INDICE!$F$2,Nombres!$C$3:$D$636,70,FALSE)</f>
        <v>Other off balance-sheet funds</v>
      </c>
      <c r="B55" s="77">
        <v>229.26301271087505</v>
      </c>
      <c r="C55" s="77">
        <v>248.90038308217467</v>
      </c>
      <c r="D55" s="77">
        <v>263.08886473328215</v>
      </c>
      <c r="E55" s="78">
        <v>432.15316268962545</v>
      </c>
      <c r="F55" s="77">
        <v>677.30005858644211</v>
      </c>
      <c r="G55" s="77">
        <v>0</v>
      </c>
      <c r="H55" s="77">
        <v>0</v>
      </c>
      <c r="I55" s="77">
        <v>0</v>
      </c>
    </row>
    <row r="56" spans="1:9">
      <c r="A56" s="93" t="str">
        <f>HLOOKUP(INDICE!$F$2,Nombres!$C$3:$D$636,71,FALSE)</f>
        <v xml:space="preserve">(*) Excluding repos. </v>
      </c>
      <c r="B56" s="86"/>
      <c r="C56" s="86"/>
      <c r="D56" s="86"/>
      <c r="E56" s="86"/>
      <c r="F56" s="86"/>
      <c r="G56" s="86"/>
      <c r="H56" s="86"/>
      <c r="I56" s="86"/>
    </row>
    <row r="57" spans="1:9">
      <c r="A57" s="93">
        <f>HLOOKUP(INDICE!$F$2,Nombres!$C$3:$D$636,72,FALSE)</f>
        <v>0</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Income statement  </v>
      </c>
      <c r="B59" s="66"/>
      <c r="C59" s="66"/>
      <c r="D59" s="66"/>
      <c r="E59" s="66"/>
      <c r="F59" s="66"/>
      <c r="G59" s="66"/>
      <c r="H59" s="66"/>
      <c r="I59" s="66"/>
    </row>
    <row r="60" spans="1:9">
      <c r="A60" s="67" t="str">
        <f>HLOOKUP(INDICE!$F$2,Nombres!$C$3:$D$636,73,FALSE)</f>
        <v xml:space="preserve">(Constant million euros)    </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1Q</v>
      </c>
      <c r="C63" s="71" t="str">
        <f t="shared" ref="C63:I63" si="8">+C$7</f>
        <v>2Q</v>
      </c>
      <c r="D63" s="71" t="str">
        <f t="shared" si="8"/>
        <v>3Q</v>
      </c>
      <c r="E63" s="72" t="str">
        <f t="shared" si="8"/>
        <v>4Q</v>
      </c>
      <c r="F63" s="71" t="str">
        <f t="shared" si="8"/>
        <v>1Q</v>
      </c>
      <c r="G63" s="71" t="str">
        <f t="shared" si="8"/>
        <v>2Q</v>
      </c>
      <c r="H63" s="71" t="str">
        <f t="shared" si="8"/>
        <v>3Q</v>
      </c>
      <c r="I63" s="71" t="str">
        <f t="shared" si="8"/>
        <v>4Q</v>
      </c>
    </row>
    <row r="64" spans="1:9">
      <c r="A64" s="25" t="str">
        <f>HLOOKUP(INDICE!$F$2,Nombres!$C$3:$D$636,33,FALSE)</f>
        <v>Net interest income</v>
      </c>
      <c r="B64" s="25">
        <v>783.91001045289465</v>
      </c>
      <c r="C64" s="25">
        <v>908.1781612529569</v>
      </c>
      <c r="D64" s="25">
        <v>1037.885987161819</v>
      </c>
      <c r="E64" s="73">
        <v>1128.7726913454123</v>
      </c>
      <c r="F64" s="74">
        <v>1018.4743113706288</v>
      </c>
      <c r="G64" s="74">
        <v>0</v>
      </c>
      <c r="H64" s="74">
        <v>0</v>
      </c>
      <c r="I64" s="74">
        <v>0</v>
      </c>
    </row>
    <row r="65" spans="1:9">
      <c r="A65" s="17" t="str">
        <f>HLOOKUP(INDICE!$F$2,Nombres!$C$3:$D$636,34,FALSE)</f>
        <v>Net fees and commissions</v>
      </c>
      <c r="B65" s="77">
        <v>351.09110149522348</v>
      </c>
      <c r="C65" s="77">
        <v>354.223442086722</v>
      </c>
      <c r="D65" s="77">
        <v>383.6021394600599</v>
      </c>
      <c r="E65" s="78">
        <v>390.28079053600675</v>
      </c>
      <c r="F65" s="77">
        <v>472.73428057589302</v>
      </c>
      <c r="G65" s="77">
        <v>0</v>
      </c>
      <c r="H65" s="77">
        <v>0</v>
      </c>
      <c r="I65" s="77">
        <v>0</v>
      </c>
    </row>
    <row r="66" spans="1:9">
      <c r="A66" s="17" t="str">
        <f>HLOOKUP(INDICE!$F$2,Nombres!$C$3:$D$636,35,FALSE)</f>
        <v>Net trading income</v>
      </c>
      <c r="B66" s="77">
        <v>641.91470065354372</v>
      </c>
      <c r="C66" s="77">
        <v>443.77731312165082</v>
      </c>
      <c r="D66" s="77">
        <v>452.64404562845181</v>
      </c>
      <c r="E66" s="78">
        <v>460.69611718419588</v>
      </c>
      <c r="F66" s="77">
        <v>714.16017562991522</v>
      </c>
      <c r="G66" s="77">
        <v>0</v>
      </c>
      <c r="H66" s="77">
        <v>0</v>
      </c>
      <c r="I66" s="77">
        <v>0</v>
      </c>
    </row>
    <row r="67" spans="1:9">
      <c r="A67" s="17" t="str">
        <f>HLOOKUP(INDICE!$F$2,Nombres!$C$3:$D$636,36,FALSE)</f>
        <v>Other operating income and expenses</v>
      </c>
      <c r="B67" s="77">
        <v>-12.095223904880203</v>
      </c>
      <c r="C67" s="77">
        <v>-12.809700380209058</v>
      </c>
      <c r="D67" s="77">
        <v>-10.797864993531357</v>
      </c>
      <c r="E67" s="78">
        <v>-16.017820799714251</v>
      </c>
      <c r="F67" s="77">
        <v>-20.153240888968917</v>
      </c>
      <c r="G67" s="77">
        <v>0</v>
      </c>
      <c r="H67" s="77">
        <v>0</v>
      </c>
      <c r="I67" s="77">
        <v>0</v>
      </c>
    </row>
    <row r="68" spans="1:9">
      <c r="A68" s="25" t="str">
        <f>HLOOKUP(INDICE!$F$2,Nombres!$C$3:$D$636,37,FALSE)</f>
        <v>Gross income</v>
      </c>
      <c r="B68" s="25">
        <f>+SUM(B64:B67)</f>
        <v>1764.8205886967817</v>
      </c>
      <c r="C68" s="25">
        <f t="shared" ref="C68:I68" si="9">+SUM(C64:C67)</f>
        <v>1693.3692160811206</v>
      </c>
      <c r="D68" s="25">
        <f t="shared" si="9"/>
        <v>1863.3343072567993</v>
      </c>
      <c r="E68" s="73">
        <f t="shared" si="9"/>
        <v>1963.7317782659006</v>
      </c>
      <c r="F68" s="74">
        <f t="shared" si="9"/>
        <v>2185.2155266874684</v>
      </c>
      <c r="G68" s="74">
        <f t="shared" si="9"/>
        <v>0</v>
      </c>
      <c r="H68" s="74">
        <f t="shared" si="9"/>
        <v>0</v>
      </c>
      <c r="I68" s="74">
        <f t="shared" si="9"/>
        <v>0</v>
      </c>
    </row>
    <row r="69" spans="1:9">
      <c r="A69" s="17" t="str">
        <f>HLOOKUP(INDICE!$F$2,Nombres!$C$3:$D$636,38,FALSE)</f>
        <v>Operating expenses</v>
      </c>
      <c r="B69" s="77">
        <v>-436.93010734381062</v>
      </c>
      <c r="C69" s="77">
        <v>-447.32983214187783</v>
      </c>
      <c r="D69" s="77">
        <v>-467.53522713715171</v>
      </c>
      <c r="E69" s="78">
        <v>-606.24374986666692</v>
      </c>
      <c r="F69" s="77">
        <v>-532.82335926310498</v>
      </c>
      <c r="G69" s="77">
        <v>0</v>
      </c>
      <c r="H69" s="77">
        <v>0</v>
      </c>
      <c r="I69" s="77">
        <v>0</v>
      </c>
    </row>
    <row r="70" spans="1:9">
      <c r="A70" s="17" t="str">
        <f>HLOOKUP(INDICE!$F$2,Nombres!$C$3:$D$636,39,FALSE)</f>
        <v xml:space="preserve">  Administration expenses</v>
      </c>
      <c r="B70" s="77">
        <v>-407.05999896604311</v>
      </c>
      <c r="C70" s="77">
        <v>-414.84504142351898</v>
      </c>
      <c r="D70" s="77">
        <v>-433.24612690133853</v>
      </c>
      <c r="E70" s="78">
        <v>-568.10468045248592</v>
      </c>
      <c r="F70" s="77">
        <v>-493.06329661904817</v>
      </c>
      <c r="G70" s="77">
        <v>0</v>
      </c>
      <c r="H70" s="77">
        <v>0</v>
      </c>
      <c r="I70" s="77">
        <v>0</v>
      </c>
    </row>
    <row r="71" spans="1:9">
      <c r="A71" s="79" t="str">
        <f>HLOOKUP(INDICE!$F$2,Nombres!$C$3:$D$636,40,FALSE)</f>
        <v xml:space="preserve">  Personnel expenses</v>
      </c>
      <c r="B71" s="77">
        <v>-214.30020815079843</v>
      </c>
      <c r="C71" s="77">
        <v>-215.30381293804709</v>
      </c>
      <c r="D71" s="77">
        <v>-233.03019435054904</v>
      </c>
      <c r="E71" s="78">
        <v>-304.25057748251015</v>
      </c>
      <c r="F71" s="77">
        <v>-244.80151290139233</v>
      </c>
      <c r="G71" s="77">
        <v>0</v>
      </c>
      <c r="H71" s="77">
        <v>0</v>
      </c>
      <c r="I71" s="77">
        <v>0</v>
      </c>
    </row>
    <row r="72" spans="1:9">
      <c r="A72" s="79" t="str">
        <f>HLOOKUP(INDICE!$F$2,Nombres!$C$3:$D$636,41,FALSE)</f>
        <v xml:space="preserve">  General and administrative expenses</v>
      </c>
      <c r="B72" s="77">
        <v>-192.75979081524468</v>
      </c>
      <c r="C72" s="77">
        <v>-199.54122848547186</v>
      </c>
      <c r="D72" s="77">
        <v>-200.21593255078949</v>
      </c>
      <c r="E72" s="78">
        <v>-263.85410296997577</v>
      </c>
      <c r="F72" s="77">
        <v>-248.26178371765585</v>
      </c>
      <c r="G72" s="77">
        <v>0</v>
      </c>
      <c r="H72" s="77">
        <v>0</v>
      </c>
      <c r="I72" s="77">
        <v>0</v>
      </c>
    </row>
    <row r="73" spans="1:9">
      <c r="A73" s="17" t="str">
        <f>HLOOKUP(INDICE!$F$2,Nombres!$C$3:$D$636,42,FALSE)</f>
        <v xml:space="preserve">  Depreciation</v>
      </c>
      <c r="B73" s="77">
        <v>-29.870108377767497</v>
      </c>
      <c r="C73" s="77">
        <v>-32.484790718358859</v>
      </c>
      <c r="D73" s="77">
        <v>-34.289100235813173</v>
      </c>
      <c r="E73" s="78">
        <v>-38.139069414181044</v>
      </c>
      <c r="F73" s="77">
        <v>-39.760062644056802</v>
      </c>
      <c r="G73" s="77">
        <v>0</v>
      </c>
      <c r="H73" s="77">
        <v>0</v>
      </c>
      <c r="I73" s="77">
        <v>0</v>
      </c>
    </row>
    <row r="74" spans="1:9">
      <c r="A74" s="25" t="str">
        <f>HLOOKUP(INDICE!$F$2,Nombres!$C$3:$D$636,43,FALSE)</f>
        <v>Operating income</v>
      </c>
      <c r="B74" s="25">
        <f>+B68+B69</f>
        <v>1327.8904813529712</v>
      </c>
      <c r="C74" s="25">
        <f t="shared" ref="C74:I74" si="10">+C68+C69</f>
        <v>1246.0393839392427</v>
      </c>
      <c r="D74" s="25">
        <f t="shared" si="10"/>
        <v>1395.7990801196477</v>
      </c>
      <c r="E74" s="73">
        <f t="shared" si="10"/>
        <v>1357.4880283992338</v>
      </c>
      <c r="F74" s="74">
        <f t="shared" si="10"/>
        <v>1652.3921674243634</v>
      </c>
      <c r="G74" s="74">
        <f t="shared" si="10"/>
        <v>0</v>
      </c>
      <c r="H74" s="74">
        <f t="shared" si="10"/>
        <v>0</v>
      </c>
      <c r="I74" s="74">
        <f t="shared" si="10"/>
        <v>0</v>
      </c>
    </row>
    <row r="75" spans="1:9">
      <c r="A75" s="17" t="str">
        <f>HLOOKUP(INDICE!$F$2,Nombres!$C$3:$D$636,44,FALSE)</f>
        <v>Impaiment on financial assets not measured at fair value through profit or loss</v>
      </c>
      <c r="B75" s="77">
        <v>-25.051825862314342</v>
      </c>
      <c r="C75" s="77">
        <v>72.620476891287467</v>
      </c>
      <c r="D75" s="77">
        <v>15.406979959707821</v>
      </c>
      <c r="E75" s="78">
        <v>7.6601640189318028</v>
      </c>
      <c r="F75" s="77">
        <v>-14.422317793521062</v>
      </c>
      <c r="G75" s="77">
        <v>0</v>
      </c>
      <c r="H75" s="77">
        <v>0</v>
      </c>
      <c r="I75" s="77">
        <v>0</v>
      </c>
    </row>
    <row r="76" spans="1:9">
      <c r="A76" s="17" t="str">
        <f>HLOOKUP(INDICE!$F$2,Nombres!$C$3:$D$636,45,FALSE)</f>
        <v>Provisions or reversal of provisions and other results</v>
      </c>
      <c r="B76" s="77">
        <v>15.292509202819613</v>
      </c>
      <c r="C76" s="77">
        <v>-4.1713066094529241</v>
      </c>
      <c r="D76" s="77">
        <v>-15.794850653666984</v>
      </c>
      <c r="E76" s="78">
        <v>-10.616038564265383</v>
      </c>
      <c r="F76" s="77">
        <v>0.27910435953416746</v>
      </c>
      <c r="G76" s="77">
        <v>0</v>
      </c>
      <c r="H76" s="77">
        <v>0</v>
      </c>
      <c r="I76" s="77">
        <v>0</v>
      </c>
    </row>
    <row r="77" spans="1:9">
      <c r="A77" s="25" t="str">
        <f>HLOOKUP(INDICE!$F$2,Nombres!$C$3:$D$636,46,FALSE)</f>
        <v>Profit/(loss) before tax</v>
      </c>
      <c r="B77" s="25">
        <f>+B74+B75+B76</f>
        <v>1318.1311646934764</v>
      </c>
      <c r="C77" s="25">
        <f t="shared" ref="C77:I77" si="11">+C74+C75+C76</f>
        <v>1314.4885542210775</v>
      </c>
      <c r="D77" s="25">
        <f t="shared" si="11"/>
        <v>1395.4112094256884</v>
      </c>
      <c r="E77" s="73">
        <f t="shared" si="11"/>
        <v>1354.5321538539001</v>
      </c>
      <c r="F77" s="74">
        <f t="shared" si="11"/>
        <v>1638.2489539903765</v>
      </c>
      <c r="G77" s="74">
        <f t="shared" si="11"/>
        <v>0</v>
      </c>
      <c r="H77" s="74">
        <f t="shared" si="11"/>
        <v>0</v>
      </c>
      <c r="I77" s="74">
        <f t="shared" si="11"/>
        <v>0</v>
      </c>
    </row>
    <row r="78" spans="1:9">
      <c r="A78" s="17" t="str">
        <f>HLOOKUP(INDICE!$F$2,Nombres!$C$3:$D$636,47,FALSE)</f>
        <v>Income tax</v>
      </c>
      <c r="B78" s="77">
        <v>-364.3855675945394</v>
      </c>
      <c r="C78" s="77">
        <v>-383.56920790294276</v>
      </c>
      <c r="D78" s="77">
        <v>-384.93634956601852</v>
      </c>
      <c r="E78" s="78">
        <v>-386.1070508579287</v>
      </c>
      <c r="F78" s="77">
        <v>-461.3308486528162</v>
      </c>
      <c r="G78" s="77">
        <v>0</v>
      </c>
      <c r="H78" s="77">
        <v>0</v>
      </c>
      <c r="I78" s="77">
        <v>0</v>
      </c>
    </row>
    <row r="79" spans="1:9">
      <c r="A79" s="25" t="str">
        <f>HLOOKUP(INDICE!$F$2,Nombres!$C$3:$D$636,48,FALSE)</f>
        <v>Profit/(loss) for the year</v>
      </c>
      <c r="B79" s="25">
        <f>+B77+B78</f>
        <v>953.74559709893697</v>
      </c>
      <c r="C79" s="25">
        <f t="shared" ref="C79:I79" si="12">+C77+C78</f>
        <v>930.91934631813479</v>
      </c>
      <c r="D79" s="25">
        <f t="shared" si="12"/>
        <v>1010.4748598596699</v>
      </c>
      <c r="E79" s="73">
        <f t="shared" si="12"/>
        <v>968.42510299597143</v>
      </c>
      <c r="F79" s="74">
        <f t="shared" si="12"/>
        <v>1176.9181053375603</v>
      </c>
      <c r="G79" s="74">
        <f t="shared" si="12"/>
        <v>0</v>
      </c>
      <c r="H79" s="74">
        <f t="shared" si="12"/>
        <v>0</v>
      </c>
      <c r="I79" s="74">
        <f t="shared" si="12"/>
        <v>0</v>
      </c>
    </row>
    <row r="80" spans="1:9">
      <c r="A80" s="17" t="str">
        <f>HLOOKUP(INDICE!$F$2,Nombres!$C$3:$D$636,49,FALSE)</f>
        <v>Non-controlling interests</v>
      </c>
      <c r="B80" s="77">
        <v>-81.178853263164314</v>
      </c>
      <c r="C80" s="77">
        <v>-89.131932111753798</v>
      </c>
      <c r="D80" s="77">
        <v>-93.59117087470031</v>
      </c>
      <c r="E80" s="78">
        <v>-101.71289113750247</v>
      </c>
      <c r="F80" s="77">
        <v>-93.623037291911871</v>
      </c>
      <c r="G80" s="77">
        <v>0</v>
      </c>
      <c r="H80" s="77">
        <v>0</v>
      </c>
      <c r="I80" s="77">
        <v>0</v>
      </c>
    </row>
    <row r="81" spans="1:9">
      <c r="A81" s="19" t="str">
        <f>HLOOKUP(INDICE!$F$2,Nombres!$C$3:$D$636,50,FALSE)</f>
        <v>Net attributable profit</v>
      </c>
      <c r="B81" s="19">
        <f>+B79+B80</f>
        <v>872.56674383577263</v>
      </c>
      <c r="C81" s="19">
        <f t="shared" ref="C81:I81" si="13">+C79+C80</f>
        <v>841.78741420638096</v>
      </c>
      <c r="D81" s="19">
        <f t="shared" si="13"/>
        <v>916.88368898496958</v>
      </c>
      <c r="E81" s="19">
        <f t="shared" si="13"/>
        <v>866.712211858469</v>
      </c>
      <c r="F81" s="96">
        <f t="shared" si="13"/>
        <v>1083.2950680456483</v>
      </c>
      <c r="G81" s="96">
        <f t="shared" si="13"/>
        <v>0</v>
      </c>
      <c r="H81" s="96">
        <f t="shared" si="13"/>
        <v>0</v>
      </c>
      <c r="I81" s="96">
        <f t="shared" si="13"/>
        <v>0</v>
      </c>
    </row>
    <row r="82" spans="1:9">
      <c r="A82" s="93"/>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Cash, cash balances at central banks and other demand deposits</v>
      </c>
      <c r="B87" s="77">
        <v>9413.8339664510495</v>
      </c>
      <c r="C87" s="77">
        <v>7343.2424937385667</v>
      </c>
      <c r="D87" s="77">
        <v>13188.731581693826</v>
      </c>
      <c r="E87" s="78">
        <v>15367.833354024229</v>
      </c>
      <c r="F87" s="77">
        <v>10862.186788413363</v>
      </c>
      <c r="G87" s="77">
        <v>0</v>
      </c>
      <c r="H87" s="77">
        <v>0</v>
      </c>
      <c r="I87" s="77">
        <v>0</v>
      </c>
    </row>
    <row r="88" spans="1:9">
      <c r="A88" s="17" t="str">
        <f>HLOOKUP(INDICE!$F$2,Nombres!$C$3:$D$636,53,FALSE)</f>
        <v xml:space="preserve">Financial assets designated at fair value </v>
      </c>
      <c r="B88" s="86">
        <v>112228.65104072282</v>
      </c>
      <c r="C88" s="86">
        <v>117247.28643455532</v>
      </c>
      <c r="D88" s="86">
        <v>121331.941009817</v>
      </c>
      <c r="E88" s="97">
        <v>131138.10222590118</v>
      </c>
      <c r="F88" s="77">
        <v>152171.38553386071</v>
      </c>
      <c r="G88" s="77">
        <v>0</v>
      </c>
      <c r="H88" s="77">
        <v>0</v>
      </c>
      <c r="I88" s="77">
        <v>0</v>
      </c>
    </row>
    <row r="89" spans="1:9">
      <c r="A89" s="17" t="str">
        <f>HLOOKUP(INDICE!$F$2,Nombres!$C$3:$D$636,54,FALSE)</f>
        <v>Financial assets at amortized cost</v>
      </c>
      <c r="B89" s="77">
        <v>124291.4643115151</v>
      </c>
      <c r="C89" s="77">
        <v>135132.34572465383</v>
      </c>
      <c r="D89" s="77">
        <v>140018.75319822578</v>
      </c>
      <c r="E89" s="78">
        <v>155864.32900737738</v>
      </c>
      <c r="F89" s="77">
        <v>166717.23661819557</v>
      </c>
      <c r="G89" s="77">
        <v>0</v>
      </c>
      <c r="H89" s="77">
        <v>0</v>
      </c>
      <c r="I89" s="77">
        <v>0</v>
      </c>
    </row>
    <row r="90" spans="1:9">
      <c r="A90" s="17" t="str">
        <f>HLOOKUP(INDICE!$F$2,Nombres!$C$3:$D$636,55,FALSE)</f>
        <v xml:space="preserve">    of which loans and advances to customers</v>
      </c>
      <c r="B90" s="77">
        <v>103848.02628097603</v>
      </c>
      <c r="C90" s="77">
        <v>111124.79328942145</v>
      </c>
      <c r="D90" s="77">
        <v>116527.45428833764</v>
      </c>
      <c r="E90" s="78">
        <v>130481.36769657279</v>
      </c>
      <c r="F90" s="77">
        <v>139215.07759783469</v>
      </c>
      <c r="G90" s="77">
        <v>0</v>
      </c>
      <c r="H90" s="77">
        <v>0</v>
      </c>
      <c r="I90" s="77">
        <v>0</v>
      </c>
    </row>
    <row r="91" spans="1:9">
      <c r="A91" s="17" t="str">
        <f>HLOOKUP(INDICE!$F$2,Nombres!$C$3:$D$636,121,FALSE)</f>
        <v>Inter-area positions</v>
      </c>
      <c r="B91" s="77">
        <v>0</v>
      </c>
      <c r="C91" s="77">
        <v>0</v>
      </c>
      <c r="D91" s="77">
        <v>0</v>
      </c>
      <c r="E91" s="78">
        <v>0</v>
      </c>
      <c r="F91" s="77">
        <v>0</v>
      </c>
      <c r="G91" s="77">
        <v>0</v>
      </c>
      <c r="H91" s="77">
        <v>0</v>
      </c>
      <c r="I91" s="77">
        <v>0</v>
      </c>
    </row>
    <row r="92" spans="1:9">
      <c r="A92" s="17" t="str">
        <f>HLOOKUP(INDICE!$F$2,Nombres!$C$3:$D$636,56,FALSE)</f>
        <v>Tangible assets</v>
      </c>
      <c r="B92" s="77">
        <v>-356.70717843542599</v>
      </c>
      <c r="C92" s="77">
        <v>218.13034186928485</v>
      </c>
      <c r="D92" s="77">
        <v>239.05234067947816</v>
      </c>
      <c r="E92" s="78">
        <v>272.89508186567627</v>
      </c>
      <c r="F92" s="77">
        <v>257.86076207038258</v>
      </c>
      <c r="G92" s="77">
        <v>0</v>
      </c>
      <c r="H92" s="77">
        <v>0</v>
      </c>
      <c r="I92" s="77">
        <v>0</v>
      </c>
    </row>
    <row r="93" spans="1:9">
      <c r="A93" s="17" t="str">
        <f>HLOOKUP(INDICE!$F$2,Nombres!$C$3:$D$636,57,FALSE)</f>
        <v>Other assets</v>
      </c>
      <c r="B93" s="86">
        <f>+B94-B92-B89-B88-B87-B91</f>
        <v>4699.3603714390847</v>
      </c>
      <c r="C93" s="86">
        <f t="shared" ref="C93:I93" si="15">+C94-C92-C89-C88-C87-C91</f>
        <v>2162.1616784751086</v>
      </c>
      <c r="D93" s="86">
        <f t="shared" si="15"/>
        <v>3907.745188767507</v>
      </c>
      <c r="E93" s="97">
        <f t="shared" si="15"/>
        <v>3618.4759661797016</v>
      </c>
      <c r="F93" s="86">
        <f t="shared" si="15"/>
        <v>4914.7868050956076</v>
      </c>
      <c r="G93" s="86">
        <f t="shared" si="15"/>
        <v>0</v>
      </c>
      <c r="H93" s="86">
        <f t="shared" si="15"/>
        <v>0</v>
      </c>
      <c r="I93" s="86">
        <f t="shared" si="15"/>
        <v>0</v>
      </c>
    </row>
    <row r="94" spans="1:9">
      <c r="A94" s="19" t="str">
        <f>HLOOKUP(INDICE!$F$2,Nombres!$C$3:$D$636,58,FALSE)</f>
        <v>Total assets / Liabilities and equity</v>
      </c>
      <c r="B94" s="19">
        <v>250276.60251169262</v>
      </c>
      <c r="C94" s="19">
        <v>262103.16667329211</v>
      </c>
      <c r="D94" s="19">
        <v>278686.22331918357</v>
      </c>
      <c r="E94" s="95">
        <v>306261.63563534815</v>
      </c>
      <c r="F94" s="96">
        <v>334923.45650763565</v>
      </c>
      <c r="G94" s="96">
        <v>0</v>
      </c>
      <c r="H94" s="96">
        <v>0</v>
      </c>
      <c r="I94" s="96">
        <v>0</v>
      </c>
    </row>
    <row r="95" spans="1:9">
      <c r="A95" s="17" t="str">
        <f>HLOOKUP(INDICE!$F$2,Nombres!$C$3:$D$636,59,FALSE)</f>
        <v>Financial liabilities held for trading and designated at fair value through profit or loss</v>
      </c>
      <c r="B95" s="86">
        <v>80715.4029859531</v>
      </c>
      <c r="C95" s="86">
        <v>90375.088813057562</v>
      </c>
      <c r="D95" s="86">
        <v>92602.631328967269</v>
      </c>
      <c r="E95" s="97">
        <v>98086.728047633282</v>
      </c>
      <c r="F95" s="77">
        <v>111654.8968626753</v>
      </c>
      <c r="G95" s="77">
        <v>0</v>
      </c>
      <c r="H95" s="77">
        <v>0</v>
      </c>
      <c r="I95" s="77">
        <v>0</v>
      </c>
    </row>
    <row r="96" spans="1:9">
      <c r="A96" s="17" t="str">
        <f>HLOOKUP(INDICE!$F$2,Nombres!$C$3:$D$636,60,FALSE)</f>
        <v>Deposits from central banks and credit institutions</v>
      </c>
      <c r="B96" s="86">
        <v>36875.07441247339</v>
      </c>
      <c r="C96" s="86">
        <v>32791.8189048692</v>
      </c>
      <c r="D96" s="86">
        <v>38197.776357766023</v>
      </c>
      <c r="E96" s="97">
        <v>41886.286244546165</v>
      </c>
      <c r="F96" s="77">
        <v>42852.028735864595</v>
      </c>
      <c r="G96" s="77">
        <v>0</v>
      </c>
      <c r="H96" s="77">
        <v>0</v>
      </c>
      <c r="I96" s="77">
        <v>0</v>
      </c>
    </row>
    <row r="97" spans="1:9">
      <c r="A97" s="17" t="str">
        <f>HLOOKUP(INDICE!$F$2,Nombres!$C$3:$D$636,61,FALSE)</f>
        <v>Deposits from customers</v>
      </c>
      <c r="B97" s="86">
        <v>80847.862129155779</v>
      </c>
      <c r="C97" s="86">
        <v>79736.339181424075</v>
      </c>
      <c r="D97" s="86">
        <v>94426.82484456306</v>
      </c>
      <c r="E97" s="97">
        <v>106546.80142869441</v>
      </c>
      <c r="F97" s="77">
        <v>102810.27960184221</v>
      </c>
      <c r="G97" s="77">
        <v>0</v>
      </c>
      <c r="H97" s="77">
        <v>0</v>
      </c>
      <c r="I97" s="77">
        <v>0</v>
      </c>
    </row>
    <row r="98" spans="1:9">
      <c r="A98" s="17" t="str">
        <f>HLOOKUP(INDICE!$F$2,Nombres!$C$3:$D$636,62,FALSE)</f>
        <v>Debt certificates</v>
      </c>
      <c r="B98" s="77">
        <v>11194.994982553844</v>
      </c>
      <c r="C98" s="77">
        <v>11259.27616123297</v>
      </c>
      <c r="D98" s="77">
        <v>12151.695696499328</v>
      </c>
      <c r="E98" s="78">
        <v>13822.014458716039</v>
      </c>
      <c r="F98" s="77">
        <v>15563.458052530517</v>
      </c>
      <c r="G98" s="77">
        <v>0</v>
      </c>
      <c r="H98" s="77">
        <v>0</v>
      </c>
      <c r="I98" s="77">
        <v>0</v>
      </c>
    </row>
    <row r="99" spans="1:9">
      <c r="A99" s="17" t="str">
        <f>HLOOKUP(INDICE!$F$2,Nombres!$C$3:$D$636,122,FALSE)</f>
        <v>Inter-area positions</v>
      </c>
      <c r="B99" s="77">
        <v>27285.901822349762</v>
      </c>
      <c r="C99" s="77">
        <v>32353.76411721054</v>
      </c>
      <c r="D99" s="77">
        <v>23232.484068388716</v>
      </c>
      <c r="E99" s="78">
        <v>28136.311980267365</v>
      </c>
      <c r="F99" s="77">
        <v>43910.883098578714</v>
      </c>
      <c r="G99" s="77">
        <v>0</v>
      </c>
      <c r="H99" s="77">
        <v>0</v>
      </c>
      <c r="I99" s="77">
        <v>0</v>
      </c>
    </row>
    <row r="100" spans="1:9">
      <c r="A100" s="17" t="str">
        <f>HLOOKUP(INDICE!$F$2,Nombres!$C$3:$D$636,63,FALSE)</f>
        <v>Other liabilities</v>
      </c>
      <c r="B100" s="77">
        <f t="shared" ref="B100:I100" si="16">+B94-B95-B96-B97-B98-B101-B99</f>
        <v>-253.28710855990357</v>
      </c>
      <c r="C100" s="77">
        <f t="shared" si="16"/>
        <v>1903.4581641191944</v>
      </c>
      <c r="D100" s="77">
        <f t="shared" si="16"/>
        <v>4222.9430242395429</v>
      </c>
      <c r="E100" s="78">
        <f t="shared" si="16"/>
        <v>3501.0511426153207</v>
      </c>
      <c r="F100" s="77">
        <f t="shared" si="16"/>
        <v>3352.7022806531313</v>
      </c>
      <c r="G100" s="77">
        <f t="shared" si="16"/>
        <v>0</v>
      </c>
      <c r="H100" s="77">
        <f t="shared" si="16"/>
        <v>0</v>
      </c>
      <c r="I100" s="77">
        <f t="shared" si="16"/>
        <v>0</v>
      </c>
    </row>
    <row r="101" spans="1:9">
      <c r="A101" s="17" t="str">
        <f>HLOOKUP(INDICE!$F$2,Nombres!$C$3:$D$636,282,FALSE)</f>
        <v>Allocated regulatory capital</v>
      </c>
      <c r="B101" s="77">
        <v>13610.653287766663</v>
      </c>
      <c r="C101" s="77">
        <v>13683.421331378559</v>
      </c>
      <c r="D101" s="77">
        <v>13851.86799875963</v>
      </c>
      <c r="E101" s="78">
        <v>14282.442332875586</v>
      </c>
      <c r="F101" s="77">
        <v>14779.207875491173</v>
      </c>
      <c r="G101" s="77">
        <v>0</v>
      </c>
      <c r="H101" s="77">
        <v>0</v>
      </c>
      <c r="I101" s="77">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Relevant business indicators</v>
      </c>
      <c r="B104" s="66"/>
      <c r="C104" s="66"/>
      <c r="D104" s="66"/>
      <c r="E104" s="66"/>
      <c r="F104" s="106"/>
      <c r="G104" s="106"/>
      <c r="H104" s="106"/>
      <c r="I104" s="106"/>
    </row>
    <row r="105" spans="1:9">
      <c r="A105" s="67"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Loans and advances to customers (gross) (*)</v>
      </c>
      <c r="B107" s="77">
        <v>103977.32705664904</v>
      </c>
      <c r="C107" s="77">
        <v>110295.35775476357</v>
      </c>
      <c r="D107" s="77">
        <v>115362.33945361605</v>
      </c>
      <c r="E107" s="78">
        <v>127886.12932592437</v>
      </c>
      <c r="F107" s="77">
        <v>139675.46958543456</v>
      </c>
      <c r="G107" s="77">
        <v>0</v>
      </c>
      <c r="H107" s="77">
        <v>0</v>
      </c>
      <c r="I107" s="77">
        <v>0</v>
      </c>
    </row>
    <row r="108" spans="1:9">
      <c r="A108" s="17" t="str">
        <f>HLOOKUP(INDICE!$F$2,Nombres!$C$3:$D$636,67,FALSE)</f>
        <v>Customer deposits under management (*)</v>
      </c>
      <c r="B108" s="77">
        <v>76568.273359311672</v>
      </c>
      <c r="C108" s="77">
        <v>74090.324613230594</v>
      </c>
      <c r="D108" s="77">
        <v>89237.737360019455</v>
      </c>
      <c r="E108" s="78">
        <v>99225.233110816247</v>
      </c>
      <c r="F108" s="77">
        <v>95617.979168925842</v>
      </c>
      <c r="G108" s="77">
        <v>0</v>
      </c>
      <c r="H108" s="77">
        <v>0</v>
      </c>
      <c r="I108" s="77">
        <v>0</v>
      </c>
    </row>
    <row r="109" spans="1:9">
      <c r="A109" s="17" t="str">
        <f>HLOOKUP(INDICE!$F$2,Nombres!$C$3:$D$636,68,FALSE)</f>
        <v>Investment funds and managed portfolios</v>
      </c>
      <c r="B109" s="77">
        <v>3854.1636354511584</v>
      </c>
      <c r="C109" s="77">
        <v>3745.8454032360273</v>
      </c>
      <c r="D109" s="77">
        <v>4314.6467736759987</v>
      </c>
      <c r="E109" s="78">
        <v>4077.4553583271863</v>
      </c>
      <c r="F109" s="77">
        <v>1828.3766694787114</v>
      </c>
      <c r="G109" s="77">
        <v>0</v>
      </c>
      <c r="H109" s="77">
        <v>0</v>
      </c>
      <c r="I109" s="77">
        <v>0</v>
      </c>
    </row>
    <row r="110" spans="1:9">
      <c r="A110" s="17" t="str">
        <f>HLOOKUP(INDICE!$F$2,Nombres!$C$3:$D$636,69,FALSE)</f>
        <v>Pension funds</v>
      </c>
      <c r="B110" s="77">
        <v>25.183210990000248</v>
      </c>
      <c r="C110" s="77">
        <v>25.753442840000151</v>
      </c>
      <c r="D110" s="77">
        <v>26.266501119999887</v>
      </c>
      <c r="E110" s="78">
        <v>9.6000099182128909E-7</v>
      </c>
      <c r="F110" s="77">
        <v>-4.4000005722045898E-7</v>
      </c>
      <c r="G110" s="77">
        <v>0</v>
      </c>
      <c r="H110" s="77">
        <v>0</v>
      </c>
      <c r="I110" s="77">
        <v>0</v>
      </c>
    </row>
    <row r="111" spans="1:9">
      <c r="A111" s="17" t="str">
        <f>HLOOKUP(INDICE!$F$2,Nombres!$C$3:$D$636,70,FALSE)</f>
        <v>Other off balance-sheet funds</v>
      </c>
      <c r="B111" s="77">
        <v>244.23643876964323</v>
      </c>
      <c r="C111" s="77">
        <v>265.48324596175746</v>
      </c>
      <c r="D111" s="77">
        <v>273.52217430443932</v>
      </c>
      <c r="E111" s="78">
        <v>440.66472347780467</v>
      </c>
      <c r="F111" s="77">
        <v>677.30005858644211</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9" spans="1:9">
      <c r="B119" s="75"/>
      <c r="C119" s="75"/>
      <c r="D119" s="75"/>
      <c r="E119" s="75"/>
      <c r="F119" s="75"/>
      <c r="G119" s="75"/>
      <c r="H119" s="75"/>
      <c r="I119" s="75"/>
    </row>
    <row r="120" spans="1:9">
      <c r="F120" s="115"/>
      <c r="G120" s="115"/>
      <c r="H120" s="115"/>
      <c r="I120" s="115"/>
    </row>
    <row r="121" spans="1:9">
      <c r="F121" s="115"/>
      <c r="G121" s="115"/>
      <c r="H121" s="115"/>
      <c r="I121" s="115"/>
    </row>
    <row r="122" spans="1:9">
      <c r="F122" s="115"/>
      <c r="G122" s="115"/>
      <c r="H122" s="115"/>
      <c r="I122" s="115"/>
    </row>
    <row r="123" spans="1:9">
      <c r="F123" s="115"/>
      <c r="G123" s="115"/>
      <c r="H123" s="115"/>
      <c r="I123" s="115"/>
    </row>
    <row r="124" spans="1:9">
      <c r="F124" s="115"/>
      <c r="G124" s="115"/>
      <c r="H124" s="115"/>
      <c r="I124" s="115"/>
    </row>
    <row r="125" spans="1:9">
      <c r="F125" s="115"/>
      <c r="G125" s="115"/>
      <c r="H125" s="115"/>
      <c r="I125" s="115"/>
    </row>
    <row r="126" spans="1:9">
      <c r="F126" s="115"/>
      <c r="G126" s="115"/>
      <c r="H126" s="115"/>
      <c r="I126" s="115"/>
    </row>
    <row r="127" spans="1:9">
      <c r="F127" s="115"/>
      <c r="G127" s="115"/>
      <c r="H127" s="115"/>
      <c r="I127" s="115"/>
    </row>
    <row r="128" spans="1: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row r="164" spans="6:9">
      <c r="F164" s="115"/>
      <c r="G164" s="115"/>
      <c r="H164" s="115"/>
      <c r="I164" s="115"/>
    </row>
    <row r="165" spans="6:9">
      <c r="F165" s="115"/>
      <c r="G165" s="115"/>
      <c r="H165" s="115"/>
      <c r="I165" s="115"/>
    </row>
    <row r="166" spans="6:9">
      <c r="F166" s="115"/>
      <c r="G166" s="115"/>
      <c r="H166" s="115"/>
      <c r="I166" s="115"/>
    </row>
    <row r="1000" spans="1:1">
      <c r="A1000" s="63" t="s">
        <v>555</v>
      </c>
    </row>
  </sheetData>
  <mergeCells count="5">
    <mergeCell ref="A2:I2"/>
    <mergeCell ref="B6:E6"/>
    <mergeCell ref="F6:I6"/>
    <mergeCell ref="B62:E62"/>
    <mergeCell ref="F62:I62"/>
  </mergeCells>
  <conditionalFormatting sqref="B26:I26">
    <cfRule type="cellIs" dxfId="17" priority="2" operator="notBetween">
      <formula>0.5</formula>
      <formula>-0.5</formula>
    </cfRule>
  </conditionalFormatting>
  <conditionalFormatting sqref="B82:I82">
    <cfRule type="cellIs" dxfId="16" priority="1" operator="notBetween">
      <formula>0.5</formula>
      <formula>-0.5</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L998"/>
  <sheetViews>
    <sheetView showGridLines="0" workbookViewId="0"/>
  </sheetViews>
  <sheetFormatPr baseColWidth="10" defaultColWidth="12.54296875" defaultRowHeight="12.5"/>
  <cols>
    <col min="1" max="1" width="40.7265625" style="135" customWidth="1"/>
    <col min="2" max="6" width="10" style="135" customWidth="1"/>
    <col min="7" max="9" width="10" style="135" hidden="1" customWidth="1"/>
    <col min="10" max="256" width="12.54296875" style="135"/>
    <col min="257" max="257" width="40.7265625" style="135" customWidth="1"/>
    <col min="258" max="265" width="12.7265625" style="135" customWidth="1"/>
    <col min="266" max="512" width="12.54296875" style="135"/>
    <col min="513" max="513" width="40.7265625" style="135" customWidth="1"/>
    <col min="514" max="521" width="12.7265625" style="135" customWidth="1"/>
    <col min="522" max="768" width="12.54296875" style="135"/>
    <col min="769" max="769" width="40.7265625" style="135" customWidth="1"/>
    <col min="770" max="777" width="12.7265625" style="135" customWidth="1"/>
    <col min="778" max="1024" width="12.54296875" style="135"/>
    <col min="1025" max="1025" width="40.7265625" style="135" customWidth="1"/>
    <col min="1026" max="1033" width="12.7265625" style="135" customWidth="1"/>
    <col min="1034" max="1280" width="12.54296875" style="135"/>
    <col min="1281" max="1281" width="40.7265625" style="135" customWidth="1"/>
    <col min="1282" max="1289" width="12.7265625" style="135" customWidth="1"/>
    <col min="1290" max="1536" width="12.54296875" style="135"/>
    <col min="1537" max="1537" width="40.7265625" style="135" customWidth="1"/>
    <col min="1538" max="1545" width="12.7265625" style="135" customWidth="1"/>
    <col min="1546" max="1792" width="12.54296875" style="135"/>
    <col min="1793" max="1793" width="40.7265625" style="135" customWidth="1"/>
    <col min="1794" max="1801" width="12.7265625" style="135" customWidth="1"/>
    <col min="1802" max="2048" width="12.54296875" style="135"/>
    <col min="2049" max="2049" width="40.7265625" style="135" customWidth="1"/>
    <col min="2050" max="2057" width="12.7265625" style="135" customWidth="1"/>
    <col min="2058" max="2304" width="12.54296875" style="135"/>
    <col min="2305" max="2305" width="40.7265625" style="135" customWidth="1"/>
    <col min="2306" max="2313" width="12.7265625" style="135" customWidth="1"/>
    <col min="2314" max="2560" width="12.54296875" style="135"/>
    <col min="2561" max="2561" width="40.7265625" style="135" customWidth="1"/>
    <col min="2562" max="2569" width="12.7265625" style="135" customWidth="1"/>
    <col min="2570" max="2816" width="12.54296875" style="135"/>
    <col min="2817" max="2817" width="40.7265625" style="135" customWidth="1"/>
    <col min="2818" max="2825" width="12.7265625" style="135" customWidth="1"/>
    <col min="2826" max="3072" width="12.54296875" style="135"/>
    <col min="3073" max="3073" width="40.7265625" style="135" customWidth="1"/>
    <col min="3074" max="3081" width="12.7265625" style="135" customWidth="1"/>
    <col min="3082" max="3328" width="12.54296875" style="135"/>
    <col min="3329" max="3329" width="40.7265625" style="135" customWidth="1"/>
    <col min="3330" max="3337" width="12.7265625" style="135" customWidth="1"/>
    <col min="3338" max="3584" width="12.54296875" style="135"/>
    <col min="3585" max="3585" width="40.7265625" style="135" customWidth="1"/>
    <col min="3586" max="3593" width="12.7265625" style="135" customWidth="1"/>
    <col min="3594" max="3840" width="12.54296875" style="135"/>
    <col min="3841" max="3841" width="40.7265625" style="135" customWidth="1"/>
    <col min="3842" max="3849" width="12.7265625" style="135" customWidth="1"/>
    <col min="3850" max="4096" width="12.54296875" style="135"/>
    <col min="4097" max="4097" width="40.7265625" style="135" customWidth="1"/>
    <col min="4098" max="4105" width="12.7265625" style="135" customWidth="1"/>
    <col min="4106" max="4352" width="12.54296875" style="135"/>
    <col min="4353" max="4353" width="40.7265625" style="135" customWidth="1"/>
    <col min="4354" max="4361" width="12.7265625" style="135" customWidth="1"/>
    <col min="4362" max="4608" width="12.54296875" style="135"/>
    <col min="4609" max="4609" width="40.7265625" style="135" customWidth="1"/>
    <col min="4610" max="4617" width="12.7265625" style="135" customWidth="1"/>
    <col min="4618" max="4864" width="12.54296875" style="135"/>
    <col min="4865" max="4865" width="40.7265625" style="135" customWidth="1"/>
    <col min="4866" max="4873" width="12.7265625" style="135" customWidth="1"/>
    <col min="4874" max="5120" width="12.54296875" style="135"/>
    <col min="5121" max="5121" width="40.7265625" style="135" customWidth="1"/>
    <col min="5122" max="5129" width="12.7265625" style="135" customWidth="1"/>
    <col min="5130" max="5376" width="12.54296875" style="135"/>
    <col min="5377" max="5377" width="40.7265625" style="135" customWidth="1"/>
    <col min="5378" max="5385" width="12.7265625" style="135" customWidth="1"/>
    <col min="5386" max="5632" width="12.54296875" style="135"/>
    <col min="5633" max="5633" width="40.7265625" style="135" customWidth="1"/>
    <col min="5634" max="5641" width="12.7265625" style="135" customWidth="1"/>
    <col min="5642" max="5888" width="12.54296875" style="135"/>
    <col min="5889" max="5889" width="40.7265625" style="135" customWidth="1"/>
    <col min="5890" max="5897" width="12.7265625" style="135" customWidth="1"/>
    <col min="5898" max="6144" width="12.54296875" style="135"/>
    <col min="6145" max="6145" width="40.7265625" style="135" customWidth="1"/>
    <col min="6146" max="6153" width="12.7265625" style="135" customWidth="1"/>
    <col min="6154" max="6400" width="12.54296875" style="135"/>
    <col min="6401" max="6401" width="40.7265625" style="135" customWidth="1"/>
    <col min="6402" max="6409" width="12.7265625" style="135" customWidth="1"/>
    <col min="6410" max="6656" width="12.54296875" style="135"/>
    <col min="6657" max="6657" width="40.7265625" style="135" customWidth="1"/>
    <col min="6658" max="6665" width="12.7265625" style="135" customWidth="1"/>
    <col min="6666" max="6912" width="12.54296875" style="135"/>
    <col min="6913" max="6913" width="40.7265625" style="135" customWidth="1"/>
    <col min="6914" max="6921" width="12.7265625" style="135" customWidth="1"/>
    <col min="6922" max="7168" width="12.54296875" style="135"/>
    <col min="7169" max="7169" width="40.7265625" style="135" customWidth="1"/>
    <col min="7170" max="7177" width="12.7265625" style="135" customWidth="1"/>
    <col min="7178" max="7424" width="12.54296875" style="135"/>
    <col min="7425" max="7425" width="40.7265625" style="135" customWidth="1"/>
    <col min="7426" max="7433" width="12.7265625" style="135" customWidth="1"/>
    <col min="7434" max="7680" width="12.54296875" style="135"/>
    <col min="7681" max="7681" width="40.7265625" style="135" customWidth="1"/>
    <col min="7682" max="7689" width="12.7265625" style="135" customWidth="1"/>
    <col min="7690" max="7936" width="12.54296875" style="135"/>
    <col min="7937" max="7937" width="40.7265625" style="135" customWidth="1"/>
    <col min="7938" max="7945" width="12.7265625" style="135" customWidth="1"/>
    <col min="7946" max="8192" width="12.54296875" style="135"/>
    <col min="8193" max="8193" width="40.7265625" style="135" customWidth="1"/>
    <col min="8194" max="8201" width="12.7265625" style="135" customWidth="1"/>
    <col min="8202" max="8448" width="12.54296875" style="135"/>
    <col min="8449" max="8449" width="40.7265625" style="135" customWidth="1"/>
    <col min="8450" max="8457" width="12.7265625" style="135" customWidth="1"/>
    <col min="8458" max="8704" width="12.54296875" style="135"/>
    <col min="8705" max="8705" width="40.7265625" style="135" customWidth="1"/>
    <col min="8706" max="8713" width="12.7265625" style="135" customWidth="1"/>
    <col min="8714" max="8960" width="12.54296875" style="135"/>
    <col min="8961" max="8961" width="40.7265625" style="135" customWidth="1"/>
    <col min="8962" max="8969" width="12.7265625" style="135" customWidth="1"/>
    <col min="8970" max="9216" width="12.54296875" style="135"/>
    <col min="9217" max="9217" width="40.7265625" style="135" customWidth="1"/>
    <col min="9218" max="9225" width="12.7265625" style="135" customWidth="1"/>
    <col min="9226" max="9472" width="12.54296875" style="135"/>
    <col min="9473" max="9473" width="40.7265625" style="135" customWidth="1"/>
    <col min="9474" max="9481" width="12.7265625" style="135" customWidth="1"/>
    <col min="9482" max="9728" width="12.54296875" style="135"/>
    <col min="9729" max="9729" width="40.7265625" style="135" customWidth="1"/>
    <col min="9730" max="9737" width="12.7265625" style="135" customWidth="1"/>
    <col min="9738" max="9984" width="12.54296875" style="135"/>
    <col min="9985" max="9985" width="40.7265625" style="135" customWidth="1"/>
    <col min="9986" max="9993" width="12.7265625" style="135" customWidth="1"/>
    <col min="9994" max="10240" width="12.54296875" style="135"/>
    <col min="10241" max="10241" width="40.7265625" style="135" customWidth="1"/>
    <col min="10242" max="10249" width="12.7265625" style="135" customWidth="1"/>
    <col min="10250" max="10496" width="12.54296875" style="135"/>
    <col min="10497" max="10497" width="40.7265625" style="135" customWidth="1"/>
    <col min="10498" max="10505" width="12.7265625" style="135" customWidth="1"/>
    <col min="10506" max="10752" width="12.54296875" style="135"/>
    <col min="10753" max="10753" width="40.7265625" style="135" customWidth="1"/>
    <col min="10754" max="10761" width="12.7265625" style="135" customWidth="1"/>
    <col min="10762" max="11008" width="12.54296875" style="135"/>
    <col min="11009" max="11009" width="40.7265625" style="135" customWidth="1"/>
    <col min="11010" max="11017" width="12.7265625" style="135" customWidth="1"/>
    <col min="11018" max="11264" width="12.54296875" style="135"/>
    <col min="11265" max="11265" width="40.7265625" style="135" customWidth="1"/>
    <col min="11266" max="11273" width="12.7265625" style="135" customWidth="1"/>
    <col min="11274" max="11520" width="12.54296875" style="135"/>
    <col min="11521" max="11521" width="40.7265625" style="135" customWidth="1"/>
    <col min="11522" max="11529" width="12.7265625" style="135" customWidth="1"/>
    <col min="11530" max="11776" width="12.54296875" style="135"/>
    <col min="11777" max="11777" width="40.7265625" style="135" customWidth="1"/>
    <col min="11778" max="11785" width="12.7265625" style="135" customWidth="1"/>
    <col min="11786" max="12032" width="12.54296875" style="135"/>
    <col min="12033" max="12033" width="40.7265625" style="135" customWidth="1"/>
    <col min="12034" max="12041" width="12.7265625" style="135" customWidth="1"/>
    <col min="12042" max="12288" width="12.54296875" style="135"/>
    <col min="12289" max="12289" width="40.7265625" style="135" customWidth="1"/>
    <col min="12290" max="12297" width="12.7265625" style="135" customWidth="1"/>
    <col min="12298" max="12544" width="12.54296875" style="135"/>
    <col min="12545" max="12545" width="40.7265625" style="135" customWidth="1"/>
    <col min="12546" max="12553" width="12.7265625" style="135" customWidth="1"/>
    <col min="12554" max="12800" width="12.54296875" style="135"/>
    <col min="12801" max="12801" width="40.7265625" style="135" customWidth="1"/>
    <col min="12802" max="12809" width="12.7265625" style="135" customWidth="1"/>
    <col min="12810" max="13056" width="12.54296875" style="135"/>
    <col min="13057" max="13057" width="40.7265625" style="135" customWidth="1"/>
    <col min="13058" max="13065" width="12.7265625" style="135" customWidth="1"/>
    <col min="13066" max="13312" width="12.54296875" style="135"/>
    <col min="13313" max="13313" width="40.7265625" style="135" customWidth="1"/>
    <col min="13314" max="13321" width="12.7265625" style="135" customWidth="1"/>
    <col min="13322" max="13568" width="12.54296875" style="135"/>
    <col min="13569" max="13569" width="40.7265625" style="135" customWidth="1"/>
    <col min="13570" max="13577" width="12.7265625" style="135" customWidth="1"/>
    <col min="13578" max="13824" width="12.54296875" style="135"/>
    <col min="13825" max="13825" width="40.7265625" style="135" customWidth="1"/>
    <col min="13826" max="13833" width="12.7265625" style="135" customWidth="1"/>
    <col min="13834" max="14080" width="12.54296875" style="135"/>
    <col min="14081" max="14081" width="40.7265625" style="135" customWidth="1"/>
    <col min="14082" max="14089" width="12.7265625" style="135" customWidth="1"/>
    <col min="14090" max="14336" width="12.54296875" style="135"/>
    <col min="14337" max="14337" width="40.7265625" style="135" customWidth="1"/>
    <col min="14338" max="14345" width="12.7265625" style="135" customWidth="1"/>
    <col min="14346" max="14592" width="12.54296875" style="135"/>
    <col min="14593" max="14593" width="40.7265625" style="135" customWidth="1"/>
    <col min="14594" max="14601" width="12.7265625" style="135" customWidth="1"/>
    <col min="14602" max="14848" width="12.54296875" style="135"/>
    <col min="14849" max="14849" width="40.7265625" style="135" customWidth="1"/>
    <col min="14850" max="14857" width="12.7265625" style="135" customWidth="1"/>
    <col min="14858" max="15104" width="12.54296875" style="135"/>
    <col min="15105" max="15105" width="40.7265625" style="135" customWidth="1"/>
    <col min="15106" max="15113" width="12.7265625" style="135" customWidth="1"/>
    <col min="15114" max="15360" width="12.54296875" style="135"/>
    <col min="15361" max="15361" width="40.7265625" style="135" customWidth="1"/>
    <col min="15362" max="15369" width="12.7265625" style="135" customWidth="1"/>
    <col min="15370" max="15616" width="12.54296875" style="135"/>
    <col min="15617" max="15617" width="40.7265625" style="135" customWidth="1"/>
    <col min="15618" max="15625" width="12.7265625" style="135" customWidth="1"/>
    <col min="15626" max="15872" width="12.54296875" style="135"/>
    <col min="15873" max="15873" width="40.7265625" style="135" customWidth="1"/>
    <col min="15874" max="15881" width="12.7265625" style="135" customWidth="1"/>
    <col min="15882" max="16128" width="12.54296875" style="135"/>
    <col min="16129" max="16129" width="40.7265625" style="135" customWidth="1"/>
    <col min="16130" max="16137" width="12.7265625" style="135" customWidth="1"/>
    <col min="16138" max="16384" width="12.54296875" style="135"/>
  </cols>
  <sheetData>
    <row r="1" spans="1:12" ht="17">
      <c r="A1" s="133" t="str">
        <f>HLOOKUP(INDICE!$F$2,Nombres!$C$3:$D$636,82,FALSE)</f>
        <v>Efficiency (*)</v>
      </c>
      <c r="B1" s="134"/>
      <c r="C1" s="134"/>
      <c r="D1" s="134"/>
      <c r="E1" s="134"/>
      <c r="F1" s="134"/>
      <c r="G1" s="134"/>
      <c r="H1" s="134"/>
      <c r="I1" s="134"/>
    </row>
    <row r="2" spans="1:12">
      <c r="A2" s="136" t="str">
        <f>HLOOKUP(INDICE!$F$2,Nombres!$C$3:$D$636,84,FALSE)</f>
        <v>(Percentage)</v>
      </c>
      <c r="B2" s="137"/>
      <c r="C2" s="137"/>
      <c r="D2" s="137"/>
      <c r="E2" s="137"/>
      <c r="F2" s="137"/>
      <c r="G2" s="137"/>
      <c r="H2" s="137"/>
      <c r="I2" s="137"/>
    </row>
    <row r="3" spans="1:12" ht="13.5">
      <c r="A3" s="138"/>
      <c r="B3" s="139">
        <f>+España!B32</f>
        <v>45747</v>
      </c>
      <c r="C3" s="139">
        <f>+España!C32</f>
        <v>45838</v>
      </c>
      <c r="D3" s="139">
        <f>+España!D32</f>
        <v>45930</v>
      </c>
      <c r="E3" s="139">
        <f>+España!E32</f>
        <v>46022</v>
      </c>
      <c r="F3" s="139">
        <f>+España!F32</f>
        <v>46112</v>
      </c>
      <c r="G3" s="139">
        <f>+España!G32</f>
        <v>46203</v>
      </c>
      <c r="H3" s="139">
        <f>+España!H32</f>
        <v>46295</v>
      </c>
      <c r="I3" s="139">
        <f>+España!I32</f>
        <v>46387</v>
      </c>
    </row>
    <row r="4" spans="1:12">
      <c r="A4" s="137"/>
      <c r="B4" s="140"/>
      <c r="C4" s="140"/>
      <c r="D4" s="140"/>
      <c r="E4" s="141"/>
      <c r="F4" s="140"/>
      <c r="G4" s="140"/>
      <c r="H4" s="137"/>
      <c r="I4" s="137"/>
    </row>
    <row r="5" spans="1:12" customFormat="1" ht="14.5">
      <c r="A5" s="18" t="str">
        <f>HLOOKUP(INDICE!$F$2,Nombres!$C$3:$D$636,276,FALSE)</f>
        <v>BBVA Group  (**)</v>
      </c>
      <c r="B5" s="142">
        <v>38.20434777945799</v>
      </c>
      <c r="C5" s="142">
        <v>37.632612652307415</v>
      </c>
      <c r="D5" s="142">
        <v>38.179439808754353</v>
      </c>
      <c r="E5" s="143">
        <v>38.807306374954962</v>
      </c>
      <c r="F5" s="144">
        <v>38.007001560763022</v>
      </c>
      <c r="G5" s="144">
        <v>0</v>
      </c>
      <c r="H5" s="144">
        <v>0</v>
      </c>
      <c r="I5" s="144">
        <v>0</v>
      </c>
      <c r="J5" s="145"/>
      <c r="K5" s="145"/>
    </row>
    <row r="6" spans="1:12">
      <c r="A6" s="137"/>
      <c r="B6" s="146"/>
      <c r="C6" s="146"/>
      <c r="D6" s="146"/>
      <c r="E6" s="147"/>
      <c r="F6" s="146"/>
      <c r="G6" s="146"/>
      <c r="H6" s="146"/>
      <c r="I6" s="146"/>
      <c r="J6" s="148"/>
      <c r="K6" s="148"/>
      <c r="L6" s="148"/>
    </row>
    <row r="7" spans="1:12" customFormat="1" ht="14.5">
      <c r="A7" s="7" t="str">
        <f>HLOOKUP(INDICE!$F$2,Nombres!$C$3:$D$636,7,FALSE)</f>
        <v>Spain</v>
      </c>
      <c r="B7" s="149">
        <v>32.376377543777245</v>
      </c>
      <c r="C7" s="149">
        <v>31.425841756548891</v>
      </c>
      <c r="D7" s="149">
        <v>32.508662727965877</v>
      </c>
      <c r="E7" s="150">
        <v>33.260397162952565</v>
      </c>
      <c r="F7" s="151">
        <v>33.691275329756031</v>
      </c>
      <c r="G7" s="151">
        <v>0</v>
      </c>
      <c r="H7" s="151">
        <v>0</v>
      </c>
      <c r="I7" s="151">
        <v>0</v>
      </c>
      <c r="J7" s="145"/>
      <c r="K7" s="145"/>
    </row>
    <row r="8" spans="1:12" ht="14.25" customHeight="1">
      <c r="A8" s="137"/>
      <c r="B8" s="146"/>
      <c r="C8" s="146"/>
      <c r="D8" s="146"/>
      <c r="E8" s="147"/>
      <c r="F8" s="146"/>
      <c r="G8" s="146"/>
      <c r="H8" s="146"/>
      <c r="I8" s="146"/>
      <c r="J8" s="152"/>
      <c r="K8" s="148"/>
      <c r="L8" s="148"/>
    </row>
    <row r="9" spans="1:12" ht="14.25" customHeight="1">
      <c r="A9" s="7" t="str">
        <f>HLOOKUP(INDICE!$F$2,Nombres!$C$3:$D$636,11,FALSE)</f>
        <v>Mexico</v>
      </c>
      <c r="B9" s="149">
        <v>30.993632341195447</v>
      </c>
      <c r="C9" s="149">
        <v>30.689809273440577</v>
      </c>
      <c r="D9" s="149">
        <v>30.581327707042355</v>
      </c>
      <c r="E9" s="150">
        <v>30.526108889441076</v>
      </c>
      <c r="F9" s="151">
        <v>30.845088976680685</v>
      </c>
      <c r="G9" s="151">
        <v>0</v>
      </c>
      <c r="H9" s="151">
        <v>0</v>
      </c>
      <c r="I9" s="151">
        <v>0</v>
      </c>
      <c r="J9" s="152"/>
      <c r="K9" s="148"/>
      <c r="L9" s="148"/>
    </row>
    <row r="10" spans="1:12" ht="14.25" customHeight="1">
      <c r="A10" s="137"/>
      <c r="B10" s="146"/>
      <c r="C10" s="146"/>
      <c r="D10" s="146"/>
      <c r="E10" s="147"/>
      <c r="F10" s="146"/>
      <c r="G10" s="146"/>
      <c r="H10" s="146"/>
      <c r="I10" s="146"/>
      <c r="J10" s="152"/>
      <c r="K10" s="148"/>
      <c r="L10" s="148"/>
    </row>
    <row r="11" spans="1:12" customFormat="1" ht="14.5">
      <c r="A11" s="7" t="str">
        <f>HLOOKUP(INDICE!$F$2,Nombres!$C$3:$D$636,12,FALSE)</f>
        <v xml:space="preserve">Turkey </v>
      </c>
      <c r="B11" s="149">
        <v>45.539375650330228</v>
      </c>
      <c r="C11" s="149">
        <v>44.824278958005301</v>
      </c>
      <c r="D11" s="149">
        <v>43.714687709830123</v>
      </c>
      <c r="E11" s="150">
        <v>44.413518394300176</v>
      </c>
      <c r="F11" s="151">
        <v>39.63478204657136</v>
      </c>
      <c r="G11" s="151">
        <v>0</v>
      </c>
      <c r="H11" s="151">
        <v>0</v>
      </c>
      <c r="I11" s="151">
        <v>0</v>
      </c>
      <c r="J11" s="145"/>
      <c r="K11" s="145"/>
    </row>
    <row r="12" spans="1:12" ht="14.25" customHeight="1">
      <c r="A12" s="137"/>
      <c r="B12" s="146"/>
      <c r="C12" s="146"/>
      <c r="D12" s="146"/>
      <c r="E12" s="147"/>
      <c r="F12" s="146"/>
      <c r="G12" s="146"/>
      <c r="H12" s="146"/>
      <c r="I12" s="146"/>
      <c r="J12" s="148"/>
      <c r="K12" s="148"/>
      <c r="L12" s="148"/>
    </row>
    <row r="13" spans="1:12" customFormat="1" ht="14.5">
      <c r="A13" s="7" t="str">
        <f>HLOOKUP(INDICE!$F$2,Nombres!$C$3:$D$636,13,FALSE)</f>
        <v>South America</v>
      </c>
      <c r="B13" s="149">
        <v>44.596082866283176</v>
      </c>
      <c r="C13" s="149">
        <v>44.305265800719837</v>
      </c>
      <c r="D13" s="149">
        <v>44.226266924739335</v>
      </c>
      <c r="E13" s="150">
        <v>44.361014024616566</v>
      </c>
      <c r="F13" s="151">
        <v>41.607431678912363</v>
      </c>
      <c r="G13" s="151">
        <v>0</v>
      </c>
      <c r="H13" s="151">
        <v>0</v>
      </c>
      <c r="I13" s="151">
        <v>0</v>
      </c>
      <c r="J13" s="145"/>
      <c r="K13" s="145"/>
    </row>
    <row r="14" spans="1:12">
      <c r="A14" s="137"/>
      <c r="B14" s="146"/>
      <c r="C14" s="146"/>
      <c r="D14" s="146"/>
      <c r="E14" s="147"/>
      <c r="F14" s="146"/>
      <c r="G14" s="146"/>
      <c r="H14" s="146"/>
      <c r="I14" s="146"/>
      <c r="J14" s="148"/>
      <c r="K14" s="148"/>
      <c r="L14" s="148"/>
    </row>
    <row r="15" spans="1:12">
      <c r="A15" s="7" t="str">
        <f>HLOOKUP(INDICE!$F$2,Nombres!$C$3:$D$636,263,FALSE)</f>
        <v>Rest of Business</v>
      </c>
      <c r="B15" s="149">
        <v>43.545560477448916</v>
      </c>
      <c r="C15" s="149">
        <v>45.780015276856034</v>
      </c>
      <c r="D15" s="149">
        <v>45.987312154350597</v>
      </c>
      <c r="E15" s="150">
        <v>49.023020076180693</v>
      </c>
      <c r="F15" s="151">
        <v>40.220801233190045</v>
      </c>
      <c r="G15" s="151">
        <v>0</v>
      </c>
      <c r="H15" s="151">
        <v>0</v>
      </c>
      <c r="I15" s="151">
        <v>0</v>
      </c>
    </row>
    <row r="16" spans="1:12">
      <c r="A16" s="137"/>
      <c r="B16" s="153"/>
      <c r="C16" s="153"/>
      <c r="D16" s="153"/>
      <c r="E16" s="153"/>
      <c r="F16" s="153"/>
      <c r="G16" s="153"/>
      <c r="H16" s="137"/>
      <c r="I16" s="154"/>
      <c r="J16" s="148"/>
      <c r="K16" s="148"/>
      <c r="L16" s="148"/>
    </row>
    <row r="17" spans="1:12">
      <c r="A17" s="20" t="str">
        <f>HLOOKUP(INDICE!$F$2,Nombres!$C$3:$D$636,83,FALSE)</f>
        <v>(*) Operating expenses / Gross income. Including depreciation</v>
      </c>
      <c r="B17" s="137"/>
      <c r="C17" s="137"/>
      <c r="D17" s="137"/>
      <c r="E17" s="137"/>
      <c r="F17" s="137"/>
      <c r="G17" s="137"/>
      <c r="H17" s="137"/>
      <c r="I17" s="154"/>
      <c r="J17" s="148"/>
      <c r="K17" s="148"/>
      <c r="L17" s="148"/>
    </row>
    <row r="18" spans="1:12">
      <c r="A18" s="155"/>
      <c r="B18" s="155"/>
      <c r="C18" s="155"/>
      <c r="D18" s="155"/>
      <c r="E18" s="155"/>
      <c r="F18" s="155"/>
      <c r="G18" s="155"/>
      <c r="H18" s="155"/>
      <c r="I18" s="156"/>
      <c r="J18" s="148"/>
      <c r="K18" s="148"/>
      <c r="L18" s="148"/>
    </row>
    <row r="19" spans="1:12">
      <c r="A19" s="20"/>
      <c r="B19" s="155"/>
      <c r="C19" s="155"/>
      <c r="D19" s="155"/>
      <c r="E19" s="155"/>
      <c r="F19" s="155"/>
      <c r="G19" s="155"/>
      <c r="H19" s="155"/>
      <c r="I19" s="155"/>
    </row>
    <row r="998" spans="1:1">
      <c r="A998" s="135" t="s">
        <v>555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L998"/>
  <sheetViews>
    <sheetView showGridLines="0" workbookViewId="0"/>
  </sheetViews>
  <sheetFormatPr baseColWidth="10" defaultColWidth="12.54296875" defaultRowHeight="12.5"/>
  <cols>
    <col min="1" max="1" width="40.7265625" style="135" customWidth="1"/>
    <col min="2" max="6" width="10" style="135" customWidth="1"/>
    <col min="7" max="9" width="10" style="135" hidden="1" customWidth="1"/>
    <col min="10" max="256" width="12.54296875" style="135"/>
    <col min="257" max="257" width="40.7265625" style="135" customWidth="1"/>
    <col min="258" max="265" width="12.7265625" style="135" customWidth="1"/>
    <col min="266" max="512" width="12.54296875" style="135"/>
    <col min="513" max="513" width="40.7265625" style="135" customWidth="1"/>
    <col min="514" max="521" width="12.7265625" style="135" customWidth="1"/>
    <col min="522" max="768" width="12.54296875" style="135"/>
    <col min="769" max="769" width="40.7265625" style="135" customWidth="1"/>
    <col min="770" max="777" width="12.7265625" style="135" customWidth="1"/>
    <col min="778" max="1024" width="12.54296875" style="135"/>
    <col min="1025" max="1025" width="40.7265625" style="135" customWidth="1"/>
    <col min="1026" max="1033" width="12.7265625" style="135" customWidth="1"/>
    <col min="1034" max="1280" width="12.54296875" style="135"/>
    <col min="1281" max="1281" width="40.7265625" style="135" customWidth="1"/>
    <col min="1282" max="1289" width="12.7265625" style="135" customWidth="1"/>
    <col min="1290" max="1536" width="12.54296875" style="135"/>
    <col min="1537" max="1537" width="40.7265625" style="135" customWidth="1"/>
    <col min="1538" max="1545" width="12.7265625" style="135" customWidth="1"/>
    <col min="1546" max="1792" width="12.54296875" style="135"/>
    <col min="1793" max="1793" width="40.7265625" style="135" customWidth="1"/>
    <col min="1794" max="1801" width="12.7265625" style="135" customWidth="1"/>
    <col min="1802" max="2048" width="12.54296875" style="135"/>
    <col min="2049" max="2049" width="40.7265625" style="135" customWidth="1"/>
    <col min="2050" max="2057" width="12.7265625" style="135" customWidth="1"/>
    <col min="2058" max="2304" width="12.54296875" style="135"/>
    <col min="2305" max="2305" width="40.7265625" style="135" customWidth="1"/>
    <col min="2306" max="2313" width="12.7265625" style="135" customWidth="1"/>
    <col min="2314" max="2560" width="12.54296875" style="135"/>
    <col min="2561" max="2561" width="40.7265625" style="135" customWidth="1"/>
    <col min="2562" max="2569" width="12.7265625" style="135" customWidth="1"/>
    <col min="2570" max="2816" width="12.54296875" style="135"/>
    <col min="2817" max="2817" width="40.7265625" style="135" customWidth="1"/>
    <col min="2818" max="2825" width="12.7265625" style="135" customWidth="1"/>
    <col min="2826" max="3072" width="12.54296875" style="135"/>
    <col min="3073" max="3073" width="40.7265625" style="135" customWidth="1"/>
    <col min="3074" max="3081" width="12.7265625" style="135" customWidth="1"/>
    <col min="3082" max="3328" width="12.54296875" style="135"/>
    <col min="3329" max="3329" width="40.7265625" style="135" customWidth="1"/>
    <col min="3330" max="3337" width="12.7265625" style="135" customWidth="1"/>
    <col min="3338" max="3584" width="12.54296875" style="135"/>
    <col min="3585" max="3585" width="40.7265625" style="135" customWidth="1"/>
    <col min="3586" max="3593" width="12.7265625" style="135" customWidth="1"/>
    <col min="3594" max="3840" width="12.54296875" style="135"/>
    <col min="3841" max="3841" width="40.7265625" style="135" customWidth="1"/>
    <col min="3842" max="3849" width="12.7265625" style="135" customWidth="1"/>
    <col min="3850" max="4096" width="12.54296875" style="135"/>
    <col min="4097" max="4097" width="40.7265625" style="135" customWidth="1"/>
    <col min="4098" max="4105" width="12.7265625" style="135" customWidth="1"/>
    <col min="4106" max="4352" width="12.54296875" style="135"/>
    <col min="4353" max="4353" width="40.7265625" style="135" customWidth="1"/>
    <col min="4354" max="4361" width="12.7265625" style="135" customWidth="1"/>
    <col min="4362" max="4608" width="12.54296875" style="135"/>
    <col min="4609" max="4609" width="40.7265625" style="135" customWidth="1"/>
    <col min="4610" max="4617" width="12.7265625" style="135" customWidth="1"/>
    <col min="4618" max="4864" width="12.54296875" style="135"/>
    <col min="4865" max="4865" width="40.7265625" style="135" customWidth="1"/>
    <col min="4866" max="4873" width="12.7265625" style="135" customWidth="1"/>
    <col min="4874" max="5120" width="12.54296875" style="135"/>
    <col min="5121" max="5121" width="40.7265625" style="135" customWidth="1"/>
    <col min="5122" max="5129" width="12.7265625" style="135" customWidth="1"/>
    <col min="5130" max="5376" width="12.54296875" style="135"/>
    <col min="5377" max="5377" width="40.7265625" style="135" customWidth="1"/>
    <col min="5378" max="5385" width="12.7265625" style="135" customWidth="1"/>
    <col min="5386" max="5632" width="12.54296875" style="135"/>
    <col min="5633" max="5633" width="40.7265625" style="135" customWidth="1"/>
    <col min="5634" max="5641" width="12.7265625" style="135" customWidth="1"/>
    <col min="5642" max="5888" width="12.54296875" style="135"/>
    <col min="5889" max="5889" width="40.7265625" style="135" customWidth="1"/>
    <col min="5890" max="5897" width="12.7265625" style="135" customWidth="1"/>
    <col min="5898" max="6144" width="12.54296875" style="135"/>
    <col min="6145" max="6145" width="40.7265625" style="135" customWidth="1"/>
    <col min="6146" max="6153" width="12.7265625" style="135" customWidth="1"/>
    <col min="6154" max="6400" width="12.54296875" style="135"/>
    <col min="6401" max="6401" width="40.7265625" style="135" customWidth="1"/>
    <col min="6402" max="6409" width="12.7265625" style="135" customWidth="1"/>
    <col min="6410" max="6656" width="12.54296875" style="135"/>
    <col min="6657" max="6657" width="40.7265625" style="135" customWidth="1"/>
    <col min="6658" max="6665" width="12.7265625" style="135" customWidth="1"/>
    <col min="6666" max="6912" width="12.54296875" style="135"/>
    <col min="6913" max="6913" width="40.7265625" style="135" customWidth="1"/>
    <col min="6914" max="6921" width="12.7265625" style="135" customWidth="1"/>
    <col min="6922" max="7168" width="12.54296875" style="135"/>
    <col min="7169" max="7169" width="40.7265625" style="135" customWidth="1"/>
    <col min="7170" max="7177" width="12.7265625" style="135" customWidth="1"/>
    <col min="7178" max="7424" width="12.54296875" style="135"/>
    <col min="7425" max="7425" width="40.7265625" style="135" customWidth="1"/>
    <col min="7426" max="7433" width="12.7265625" style="135" customWidth="1"/>
    <col min="7434" max="7680" width="12.54296875" style="135"/>
    <col min="7681" max="7681" width="40.7265625" style="135" customWidth="1"/>
    <col min="7682" max="7689" width="12.7265625" style="135" customWidth="1"/>
    <col min="7690" max="7936" width="12.54296875" style="135"/>
    <col min="7937" max="7937" width="40.7265625" style="135" customWidth="1"/>
    <col min="7938" max="7945" width="12.7265625" style="135" customWidth="1"/>
    <col min="7946" max="8192" width="12.54296875" style="135"/>
    <col min="8193" max="8193" width="40.7265625" style="135" customWidth="1"/>
    <col min="8194" max="8201" width="12.7265625" style="135" customWidth="1"/>
    <col min="8202" max="8448" width="12.54296875" style="135"/>
    <col min="8449" max="8449" width="40.7265625" style="135" customWidth="1"/>
    <col min="8450" max="8457" width="12.7265625" style="135" customWidth="1"/>
    <col min="8458" max="8704" width="12.54296875" style="135"/>
    <col min="8705" max="8705" width="40.7265625" style="135" customWidth="1"/>
    <col min="8706" max="8713" width="12.7265625" style="135" customWidth="1"/>
    <col min="8714" max="8960" width="12.54296875" style="135"/>
    <col min="8961" max="8961" width="40.7265625" style="135" customWidth="1"/>
    <col min="8962" max="8969" width="12.7265625" style="135" customWidth="1"/>
    <col min="8970" max="9216" width="12.54296875" style="135"/>
    <col min="9217" max="9217" width="40.7265625" style="135" customWidth="1"/>
    <col min="9218" max="9225" width="12.7265625" style="135" customWidth="1"/>
    <col min="9226" max="9472" width="12.54296875" style="135"/>
    <col min="9473" max="9473" width="40.7265625" style="135" customWidth="1"/>
    <col min="9474" max="9481" width="12.7265625" style="135" customWidth="1"/>
    <col min="9482" max="9728" width="12.54296875" style="135"/>
    <col min="9729" max="9729" width="40.7265625" style="135" customWidth="1"/>
    <col min="9730" max="9737" width="12.7265625" style="135" customWidth="1"/>
    <col min="9738" max="9984" width="12.54296875" style="135"/>
    <col min="9985" max="9985" width="40.7265625" style="135" customWidth="1"/>
    <col min="9986" max="9993" width="12.7265625" style="135" customWidth="1"/>
    <col min="9994" max="10240" width="12.54296875" style="135"/>
    <col min="10241" max="10241" width="40.7265625" style="135" customWidth="1"/>
    <col min="10242" max="10249" width="12.7265625" style="135" customWidth="1"/>
    <col min="10250" max="10496" width="12.54296875" style="135"/>
    <col min="10497" max="10497" width="40.7265625" style="135" customWidth="1"/>
    <col min="10498" max="10505" width="12.7265625" style="135" customWidth="1"/>
    <col min="10506" max="10752" width="12.54296875" style="135"/>
    <col min="10753" max="10753" width="40.7265625" style="135" customWidth="1"/>
    <col min="10754" max="10761" width="12.7265625" style="135" customWidth="1"/>
    <col min="10762" max="11008" width="12.54296875" style="135"/>
    <col min="11009" max="11009" width="40.7265625" style="135" customWidth="1"/>
    <col min="11010" max="11017" width="12.7265625" style="135" customWidth="1"/>
    <col min="11018" max="11264" width="12.54296875" style="135"/>
    <col min="11265" max="11265" width="40.7265625" style="135" customWidth="1"/>
    <col min="11266" max="11273" width="12.7265625" style="135" customWidth="1"/>
    <col min="11274" max="11520" width="12.54296875" style="135"/>
    <col min="11521" max="11521" width="40.7265625" style="135" customWidth="1"/>
    <col min="11522" max="11529" width="12.7265625" style="135" customWidth="1"/>
    <col min="11530" max="11776" width="12.54296875" style="135"/>
    <col min="11777" max="11777" width="40.7265625" style="135" customWidth="1"/>
    <col min="11778" max="11785" width="12.7265625" style="135" customWidth="1"/>
    <col min="11786" max="12032" width="12.54296875" style="135"/>
    <col min="12033" max="12033" width="40.7265625" style="135" customWidth="1"/>
    <col min="12034" max="12041" width="12.7265625" style="135" customWidth="1"/>
    <col min="12042" max="12288" width="12.54296875" style="135"/>
    <col min="12289" max="12289" width="40.7265625" style="135" customWidth="1"/>
    <col min="12290" max="12297" width="12.7265625" style="135" customWidth="1"/>
    <col min="12298" max="12544" width="12.54296875" style="135"/>
    <col min="12545" max="12545" width="40.7265625" style="135" customWidth="1"/>
    <col min="12546" max="12553" width="12.7265625" style="135" customWidth="1"/>
    <col min="12554" max="12800" width="12.54296875" style="135"/>
    <col min="12801" max="12801" width="40.7265625" style="135" customWidth="1"/>
    <col min="12802" max="12809" width="12.7265625" style="135" customWidth="1"/>
    <col min="12810" max="13056" width="12.54296875" style="135"/>
    <col min="13057" max="13057" width="40.7265625" style="135" customWidth="1"/>
    <col min="13058" max="13065" width="12.7265625" style="135" customWidth="1"/>
    <col min="13066" max="13312" width="12.54296875" style="135"/>
    <col min="13313" max="13313" width="40.7265625" style="135" customWidth="1"/>
    <col min="13314" max="13321" width="12.7265625" style="135" customWidth="1"/>
    <col min="13322" max="13568" width="12.54296875" style="135"/>
    <col min="13569" max="13569" width="40.7265625" style="135" customWidth="1"/>
    <col min="13570" max="13577" width="12.7265625" style="135" customWidth="1"/>
    <col min="13578" max="13824" width="12.54296875" style="135"/>
    <col min="13825" max="13825" width="40.7265625" style="135" customWidth="1"/>
    <col min="13826" max="13833" width="12.7265625" style="135" customWidth="1"/>
    <col min="13834" max="14080" width="12.54296875" style="135"/>
    <col min="14081" max="14081" width="40.7265625" style="135" customWidth="1"/>
    <col min="14082" max="14089" width="12.7265625" style="135" customWidth="1"/>
    <col min="14090" max="14336" width="12.54296875" style="135"/>
    <col min="14337" max="14337" width="40.7265625" style="135" customWidth="1"/>
    <col min="14338" max="14345" width="12.7265625" style="135" customWidth="1"/>
    <col min="14346" max="14592" width="12.54296875" style="135"/>
    <col min="14593" max="14593" width="40.7265625" style="135" customWidth="1"/>
    <col min="14594" max="14601" width="12.7265625" style="135" customWidth="1"/>
    <col min="14602" max="14848" width="12.54296875" style="135"/>
    <col min="14849" max="14849" width="40.7265625" style="135" customWidth="1"/>
    <col min="14850" max="14857" width="12.7265625" style="135" customWidth="1"/>
    <col min="14858" max="15104" width="12.54296875" style="135"/>
    <col min="15105" max="15105" width="40.7265625" style="135" customWidth="1"/>
    <col min="15106" max="15113" width="12.7265625" style="135" customWidth="1"/>
    <col min="15114" max="15360" width="12.54296875" style="135"/>
    <col min="15361" max="15361" width="40.7265625" style="135" customWidth="1"/>
    <col min="15362" max="15369" width="12.7265625" style="135" customWidth="1"/>
    <col min="15370" max="15616" width="12.54296875" style="135"/>
    <col min="15617" max="15617" width="40.7265625" style="135" customWidth="1"/>
    <col min="15618" max="15625" width="12.7265625" style="135" customWidth="1"/>
    <col min="15626" max="15872" width="12.54296875" style="135"/>
    <col min="15873" max="15873" width="40.7265625" style="135" customWidth="1"/>
    <col min="15874" max="15881" width="12.7265625" style="135" customWidth="1"/>
    <col min="15882" max="16128" width="12.54296875" style="135"/>
    <col min="16129" max="16129" width="40.7265625" style="135" customWidth="1"/>
    <col min="16130" max="16137" width="12.7265625" style="135" customWidth="1"/>
    <col min="16138" max="16384" width="12.54296875" style="135"/>
  </cols>
  <sheetData>
    <row r="1" spans="1:12" ht="17">
      <c r="A1" s="133" t="str">
        <f>HLOOKUP(INDICE!$F$2,Nombres!$C$3:$D$636,322,FALSE)</f>
        <v>RORWA</v>
      </c>
      <c r="B1" s="134"/>
      <c r="C1" s="134"/>
      <c r="D1" s="134"/>
      <c r="E1" s="134"/>
      <c r="F1" s="134"/>
      <c r="G1" s="134"/>
      <c r="H1" s="134"/>
      <c r="I1" s="134"/>
    </row>
    <row r="2" spans="1:12">
      <c r="A2" s="136" t="str">
        <f>HLOOKUP(INDICE!$F$2,Nombres!$C$3:$D$636,84,FALSE)</f>
        <v>(Percentage)</v>
      </c>
      <c r="B2" s="137"/>
      <c r="C2" s="137"/>
      <c r="D2" s="137"/>
      <c r="E2" s="137"/>
      <c r="F2" s="137"/>
      <c r="G2" s="137"/>
      <c r="H2" s="137"/>
      <c r="I2" s="137"/>
    </row>
    <row r="3" spans="1:12" ht="13.5">
      <c r="A3" s="138"/>
      <c r="B3" s="139">
        <f>+España!B32</f>
        <v>45747</v>
      </c>
      <c r="C3" s="139">
        <f>+España!C32</f>
        <v>45838</v>
      </c>
      <c r="D3" s="139">
        <f>+España!D32</f>
        <v>45930</v>
      </c>
      <c r="E3" s="139">
        <f>+España!E32</f>
        <v>46022</v>
      </c>
      <c r="F3" s="139">
        <f>+España!F32</f>
        <v>46112</v>
      </c>
      <c r="G3" s="139">
        <f>+España!G32</f>
        <v>46203</v>
      </c>
      <c r="H3" s="139">
        <f>+España!H32</f>
        <v>46295</v>
      </c>
      <c r="I3" s="139">
        <f>+España!I32</f>
        <v>46387</v>
      </c>
    </row>
    <row r="4" spans="1:12">
      <c r="A4" s="137"/>
      <c r="B4" s="140"/>
      <c r="C4" s="140"/>
      <c r="D4" s="140"/>
      <c r="E4" s="141"/>
      <c r="F4" s="140"/>
      <c r="G4" s="140"/>
      <c r="H4" s="137"/>
      <c r="I4" s="137"/>
    </row>
    <row r="5" spans="1:12" customFormat="1" ht="14.5">
      <c r="A5" s="18" t="str">
        <f>HLOOKUP(INDICE!$F$2,Nombres!$C$3:$D$636,276,FALSE)</f>
        <v>BBVA Group  (**)</v>
      </c>
      <c r="B5" s="142">
        <v>2.9024135277848857</v>
      </c>
      <c r="C5" s="142">
        <v>2.9212317453520456</v>
      </c>
      <c r="D5" s="142">
        <v>2.8372276956120039</v>
      </c>
      <c r="E5" s="143">
        <v>2.7990826955328396</v>
      </c>
      <c r="F5" s="144">
        <v>3.1822274071396905</v>
      </c>
      <c r="G5" s="144">
        <v>0</v>
      </c>
      <c r="H5" s="144">
        <v>0</v>
      </c>
      <c r="I5" s="144">
        <v>0</v>
      </c>
      <c r="J5" s="145"/>
      <c r="K5" s="145"/>
    </row>
    <row r="6" spans="1:12">
      <c r="A6" s="137"/>
      <c r="B6" s="146"/>
      <c r="C6" s="146"/>
      <c r="D6" s="146"/>
      <c r="E6" s="147"/>
      <c r="F6" s="146"/>
      <c r="G6" s="146"/>
      <c r="H6" s="146"/>
      <c r="I6" s="146"/>
      <c r="J6" s="148"/>
      <c r="K6" s="148"/>
      <c r="L6" s="148"/>
    </row>
    <row r="7" spans="1:12" customFormat="1" ht="14.5">
      <c r="A7" s="7" t="str">
        <f>HLOOKUP(INDICE!$F$2,Nombres!$C$3:$D$636,7,FALSE)</f>
        <v>Spain</v>
      </c>
      <c r="B7" s="149">
        <v>3.3858937504566611</v>
      </c>
      <c r="C7" s="149">
        <v>3.522325582698747</v>
      </c>
      <c r="D7" s="149">
        <v>3.4201248564497444</v>
      </c>
      <c r="E7" s="150">
        <v>3.4185139493462979</v>
      </c>
      <c r="F7" s="151">
        <v>3.698142223187272</v>
      </c>
      <c r="G7" s="151">
        <v>0</v>
      </c>
      <c r="H7" s="151">
        <v>0</v>
      </c>
      <c r="I7" s="151">
        <v>0</v>
      </c>
      <c r="J7" s="145"/>
      <c r="K7" s="145"/>
    </row>
    <row r="8" spans="1:12" ht="14.25" customHeight="1">
      <c r="A8" s="137"/>
      <c r="B8" s="146"/>
      <c r="C8" s="146"/>
      <c r="D8" s="146"/>
      <c r="E8" s="147"/>
      <c r="F8" s="146"/>
      <c r="G8" s="146"/>
      <c r="H8" s="146"/>
      <c r="I8" s="146"/>
      <c r="J8" s="152"/>
      <c r="K8" s="148"/>
      <c r="L8" s="148"/>
    </row>
    <row r="9" spans="1:12" ht="14.25" customHeight="1">
      <c r="A9" s="7" t="str">
        <f>HLOOKUP(INDICE!$F$2,Nombres!$C$3:$D$636,11,FALSE)</f>
        <v>Mexico</v>
      </c>
      <c r="B9" s="149">
        <v>6.0391389542505616</v>
      </c>
      <c r="C9" s="149">
        <v>5.9011142254270448</v>
      </c>
      <c r="D9" s="149">
        <v>5.8343252534153969</v>
      </c>
      <c r="E9" s="150">
        <v>6.0304001887349461</v>
      </c>
      <c r="F9" s="151">
        <v>6.9482100845291335</v>
      </c>
      <c r="G9" s="151">
        <v>0</v>
      </c>
      <c r="H9" s="151">
        <v>0</v>
      </c>
      <c r="I9" s="151">
        <v>0</v>
      </c>
      <c r="J9" s="152"/>
      <c r="K9" s="148"/>
      <c r="L9" s="148"/>
    </row>
    <row r="10" spans="1:12" ht="14.25" customHeight="1">
      <c r="A10" s="137"/>
      <c r="B10" s="146"/>
      <c r="C10" s="146"/>
      <c r="D10" s="146"/>
      <c r="E10" s="147"/>
      <c r="F10" s="146"/>
      <c r="G10" s="146"/>
      <c r="H10" s="146"/>
      <c r="I10" s="146"/>
      <c r="J10" s="152"/>
      <c r="K10" s="148"/>
      <c r="L10" s="148"/>
    </row>
    <row r="11" spans="1:12" customFormat="1" ht="14.5">
      <c r="A11" s="7" t="str">
        <f>HLOOKUP(INDICE!$F$2,Nombres!$C$3:$D$636,12,FALSE)</f>
        <v xml:space="preserve">Turkey </v>
      </c>
      <c r="B11" s="149">
        <v>1.1138629201946071</v>
      </c>
      <c r="C11" s="149">
        <v>1.4363506555738823</v>
      </c>
      <c r="D11" s="149">
        <v>1.4871301934742425</v>
      </c>
      <c r="E11" s="150">
        <v>1.3637454543626732</v>
      </c>
      <c r="F11" s="151">
        <v>1.6942601859382356</v>
      </c>
      <c r="G11" s="151">
        <v>0</v>
      </c>
      <c r="H11" s="151">
        <v>0</v>
      </c>
      <c r="I11" s="151">
        <v>0</v>
      </c>
      <c r="J11" s="145"/>
      <c r="K11" s="145"/>
    </row>
    <row r="12" spans="1:12" ht="14.25" customHeight="1">
      <c r="A12" s="137"/>
      <c r="B12" s="146"/>
      <c r="C12" s="146"/>
      <c r="D12" s="146"/>
      <c r="E12" s="147"/>
      <c r="F12" s="146"/>
      <c r="G12" s="146"/>
      <c r="H12" s="146"/>
      <c r="I12" s="146"/>
      <c r="J12" s="148"/>
      <c r="K12" s="148"/>
      <c r="L12" s="148"/>
    </row>
    <row r="13" spans="1:12" customFormat="1" ht="14.5">
      <c r="A13" s="7" t="str">
        <f>HLOOKUP(INDICE!$F$2,Nombres!$C$3:$D$636,13,FALSE)</f>
        <v>South America</v>
      </c>
      <c r="B13" s="149">
        <v>2.5415554031998204</v>
      </c>
      <c r="C13" s="149">
        <v>2.4474788578789712</v>
      </c>
      <c r="D13" s="149">
        <v>2.250919184853398</v>
      </c>
      <c r="E13" s="150">
        <v>2.1035603165123953</v>
      </c>
      <c r="F13" s="151">
        <v>2.7342448319724308</v>
      </c>
      <c r="G13" s="151">
        <v>0</v>
      </c>
      <c r="H13" s="151">
        <v>0</v>
      </c>
      <c r="I13" s="151">
        <v>0</v>
      </c>
      <c r="J13" s="145"/>
      <c r="K13" s="145"/>
    </row>
    <row r="14" spans="1:12">
      <c r="A14" s="137"/>
      <c r="B14" s="146"/>
      <c r="C14" s="146"/>
      <c r="D14" s="146"/>
      <c r="E14" s="147"/>
      <c r="F14" s="146"/>
      <c r="G14" s="146"/>
      <c r="H14" s="146"/>
      <c r="I14" s="146"/>
      <c r="J14" s="148"/>
      <c r="K14" s="148"/>
      <c r="L14" s="148"/>
    </row>
    <row r="15" spans="1:12">
      <c r="A15" s="7" t="str">
        <f>HLOOKUP(INDICE!$F$2,Nombres!$C$3:$D$636,263,FALSE)</f>
        <v>Rest of Business</v>
      </c>
      <c r="B15" s="149">
        <v>1.9040778624864951</v>
      </c>
      <c r="C15" s="149">
        <v>1.7279957550271325</v>
      </c>
      <c r="D15" s="149">
        <v>1.7680364884584896</v>
      </c>
      <c r="E15" s="150">
        <v>1.6774928658330277</v>
      </c>
      <c r="F15" s="151">
        <v>2.0123181122938414</v>
      </c>
      <c r="G15" s="151">
        <v>0</v>
      </c>
      <c r="H15" s="151">
        <v>0</v>
      </c>
      <c r="I15" s="151">
        <v>0</v>
      </c>
    </row>
    <row r="16" spans="1:12">
      <c r="A16" s="137"/>
      <c r="B16" s="153"/>
      <c r="C16" s="153"/>
      <c r="D16" s="153"/>
      <c r="E16" s="153"/>
      <c r="F16" s="153"/>
      <c r="G16" s="153"/>
      <c r="H16" s="137"/>
      <c r="I16" s="154"/>
      <c r="J16" s="148"/>
      <c r="K16" s="148"/>
      <c r="L16" s="148"/>
    </row>
    <row r="17" spans="1:12">
      <c r="A17" s="20" t="s">
        <v>551</v>
      </c>
      <c r="B17" s="137"/>
      <c r="C17" s="137"/>
      <c r="D17" s="137"/>
      <c r="E17" s="137"/>
      <c r="F17" s="137"/>
      <c r="G17" s="137"/>
      <c r="H17" s="137"/>
      <c r="I17" s="154"/>
      <c r="J17" s="148"/>
      <c r="K17" s="148"/>
      <c r="L17" s="148"/>
    </row>
    <row r="18" spans="1:12">
      <c r="A18" s="20" t="s">
        <v>553</v>
      </c>
      <c r="B18" s="155"/>
      <c r="C18" s="155"/>
      <c r="D18" s="155"/>
      <c r="E18" s="155"/>
      <c r="F18" s="155"/>
      <c r="G18" s="155"/>
      <c r="H18" s="155"/>
      <c r="I18" s="156"/>
      <c r="J18" s="148"/>
      <c r="K18" s="148"/>
      <c r="L18" s="148"/>
    </row>
    <row r="19" spans="1:12">
      <c r="A19" s="20"/>
      <c r="B19" s="155"/>
      <c r="C19" s="155"/>
      <c r="D19" s="155"/>
      <c r="E19" s="155"/>
      <c r="F19" s="155"/>
      <c r="G19" s="155"/>
      <c r="H19" s="155"/>
      <c r="I19" s="155"/>
    </row>
    <row r="998" spans="1:1">
      <c r="A998" s="135" t="s">
        <v>555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K994"/>
  <sheetViews>
    <sheetView showGridLines="0" workbookViewId="0"/>
  </sheetViews>
  <sheetFormatPr baseColWidth="10" defaultColWidth="12.54296875" defaultRowHeight="12.5"/>
  <cols>
    <col min="1" max="1" width="45.7265625" style="202" customWidth="1"/>
    <col min="2" max="6" width="10.81640625" style="135" customWidth="1" collapsed="1"/>
    <col min="7" max="7" width="10.81640625" style="135" hidden="1" customWidth="1"/>
    <col min="8" max="9" width="10.81640625" style="158" hidden="1" customWidth="1"/>
    <col min="10" max="11" width="9.54296875" style="158" customWidth="1"/>
    <col min="12" max="256" width="12.54296875" style="158"/>
    <col min="257" max="257" width="45.7265625" style="158" customWidth="1"/>
    <col min="258" max="265" width="12.7265625" style="158" customWidth="1"/>
    <col min="266" max="267" width="9.54296875" style="158" customWidth="1"/>
    <col min="268" max="512" width="12.54296875" style="158"/>
    <col min="513" max="513" width="45.7265625" style="158" customWidth="1"/>
    <col min="514" max="521" width="12.7265625" style="158" customWidth="1"/>
    <col min="522" max="523" width="9.54296875" style="158" customWidth="1"/>
    <col min="524" max="768" width="12.54296875" style="158"/>
    <col min="769" max="769" width="45.7265625" style="158" customWidth="1"/>
    <col min="770" max="777" width="12.7265625" style="158" customWidth="1"/>
    <col min="778" max="779" width="9.54296875" style="158" customWidth="1"/>
    <col min="780" max="1024" width="12.54296875" style="158"/>
    <col min="1025" max="1025" width="45.7265625" style="158" customWidth="1"/>
    <col min="1026" max="1033" width="12.7265625" style="158" customWidth="1"/>
    <col min="1034" max="1035" width="9.54296875" style="158" customWidth="1"/>
    <col min="1036" max="1280" width="12.54296875" style="158"/>
    <col min="1281" max="1281" width="45.7265625" style="158" customWidth="1"/>
    <col min="1282" max="1289" width="12.7265625" style="158" customWidth="1"/>
    <col min="1290" max="1291" width="9.54296875" style="158" customWidth="1"/>
    <col min="1292" max="1536" width="12.54296875" style="158"/>
    <col min="1537" max="1537" width="45.7265625" style="158" customWidth="1"/>
    <col min="1538" max="1545" width="12.7265625" style="158" customWidth="1"/>
    <col min="1546" max="1547" width="9.54296875" style="158" customWidth="1"/>
    <col min="1548" max="1792" width="12.54296875" style="158"/>
    <col min="1793" max="1793" width="45.7265625" style="158" customWidth="1"/>
    <col min="1794" max="1801" width="12.7265625" style="158" customWidth="1"/>
    <col min="1802" max="1803" width="9.54296875" style="158" customWidth="1"/>
    <col min="1804" max="2048" width="12.54296875" style="158"/>
    <col min="2049" max="2049" width="45.7265625" style="158" customWidth="1"/>
    <col min="2050" max="2057" width="12.7265625" style="158" customWidth="1"/>
    <col min="2058" max="2059" width="9.54296875" style="158" customWidth="1"/>
    <col min="2060" max="2304" width="12.54296875" style="158"/>
    <col min="2305" max="2305" width="45.7265625" style="158" customWidth="1"/>
    <col min="2306" max="2313" width="12.7265625" style="158" customWidth="1"/>
    <col min="2314" max="2315" width="9.54296875" style="158" customWidth="1"/>
    <col min="2316" max="2560" width="12.54296875" style="158"/>
    <col min="2561" max="2561" width="45.7265625" style="158" customWidth="1"/>
    <col min="2562" max="2569" width="12.7265625" style="158" customWidth="1"/>
    <col min="2570" max="2571" width="9.54296875" style="158" customWidth="1"/>
    <col min="2572" max="2816" width="12.54296875" style="158"/>
    <col min="2817" max="2817" width="45.7265625" style="158" customWidth="1"/>
    <col min="2818" max="2825" width="12.7265625" style="158" customWidth="1"/>
    <col min="2826" max="2827" width="9.54296875" style="158" customWidth="1"/>
    <col min="2828" max="3072" width="12.54296875" style="158"/>
    <col min="3073" max="3073" width="45.7265625" style="158" customWidth="1"/>
    <col min="3074" max="3081" width="12.7265625" style="158" customWidth="1"/>
    <col min="3082" max="3083" width="9.54296875" style="158" customWidth="1"/>
    <col min="3084" max="3328" width="12.54296875" style="158"/>
    <col min="3329" max="3329" width="45.7265625" style="158" customWidth="1"/>
    <col min="3330" max="3337" width="12.7265625" style="158" customWidth="1"/>
    <col min="3338" max="3339" width="9.54296875" style="158" customWidth="1"/>
    <col min="3340" max="3584" width="12.54296875" style="158"/>
    <col min="3585" max="3585" width="45.7265625" style="158" customWidth="1"/>
    <col min="3586" max="3593" width="12.7265625" style="158" customWidth="1"/>
    <col min="3594" max="3595" width="9.54296875" style="158" customWidth="1"/>
    <col min="3596" max="3840" width="12.54296875" style="158"/>
    <col min="3841" max="3841" width="45.7265625" style="158" customWidth="1"/>
    <col min="3842" max="3849" width="12.7265625" style="158" customWidth="1"/>
    <col min="3850" max="3851" width="9.54296875" style="158" customWidth="1"/>
    <col min="3852" max="4096" width="12.54296875" style="158"/>
    <col min="4097" max="4097" width="45.7265625" style="158" customWidth="1"/>
    <col min="4098" max="4105" width="12.7265625" style="158" customWidth="1"/>
    <col min="4106" max="4107" width="9.54296875" style="158" customWidth="1"/>
    <col min="4108" max="4352" width="12.54296875" style="158"/>
    <col min="4353" max="4353" width="45.7265625" style="158" customWidth="1"/>
    <col min="4354" max="4361" width="12.7265625" style="158" customWidth="1"/>
    <col min="4362" max="4363" width="9.54296875" style="158" customWidth="1"/>
    <col min="4364" max="4608" width="12.54296875" style="158"/>
    <col min="4609" max="4609" width="45.7265625" style="158" customWidth="1"/>
    <col min="4610" max="4617" width="12.7265625" style="158" customWidth="1"/>
    <col min="4618" max="4619" width="9.54296875" style="158" customWidth="1"/>
    <col min="4620" max="4864" width="12.54296875" style="158"/>
    <col min="4865" max="4865" width="45.7265625" style="158" customWidth="1"/>
    <col min="4866" max="4873" width="12.7265625" style="158" customWidth="1"/>
    <col min="4874" max="4875" width="9.54296875" style="158" customWidth="1"/>
    <col min="4876" max="5120" width="12.54296875" style="158"/>
    <col min="5121" max="5121" width="45.7265625" style="158" customWidth="1"/>
    <col min="5122" max="5129" width="12.7265625" style="158" customWidth="1"/>
    <col min="5130" max="5131" width="9.54296875" style="158" customWidth="1"/>
    <col min="5132" max="5376" width="12.54296875" style="158"/>
    <col min="5377" max="5377" width="45.7265625" style="158" customWidth="1"/>
    <col min="5378" max="5385" width="12.7265625" style="158" customWidth="1"/>
    <col min="5386" max="5387" width="9.54296875" style="158" customWidth="1"/>
    <col min="5388" max="5632" width="12.54296875" style="158"/>
    <col min="5633" max="5633" width="45.7265625" style="158" customWidth="1"/>
    <col min="5634" max="5641" width="12.7265625" style="158" customWidth="1"/>
    <col min="5642" max="5643" width="9.54296875" style="158" customWidth="1"/>
    <col min="5644" max="5888" width="12.54296875" style="158"/>
    <col min="5889" max="5889" width="45.7265625" style="158" customWidth="1"/>
    <col min="5890" max="5897" width="12.7265625" style="158" customWidth="1"/>
    <col min="5898" max="5899" width="9.54296875" style="158" customWidth="1"/>
    <col min="5900" max="6144" width="12.54296875" style="158"/>
    <col min="6145" max="6145" width="45.7265625" style="158" customWidth="1"/>
    <col min="6146" max="6153" width="12.7265625" style="158" customWidth="1"/>
    <col min="6154" max="6155" width="9.54296875" style="158" customWidth="1"/>
    <col min="6156" max="6400" width="12.54296875" style="158"/>
    <col min="6401" max="6401" width="45.7265625" style="158" customWidth="1"/>
    <col min="6402" max="6409" width="12.7265625" style="158" customWidth="1"/>
    <col min="6410" max="6411" width="9.54296875" style="158" customWidth="1"/>
    <col min="6412" max="6656" width="12.54296875" style="158"/>
    <col min="6657" max="6657" width="45.7265625" style="158" customWidth="1"/>
    <col min="6658" max="6665" width="12.7265625" style="158" customWidth="1"/>
    <col min="6666" max="6667" width="9.54296875" style="158" customWidth="1"/>
    <col min="6668" max="6912" width="12.54296875" style="158"/>
    <col min="6913" max="6913" width="45.7265625" style="158" customWidth="1"/>
    <col min="6914" max="6921" width="12.7265625" style="158" customWidth="1"/>
    <col min="6922" max="6923" width="9.54296875" style="158" customWidth="1"/>
    <col min="6924" max="7168" width="12.54296875" style="158"/>
    <col min="7169" max="7169" width="45.7265625" style="158" customWidth="1"/>
    <col min="7170" max="7177" width="12.7265625" style="158" customWidth="1"/>
    <col min="7178" max="7179" width="9.54296875" style="158" customWidth="1"/>
    <col min="7180" max="7424" width="12.54296875" style="158"/>
    <col min="7425" max="7425" width="45.7265625" style="158" customWidth="1"/>
    <col min="7426" max="7433" width="12.7265625" style="158" customWidth="1"/>
    <col min="7434" max="7435" width="9.54296875" style="158" customWidth="1"/>
    <col min="7436" max="7680" width="12.54296875" style="158"/>
    <col min="7681" max="7681" width="45.7265625" style="158" customWidth="1"/>
    <col min="7682" max="7689" width="12.7265625" style="158" customWidth="1"/>
    <col min="7690" max="7691" width="9.54296875" style="158" customWidth="1"/>
    <col min="7692" max="7936" width="12.54296875" style="158"/>
    <col min="7937" max="7937" width="45.7265625" style="158" customWidth="1"/>
    <col min="7938" max="7945" width="12.7265625" style="158" customWidth="1"/>
    <col min="7946" max="7947" width="9.54296875" style="158" customWidth="1"/>
    <col min="7948" max="8192" width="12.54296875" style="158"/>
    <col min="8193" max="8193" width="45.7265625" style="158" customWidth="1"/>
    <col min="8194" max="8201" width="12.7265625" style="158" customWidth="1"/>
    <col min="8202" max="8203" width="9.54296875" style="158" customWidth="1"/>
    <col min="8204" max="8448" width="12.54296875" style="158"/>
    <col min="8449" max="8449" width="45.7265625" style="158" customWidth="1"/>
    <col min="8450" max="8457" width="12.7265625" style="158" customWidth="1"/>
    <col min="8458" max="8459" width="9.54296875" style="158" customWidth="1"/>
    <col min="8460" max="8704" width="12.54296875" style="158"/>
    <col min="8705" max="8705" width="45.7265625" style="158" customWidth="1"/>
    <col min="8706" max="8713" width="12.7265625" style="158" customWidth="1"/>
    <col min="8714" max="8715" width="9.54296875" style="158" customWidth="1"/>
    <col min="8716" max="8960" width="12.54296875" style="158"/>
    <col min="8961" max="8961" width="45.7265625" style="158" customWidth="1"/>
    <col min="8962" max="8969" width="12.7265625" style="158" customWidth="1"/>
    <col min="8970" max="8971" width="9.54296875" style="158" customWidth="1"/>
    <col min="8972" max="9216" width="12.54296875" style="158"/>
    <col min="9217" max="9217" width="45.7265625" style="158" customWidth="1"/>
    <col min="9218" max="9225" width="12.7265625" style="158" customWidth="1"/>
    <col min="9226" max="9227" width="9.54296875" style="158" customWidth="1"/>
    <col min="9228" max="9472" width="12.54296875" style="158"/>
    <col min="9473" max="9473" width="45.7265625" style="158" customWidth="1"/>
    <col min="9474" max="9481" width="12.7265625" style="158" customWidth="1"/>
    <col min="9482" max="9483" width="9.54296875" style="158" customWidth="1"/>
    <col min="9484" max="9728" width="12.54296875" style="158"/>
    <col min="9729" max="9729" width="45.7265625" style="158" customWidth="1"/>
    <col min="9730" max="9737" width="12.7265625" style="158" customWidth="1"/>
    <col min="9738" max="9739" width="9.54296875" style="158" customWidth="1"/>
    <col min="9740" max="9984" width="12.54296875" style="158"/>
    <col min="9985" max="9985" width="45.7265625" style="158" customWidth="1"/>
    <col min="9986" max="9993" width="12.7265625" style="158" customWidth="1"/>
    <col min="9994" max="9995" width="9.54296875" style="158" customWidth="1"/>
    <col min="9996" max="10240" width="12.54296875" style="158"/>
    <col min="10241" max="10241" width="45.7265625" style="158" customWidth="1"/>
    <col min="10242" max="10249" width="12.7265625" style="158" customWidth="1"/>
    <col min="10250" max="10251" width="9.54296875" style="158" customWidth="1"/>
    <col min="10252" max="10496" width="12.54296875" style="158"/>
    <col min="10497" max="10497" width="45.7265625" style="158" customWidth="1"/>
    <col min="10498" max="10505" width="12.7265625" style="158" customWidth="1"/>
    <col min="10506" max="10507" width="9.54296875" style="158" customWidth="1"/>
    <col min="10508" max="10752" width="12.54296875" style="158"/>
    <col min="10753" max="10753" width="45.7265625" style="158" customWidth="1"/>
    <col min="10754" max="10761" width="12.7265625" style="158" customWidth="1"/>
    <col min="10762" max="10763" width="9.54296875" style="158" customWidth="1"/>
    <col min="10764" max="11008" width="12.54296875" style="158"/>
    <col min="11009" max="11009" width="45.7265625" style="158" customWidth="1"/>
    <col min="11010" max="11017" width="12.7265625" style="158" customWidth="1"/>
    <col min="11018" max="11019" width="9.54296875" style="158" customWidth="1"/>
    <col min="11020" max="11264" width="12.54296875" style="158"/>
    <col min="11265" max="11265" width="45.7265625" style="158" customWidth="1"/>
    <col min="11266" max="11273" width="12.7265625" style="158" customWidth="1"/>
    <col min="11274" max="11275" width="9.54296875" style="158" customWidth="1"/>
    <col min="11276" max="11520" width="12.54296875" style="158"/>
    <col min="11521" max="11521" width="45.7265625" style="158" customWidth="1"/>
    <col min="11522" max="11529" width="12.7265625" style="158" customWidth="1"/>
    <col min="11530" max="11531" width="9.54296875" style="158" customWidth="1"/>
    <col min="11532" max="11776" width="12.54296875" style="158"/>
    <col min="11777" max="11777" width="45.7265625" style="158" customWidth="1"/>
    <col min="11778" max="11785" width="12.7265625" style="158" customWidth="1"/>
    <col min="11786" max="11787" width="9.54296875" style="158" customWidth="1"/>
    <col min="11788" max="12032" width="12.54296875" style="158"/>
    <col min="12033" max="12033" width="45.7265625" style="158" customWidth="1"/>
    <col min="12034" max="12041" width="12.7265625" style="158" customWidth="1"/>
    <col min="12042" max="12043" width="9.54296875" style="158" customWidth="1"/>
    <col min="12044" max="12288" width="12.54296875" style="158"/>
    <col min="12289" max="12289" width="45.7265625" style="158" customWidth="1"/>
    <col min="12290" max="12297" width="12.7265625" style="158" customWidth="1"/>
    <col min="12298" max="12299" width="9.54296875" style="158" customWidth="1"/>
    <col min="12300" max="12544" width="12.54296875" style="158"/>
    <col min="12545" max="12545" width="45.7265625" style="158" customWidth="1"/>
    <col min="12546" max="12553" width="12.7265625" style="158" customWidth="1"/>
    <col min="12554" max="12555" width="9.54296875" style="158" customWidth="1"/>
    <col min="12556" max="12800" width="12.54296875" style="158"/>
    <col min="12801" max="12801" width="45.7265625" style="158" customWidth="1"/>
    <col min="12802" max="12809" width="12.7265625" style="158" customWidth="1"/>
    <col min="12810" max="12811" width="9.54296875" style="158" customWidth="1"/>
    <col min="12812" max="13056" width="12.54296875" style="158"/>
    <col min="13057" max="13057" width="45.7265625" style="158" customWidth="1"/>
    <col min="13058" max="13065" width="12.7265625" style="158" customWidth="1"/>
    <col min="13066" max="13067" width="9.54296875" style="158" customWidth="1"/>
    <col min="13068" max="13312" width="12.54296875" style="158"/>
    <col min="13313" max="13313" width="45.7265625" style="158" customWidth="1"/>
    <col min="13314" max="13321" width="12.7265625" style="158" customWidth="1"/>
    <col min="13322" max="13323" width="9.54296875" style="158" customWidth="1"/>
    <col min="13324" max="13568" width="12.54296875" style="158"/>
    <col min="13569" max="13569" width="45.7265625" style="158" customWidth="1"/>
    <col min="13570" max="13577" width="12.7265625" style="158" customWidth="1"/>
    <col min="13578" max="13579" width="9.54296875" style="158" customWidth="1"/>
    <col min="13580" max="13824" width="12.54296875" style="158"/>
    <col min="13825" max="13825" width="45.7265625" style="158" customWidth="1"/>
    <col min="13826" max="13833" width="12.7265625" style="158" customWidth="1"/>
    <col min="13834" max="13835" width="9.54296875" style="158" customWidth="1"/>
    <col min="13836" max="14080" width="12.54296875" style="158"/>
    <col min="14081" max="14081" width="45.7265625" style="158" customWidth="1"/>
    <col min="14082" max="14089" width="12.7265625" style="158" customWidth="1"/>
    <col min="14090" max="14091" width="9.54296875" style="158" customWidth="1"/>
    <col min="14092" max="14336" width="12.54296875" style="158"/>
    <col min="14337" max="14337" width="45.7265625" style="158" customWidth="1"/>
    <col min="14338" max="14345" width="12.7265625" style="158" customWidth="1"/>
    <col min="14346" max="14347" width="9.54296875" style="158" customWidth="1"/>
    <col min="14348" max="14592" width="12.54296875" style="158"/>
    <col min="14593" max="14593" width="45.7265625" style="158" customWidth="1"/>
    <col min="14594" max="14601" width="12.7265625" style="158" customWidth="1"/>
    <col min="14602" max="14603" width="9.54296875" style="158" customWidth="1"/>
    <col min="14604" max="14848" width="12.54296875" style="158"/>
    <col min="14849" max="14849" width="45.7265625" style="158" customWidth="1"/>
    <col min="14850" max="14857" width="12.7265625" style="158" customWidth="1"/>
    <col min="14858" max="14859" width="9.54296875" style="158" customWidth="1"/>
    <col min="14860" max="15104" width="12.54296875" style="158"/>
    <col min="15105" max="15105" width="45.7265625" style="158" customWidth="1"/>
    <col min="15106" max="15113" width="12.7265625" style="158" customWidth="1"/>
    <col min="15114" max="15115" width="9.54296875" style="158" customWidth="1"/>
    <col min="15116" max="15360" width="12.54296875" style="158"/>
    <col min="15361" max="15361" width="45.7265625" style="158" customWidth="1"/>
    <col min="15362" max="15369" width="12.7265625" style="158" customWidth="1"/>
    <col min="15370" max="15371" width="9.54296875" style="158" customWidth="1"/>
    <col min="15372" max="15616" width="12.54296875" style="158"/>
    <col min="15617" max="15617" width="45.7265625" style="158" customWidth="1"/>
    <col min="15618" max="15625" width="12.7265625" style="158" customWidth="1"/>
    <col min="15626" max="15627" width="9.54296875" style="158" customWidth="1"/>
    <col min="15628" max="15872" width="12.54296875" style="158"/>
    <col min="15873" max="15873" width="45.7265625" style="158" customWidth="1"/>
    <col min="15874" max="15881" width="12.7265625" style="158" customWidth="1"/>
    <col min="15882" max="15883" width="9.54296875" style="158" customWidth="1"/>
    <col min="15884" max="16128" width="12.54296875" style="158"/>
    <col min="16129" max="16129" width="45.7265625" style="158" customWidth="1"/>
    <col min="16130" max="16137" width="12.7265625" style="158" customWidth="1"/>
    <col min="16138" max="16139" width="9.54296875" style="158" customWidth="1"/>
    <col min="16140" max="16384" width="12.54296875" style="158"/>
  </cols>
  <sheetData>
    <row r="1" spans="1:11" ht="19.5">
      <c r="A1" s="133" t="str">
        <f>HLOOKUP(INDICE!$F$2,Nombres!$C$3:$D$636,85,FALSE)</f>
        <v>NPL ratio</v>
      </c>
      <c r="B1" s="157"/>
      <c r="C1" s="157"/>
      <c r="D1" s="157"/>
      <c r="E1" s="157"/>
      <c r="F1" s="157"/>
      <c r="G1" s="134"/>
      <c r="H1" s="134"/>
      <c r="I1" s="134"/>
    </row>
    <row r="2" spans="1:11" ht="14.25" customHeight="1">
      <c r="A2" s="136" t="str">
        <f>HLOOKUP(INDICE!$F$2,Nombres!$C$3:$D$636,84,FALSE)</f>
        <v>(Percentage)</v>
      </c>
      <c r="B2" s="137"/>
      <c r="C2" s="137"/>
      <c r="D2" s="137"/>
      <c r="E2" s="137"/>
      <c r="F2" s="137"/>
      <c r="G2" s="137"/>
      <c r="H2" s="137"/>
      <c r="I2" s="137"/>
    </row>
    <row r="3" spans="1:11" ht="13.5">
      <c r="A3" s="137"/>
      <c r="B3" s="159">
        <f>+España!B$32</f>
        <v>45747</v>
      </c>
      <c r="C3" s="159">
        <f>+España!C$32</f>
        <v>45838</v>
      </c>
      <c r="D3" s="159">
        <f>+España!D$32</f>
        <v>45930</v>
      </c>
      <c r="E3" s="159">
        <f>+España!E$32</f>
        <v>46022</v>
      </c>
      <c r="F3" s="159">
        <f>+España!F$32</f>
        <v>46112</v>
      </c>
      <c r="G3" s="159">
        <f>+España!G$32</f>
        <v>46203</v>
      </c>
      <c r="H3" s="159">
        <f>+España!H$32</f>
        <v>46295</v>
      </c>
      <c r="I3" s="159">
        <f>+España!I$32</f>
        <v>46387</v>
      </c>
    </row>
    <row r="4" spans="1:11" ht="6.75" customHeight="1">
      <c r="A4" s="137"/>
      <c r="B4" s="140"/>
      <c r="C4" s="140"/>
      <c r="D4" s="137"/>
      <c r="E4" s="160"/>
      <c r="F4" s="140"/>
      <c r="G4" s="140"/>
      <c r="H4" s="137"/>
      <c r="I4" s="137"/>
    </row>
    <row r="5" spans="1:11" customFormat="1" ht="14.5">
      <c r="A5" s="18" t="str">
        <f>HLOOKUP(INDICE!$F$2,Nombres!$C$3:$D$636,275,FALSE)</f>
        <v>BBVA Group  (*)</v>
      </c>
      <c r="B5" s="142">
        <v>2.889714842923095</v>
      </c>
      <c r="C5" s="142">
        <v>2.9024831815385936</v>
      </c>
      <c r="D5" s="142">
        <v>2.7732411132962977</v>
      </c>
      <c r="E5" s="143">
        <v>2.711434525997245</v>
      </c>
      <c r="F5" s="142">
        <v>2.6496775595062729</v>
      </c>
      <c r="G5" s="144">
        <v>0</v>
      </c>
      <c r="H5" s="144">
        <v>0</v>
      </c>
      <c r="I5" s="144">
        <v>0</v>
      </c>
      <c r="J5" s="161"/>
      <c r="K5" s="162"/>
    </row>
    <row r="6" spans="1:11" s="163" customFormat="1" ht="6.75" customHeight="1">
      <c r="A6" s="137"/>
      <c r="B6" s="146"/>
      <c r="C6" s="146"/>
      <c r="D6" s="146"/>
      <c r="E6" s="147"/>
      <c r="F6" s="146"/>
      <c r="G6" s="146"/>
      <c r="H6" s="146"/>
      <c r="I6" s="146"/>
      <c r="J6" s="161"/>
      <c r="K6" s="162"/>
    </row>
    <row r="7" spans="1:11" customFormat="1" ht="14.5">
      <c r="A7" s="7" t="str">
        <f>HLOOKUP(INDICE!$F$2,Nombres!$C$3:$D$636,7,FALSE)</f>
        <v>Spain</v>
      </c>
      <c r="B7" s="149">
        <v>3.5108696962889625</v>
      </c>
      <c r="C7" s="149">
        <v>3.4926563389345358</v>
      </c>
      <c r="D7" s="149">
        <v>3.1257432006001009</v>
      </c>
      <c r="E7" s="150">
        <v>3.0479205729210421</v>
      </c>
      <c r="F7" s="149">
        <v>2.9428461236726697</v>
      </c>
      <c r="G7" s="151">
        <v>0</v>
      </c>
      <c r="H7" s="151">
        <v>0</v>
      </c>
      <c r="I7" s="151">
        <v>0</v>
      </c>
      <c r="J7" s="161"/>
      <c r="K7" s="162"/>
    </row>
    <row r="8" spans="1:11" ht="6" customHeight="1">
      <c r="A8" s="137"/>
      <c r="B8" s="146"/>
      <c r="C8" s="146"/>
      <c r="D8" s="146"/>
      <c r="E8" s="147"/>
      <c r="F8" s="146"/>
      <c r="G8" s="146"/>
      <c r="H8" s="146"/>
      <c r="I8" s="146"/>
      <c r="J8" s="161"/>
      <c r="K8" s="164"/>
    </row>
    <row r="9" spans="1:11" ht="14.5">
      <c r="A9" s="7" t="str">
        <f>HLOOKUP(INDICE!$F$2,Nombres!$C$3:$D$636,11,FALSE)</f>
        <v>Mexico</v>
      </c>
      <c r="B9" s="149">
        <v>2.4135648647835923</v>
      </c>
      <c r="C9" s="149">
        <v>2.6742882350478618</v>
      </c>
      <c r="D9" s="149">
        <v>2.7840438349523939</v>
      </c>
      <c r="E9" s="150">
        <v>2.7328942361630975</v>
      </c>
      <c r="F9" s="149">
        <v>2.5824503991243515</v>
      </c>
      <c r="G9" s="151">
        <v>0</v>
      </c>
      <c r="H9" s="151">
        <v>0</v>
      </c>
      <c r="I9" s="151">
        <v>0</v>
      </c>
      <c r="J9" s="161"/>
      <c r="K9" s="164"/>
    </row>
    <row r="10" spans="1:11" ht="6" customHeight="1">
      <c r="A10" s="137"/>
      <c r="B10" s="146"/>
      <c r="C10" s="146"/>
      <c r="D10" s="146"/>
      <c r="E10" s="147"/>
      <c r="F10" s="146"/>
      <c r="G10" s="146"/>
      <c r="H10" s="146"/>
      <c r="I10" s="146"/>
      <c r="J10" s="161"/>
      <c r="K10" s="164"/>
    </row>
    <row r="11" spans="1:11" customFormat="1" ht="14.5">
      <c r="A11" s="7" t="str">
        <f>HLOOKUP(INDICE!$F$2,Nombres!$C$3:$D$636,12,FALSE)</f>
        <v xml:space="preserve">Turkey </v>
      </c>
      <c r="B11" s="149">
        <v>3.1811470607217589</v>
      </c>
      <c r="C11" s="149">
        <v>3.4095495195003775</v>
      </c>
      <c r="D11" s="149">
        <v>3.6892378508273906</v>
      </c>
      <c r="E11" s="150">
        <v>3.8873106806433273</v>
      </c>
      <c r="F11" s="149">
        <v>4.1395140922296907</v>
      </c>
      <c r="G11" s="151">
        <v>0</v>
      </c>
      <c r="H11" s="151">
        <v>0</v>
      </c>
      <c r="I11" s="151">
        <v>0</v>
      </c>
      <c r="J11" s="161"/>
    </row>
    <row r="12" spans="1:11" ht="6" customHeight="1">
      <c r="A12" s="137"/>
      <c r="B12" s="146"/>
      <c r="C12" s="146"/>
      <c r="D12" s="146"/>
      <c r="E12" s="147"/>
      <c r="F12" s="146"/>
      <c r="G12" s="146"/>
      <c r="H12" s="146"/>
      <c r="I12" s="146"/>
      <c r="J12" s="161"/>
      <c r="K12" s="164"/>
    </row>
    <row r="13" spans="1:11" customFormat="1" ht="14.5">
      <c r="A13" s="7" t="str">
        <f>HLOOKUP(INDICE!$F$2,Nombres!$C$3:$D$636,13,FALSE)</f>
        <v>South America</v>
      </c>
      <c r="B13" s="149">
        <v>4.3129806052188169</v>
      </c>
      <c r="C13" s="149">
        <v>4.1956168653614991</v>
      </c>
      <c r="D13" s="149">
        <v>4.0837567082694699</v>
      </c>
      <c r="E13" s="150">
        <v>4.037193643020923</v>
      </c>
      <c r="F13" s="149">
        <v>4.15917236598911</v>
      </c>
      <c r="G13" s="151">
        <v>0</v>
      </c>
      <c r="H13" s="151">
        <v>0</v>
      </c>
      <c r="I13" s="151">
        <v>0</v>
      </c>
      <c r="J13" s="161"/>
    </row>
    <row r="14" spans="1:11" s="163" customFormat="1" ht="6" customHeight="1">
      <c r="A14" s="137"/>
      <c r="B14" s="165"/>
      <c r="C14" s="165"/>
      <c r="D14" s="165"/>
      <c r="E14" s="166"/>
      <c r="F14" s="165"/>
      <c r="G14" s="167"/>
      <c r="H14" s="167"/>
      <c r="I14" s="167"/>
      <c r="J14" s="161"/>
      <c r="K14" s="164"/>
    </row>
    <row r="15" spans="1:11">
      <c r="A15" s="7" t="str">
        <f>HLOOKUP(INDICE!$F$2,Nombres!$C$3:$D$636,263,FALSE)</f>
        <v>Rest of Business</v>
      </c>
      <c r="B15" s="149">
        <v>0.27257810788294679</v>
      </c>
      <c r="C15" s="149">
        <v>0.20914772765345005</v>
      </c>
      <c r="D15" s="149">
        <v>0.17849786005357968</v>
      </c>
      <c r="E15" s="150">
        <v>0.15719830872719567</v>
      </c>
      <c r="F15" s="149">
        <v>0.13897737729640813</v>
      </c>
      <c r="G15" s="151">
        <v>0</v>
      </c>
      <c r="H15" s="151">
        <v>0</v>
      </c>
      <c r="I15" s="151">
        <v>0</v>
      </c>
    </row>
    <row r="16" spans="1:11" s="163" customFormat="1" ht="13">
      <c r="A16" s="168"/>
      <c r="B16" s="165"/>
      <c r="C16" s="165"/>
      <c r="D16" s="169"/>
      <c r="E16" s="169"/>
      <c r="F16" s="165"/>
      <c r="G16" s="165"/>
      <c r="H16" s="169"/>
      <c r="I16" s="169"/>
      <c r="J16" s="164"/>
      <c r="K16" s="164"/>
    </row>
    <row r="17" spans="1:11">
      <c r="A17" s="137"/>
      <c r="B17" s="165"/>
      <c r="C17" s="165"/>
      <c r="D17" s="170"/>
      <c r="E17" s="170"/>
      <c r="F17" s="165"/>
      <c r="G17" s="165"/>
      <c r="H17" s="170"/>
      <c r="I17" s="170"/>
      <c r="J17" s="164"/>
      <c r="K17" s="164"/>
    </row>
    <row r="18" spans="1:11" s="173" customFormat="1" ht="17">
      <c r="A18" s="133" t="str">
        <f>HLOOKUP(INDICE!$F$2,Nombres!$C$3:$D$636,86,FALSE)</f>
        <v>NPL coverage ratio</v>
      </c>
      <c r="B18" s="171"/>
      <c r="C18" s="171"/>
      <c r="D18" s="172"/>
      <c r="E18" s="172"/>
      <c r="F18" s="171"/>
      <c r="G18" s="171"/>
      <c r="H18" s="172"/>
      <c r="I18" s="172"/>
      <c r="J18" s="164"/>
      <c r="K18" s="164"/>
    </row>
    <row r="19" spans="1:11" ht="13.5" customHeight="1">
      <c r="A19" s="136" t="str">
        <f>HLOOKUP(INDICE!$F$2,Nombres!$C$3:$D$636,84,FALSE)</f>
        <v>(Percentage)</v>
      </c>
      <c r="B19" s="153"/>
      <c r="C19" s="153"/>
      <c r="D19" s="170"/>
      <c r="E19" s="170"/>
      <c r="F19" s="153"/>
      <c r="G19" s="153"/>
      <c r="H19" s="170"/>
      <c r="I19" s="170"/>
      <c r="J19" s="164"/>
      <c r="K19" s="164"/>
    </row>
    <row r="20" spans="1:11" ht="13.5">
      <c r="A20" s="137"/>
      <c r="B20" s="159">
        <f>+B$3</f>
        <v>45747</v>
      </c>
      <c r="C20" s="159">
        <f t="shared" ref="C20:I20" si="0">+C$3</f>
        <v>45838</v>
      </c>
      <c r="D20" s="159">
        <f t="shared" si="0"/>
        <v>45930</v>
      </c>
      <c r="E20" s="159">
        <f t="shared" si="0"/>
        <v>46022</v>
      </c>
      <c r="F20" s="159">
        <f t="shared" si="0"/>
        <v>46112</v>
      </c>
      <c r="G20" s="159">
        <f t="shared" si="0"/>
        <v>46203</v>
      </c>
      <c r="H20" s="159">
        <f t="shared" si="0"/>
        <v>46295</v>
      </c>
      <c r="I20" s="159">
        <f t="shared" si="0"/>
        <v>46387</v>
      </c>
      <c r="J20" s="164"/>
      <c r="K20" s="164"/>
    </row>
    <row r="21" spans="1:11" ht="6.75" customHeight="1">
      <c r="A21" s="137"/>
      <c r="B21" s="174"/>
      <c r="C21" s="174"/>
      <c r="D21" s="170"/>
      <c r="E21" s="170"/>
      <c r="F21" s="174"/>
      <c r="G21" s="174"/>
      <c r="H21" s="170"/>
      <c r="I21" s="170"/>
      <c r="J21" s="164"/>
      <c r="K21" s="164"/>
    </row>
    <row r="22" spans="1:11" customFormat="1" ht="14.5">
      <c r="A22" s="18" t="str">
        <f>HLOOKUP(INDICE!$F$2,Nombres!$C$3:$D$636,275,FALSE)</f>
        <v>BBVA Group  (*)</v>
      </c>
      <c r="B22" s="175">
        <v>81.681448037357455</v>
      </c>
      <c r="C22" s="175">
        <v>81.110483920775394</v>
      </c>
      <c r="D22" s="175">
        <v>83.929403820221737</v>
      </c>
      <c r="E22" s="176">
        <v>84.955164032334835</v>
      </c>
      <c r="F22" s="175">
        <v>86.241895112844887</v>
      </c>
      <c r="G22" s="177">
        <v>0</v>
      </c>
      <c r="H22" s="177">
        <v>0</v>
      </c>
      <c r="I22" s="177">
        <v>0</v>
      </c>
      <c r="J22" s="178"/>
    </row>
    <row r="23" spans="1:11" s="163" customFormat="1" ht="6.75" customHeight="1">
      <c r="A23" s="137"/>
      <c r="B23" s="179"/>
      <c r="C23" s="179"/>
      <c r="D23" s="179"/>
      <c r="E23" s="180"/>
      <c r="F23" s="179"/>
      <c r="G23" s="179"/>
      <c r="H23" s="179"/>
      <c r="I23" s="179"/>
      <c r="J23" s="178"/>
      <c r="K23" s="164"/>
    </row>
    <row r="24" spans="1:11" customFormat="1" ht="14.5">
      <c r="A24" s="7" t="str">
        <f>HLOOKUP(INDICE!$F$2,Nombres!$C$3:$D$636,7,FALSE)</f>
        <v>Spain</v>
      </c>
      <c r="B24" s="181">
        <v>60.588093077771788</v>
      </c>
      <c r="C24" s="181">
        <v>61.336895072233588</v>
      </c>
      <c r="D24" s="181">
        <v>65.227823848879922</v>
      </c>
      <c r="E24" s="182">
        <v>67.449915271254937</v>
      </c>
      <c r="F24" s="181">
        <v>69.345788394529464</v>
      </c>
      <c r="G24" s="183">
        <v>0</v>
      </c>
      <c r="H24" s="183">
        <v>0</v>
      </c>
      <c r="I24" s="183">
        <v>0</v>
      </c>
      <c r="J24" s="178"/>
      <c r="K24" s="184"/>
    </row>
    <row r="25" spans="1:11" ht="6" customHeight="1">
      <c r="A25" s="137"/>
      <c r="B25" s="179"/>
      <c r="C25" s="179"/>
      <c r="D25" s="179"/>
      <c r="E25" s="180"/>
      <c r="F25" s="179"/>
      <c r="G25" s="179"/>
      <c r="H25" s="179"/>
      <c r="I25" s="179"/>
      <c r="J25" s="178"/>
      <c r="K25" s="164"/>
    </row>
    <row r="26" spans="1:11" customFormat="1" ht="14.5">
      <c r="A26" s="7" t="str">
        <f>HLOOKUP(INDICE!$F$2,Nombres!$C$3:$D$636,11,FALSE)</f>
        <v>Mexico</v>
      </c>
      <c r="B26" s="181">
        <v>128.93178953430754</v>
      </c>
      <c r="C26" s="181">
        <v>124.62919409570468</v>
      </c>
      <c r="D26" s="181">
        <v>123.15631259579958</v>
      </c>
      <c r="E26" s="182">
        <v>123.65684027896104</v>
      </c>
      <c r="F26" s="181">
        <v>128.79349352752897</v>
      </c>
      <c r="G26" s="183">
        <v>0</v>
      </c>
      <c r="H26" s="183">
        <v>0</v>
      </c>
      <c r="I26" s="183">
        <v>0</v>
      </c>
      <c r="J26" s="178"/>
    </row>
    <row r="27" spans="1:11" customFormat="1" ht="5.25" customHeight="1">
      <c r="A27" s="137"/>
      <c r="B27" s="179"/>
      <c r="C27" s="179"/>
      <c r="D27" s="179"/>
      <c r="E27" s="180"/>
      <c r="F27" s="179"/>
      <c r="G27" s="179"/>
      <c r="H27" s="179"/>
      <c r="I27" s="179"/>
      <c r="J27" s="178"/>
    </row>
    <row r="28" spans="1:11" customFormat="1" ht="14.5">
      <c r="A28" s="7" t="str">
        <f>HLOOKUP(INDICE!$F$2,Nombres!$C$3:$D$636,12,FALSE)</f>
        <v xml:space="preserve">Turkey </v>
      </c>
      <c r="B28" s="181">
        <v>93.182284677483381</v>
      </c>
      <c r="C28" s="181">
        <v>86.192313916077026</v>
      </c>
      <c r="D28" s="181">
        <v>78.140787044575674</v>
      </c>
      <c r="E28" s="182">
        <v>76.095916328278918</v>
      </c>
      <c r="F28" s="181">
        <v>73.632381100268034</v>
      </c>
      <c r="G28" s="183">
        <v>0</v>
      </c>
      <c r="H28" s="183">
        <v>0</v>
      </c>
      <c r="I28" s="183">
        <v>0</v>
      </c>
      <c r="J28" s="178"/>
    </row>
    <row r="29" spans="1:11" ht="6.75" customHeight="1">
      <c r="A29" s="137"/>
      <c r="B29" s="179"/>
      <c r="C29" s="179"/>
      <c r="D29" s="179"/>
      <c r="E29" s="180"/>
      <c r="F29" s="179"/>
      <c r="G29" s="179"/>
      <c r="H29" s="179"/>
      <c r="I29" s="179"/>
      <c r="J29" s="178"/>
      <c r="K29" s="164"/>
    </row>
    <row r="30" spans="1:11" customFormat="1" ht="14.5">
      <c r="A30" s="7" t="str">
        <f>HLOOKUP(INDICE!$F$2,Nombres!$C$3:$D$636,13,FALSE)</f>
        <v>South America</v>
      </c>
      <c r="B30" s="181">
        <v>90.221681271748622</v>
      </c>
      <c r="C30" s="181">
        <v>89.469756496988083</v>
      </c>
      <c r="D30" s="181">
        <v>93.046672680120722</v>
      </c>
      <c r="E30" s="182">
        <v>92.237060110300305</v>
      </c>
      <c r="F30" s="181">
        <v>90.174896810281126</v>
      </c>
      <c r="G30" s="183">
        <v>0</v>
      </c>
      <c r="H30" s="183">
        <v>0</v>
      </c>
      <c r="I30" s="183">
        <v>0</v>
      </c>
      <c r="J30" s="178"/>
    </row>
    <row r="31" spans="1:11" s="163" customFormat="1" ht="6" customHeight="1">
      <c r="A31" s="137"/>
      <c r="B31" s="185"/>
      <c r="C31" s="185"/>
      <c r="D31" s="185"/>
      <c r="E31" s="186"/>
      <c r="F31" s="185"/>
      <c r="G31" s="187"/>
      <c r="H31" s="187"/>
      <c r="I31" s="187"/>
      <c r="J31" s="178"/>
      <c r="K31" s="164"/>
    </row>
    <row r="32" spans="1:11">
      <c r="A32" s="7" t="str">
        <f>HLOOKUP(INDICE!$F$2,Nombres!$C$3:$D$636,263,FALSE)</f>
        <v>Rest of Business</v>
      </c>
      <c r="B32" s="181">
        <v>109.28570066052828</v>
      </c>
      <c r="C32" s="181">
        <v>139.85236122999086</v>
      </c>
      <c r="D32" s="181">
        <v>175.8931190658885</v>
      </c>
      <c r="E32" s="182">
        <v>172.30447865948949</v>
      </c>
      <c r="F32" s="181">
        <v>197.13347508722879</v>
      </c>
      <c r="G32" s="183">
        <v>0</v>
      </c>
      <c r="H32" s="183">
        <v>0</v>
      </c>
      <c r="I32" s="183">
        <v>0</v>
      </c>
    </row>
    <row r="33" spans="1:11" s="163" customFormat="1" ht="13">
      <c r="A33" s="168"/>
      <c r="B33" s="188"/>
      <c r="C33" s="188"/>
      <c r="D33" s="170"/>
      <c r="E33" s="170"/>
      <c r="F33" s="188"/>
      <c r="G33" s="188"/>
      <c r="H33" s="170"/>
      <c r="I33" s="170"/>
      <c r="J33" s="164"/>
      <c r="K33" s="164"/>
    </row>
    <row r="34" spans="1:11" ht="12" customHeight="1">
      <c r="A34" s="137"/>
      <c r="B34" s="188"/>
      <c r="C34" s="188"/>
      <c r="D34" s="170"/>
      <c r="E34" s="170"/>
      <c r="F34" s="188"/>
      <c r="G34" s="188"/>
      <c r="H34" s="170"/>
      <c r="I34" s="170"/>
      <c r="J34" s="164"/>
      <c r="K34" s="164"/>
    </row>
    <row r="35" spans="1:11" ht="17">
      <c r="A35" s="133" t="str">
        <f>HLOOKUP(INDICE!$F$2,Nombres!$C$3:$D$636,87,FALSE)</f>
        <v>Cost of risk YTD</v>
      </c>
      <c r="B35" s="171"/>
      <c r="C35" s="171"/>
      <c r="D35" s="172"/>
      <c r="E35" s="172"/>
      <c r="F35" s="171"/>
      <c r="G35" s="171"/>
      <c r="H35" s="172"/>
      <c r="I35" s="172"/>
      <c r="J35" s="164"/>
      <c r="K35" s="164"/>
    </row>
    <row r="36" spans="1:11" ht="12.75" customHeight="1">
      <c r="A36" s="136" t="str">
        <f>HLOOKUP(INDICE!$F$2,Nombres!$C$3:$D$636,84,FALSE)</f>
        <v>(Percentage)</v>
      </c>
      <c r="B36" s="188"/>
      <c r="C36" s="188"/>
      <c r="D36" s="170"/>
      <c r="E36" s="170"/>
      <c r="F36" s="188"/>
      <c r="G36" s="188"/>
      <c r="H36" s="170"/>
      <c r="I36" s="170"/>
      <c r="J36" s="164"/>
      <c r="K36" s="164"/>
    </row>
    <row r="37" spans="1:11" ht="13.5">
      <c r="A37" s="137"/>
      <c r="B37" s="159">
        <f>+B$3</f>
        <v>45747</v>
      </c>
      <c r="C37" s="159">
        <f t="shared" ref="C37:I37" si="1">+C$3</f>
        <v>45838</v>
      </c>
      <c r="D37" s="159">
        <f t="shared" si="1"/>
        <v>45930</v>
      </c>
      <c r="E37" s="159">
        <f t="shared" si="1"/>
        <v>46022</v>
      </c>
      <c r="F37" s="159">
        <f t="shared" si="1"/>
        <v>46112</v>
      </c>
      <c r="G37" s="159">
        <f t="shared" si="1"/>
        <v>46203</v>
      </c>
      <c r="H37" s="159">
        <f t="shared" si="1"/>
        <v>46295</v>
      </c>
      <c r="I37" s="159">
        <f t="shared" si="1"/>
        <v>46387</v>
      </c>
      <c r="J37" s="164"/>
      <c r="K37" s="164"/>
    </row>
    <row r="38" spans="1:11">
      <c r="A38" s="137"/>
      <c r="B38" s="174"/>
      <c r="C38" s="174"/>
      <c r="D38" s="170"/>
      <c r="E38" s="170"/>
      <c r="F38" s="174"/>
      <c r="G38" s="174"/>
      <c r="H38" s="170"/>
      <c r="I38" s="170"/>
      <c r="J38" s="164"/>
      <c r="K38" s="164"/>
    </row>
    <row r="39" spans="1:11" customFormat="1" ht="14.5">
      <c r="A39" s="18" t="str">
        <f>HLOOKUP(INDICE!$F$2,Nombres!$C$3:$D$636,275,FALSE)</f>
        <v>BBVA Group  (*)</v>
      </c>
      <c r="B39" s="189">
        <v>1.304382577733445</v>
      </c>
      <c r="C39" s="189">
        <v>1.3167554321896193</v>
      </c>
      <c r="D39" s="189">
        <v>1.3477811982805012</v>
      </c>
      <c r="E39" s="190">
        <v>1.3913684899849084</v>
      </c>
      <c r="F39" s="189">
        <v>1.5402058618521401</v>
      </c>
      <c r="G39" s="189">
        <v>0</v>
      </c>
      <c r="H39" s="191">
        <v>0</v>
      </c>
      <c r="I39" s="191">
        <v>0</v>
      </c>
      <c r="J39" s="145"/>
    </row>
    <row r="40" spans="1:11" s="163" customFormat="1" ht="6.75" customHeight="1">
      <c r="A40" s="137"/>
      <c r="B40" s="192"/>
      <c r="C40" s="192"/>
      <c r="D40" s="192"/>
      <c r="E40" s="193"/>
      <c r="F40" s="192"/>
      <c r="G40" s="192"/>
      <c r="H40" s="192"/>
      <c r="I40" s="192"/>
      <c r="J40" s="164"/>
      <c r="K40" s="164"/>
    </row>
    <row r="41" spans="1:11" customFormat="1" ht="14.5">
      <c r="A41" s="7" t="str">
        <f>HLOOKUP(INDICE!$F$2,Nombres!$C$3:$D$636,7,FALSE)</f>
        <v>Spain</v>
      </c>
      <c r="B41" s="194">
        <v>0.30222327596269288</v>
      </c>
      <c r="C41" s="194">
        <v>0.32355655768387154</v>
      </c>
      <c r="D41" s="194">
        <v>0.33795623939580205</v>
      </c>
      <c r="E41" s="195">
        <v>0.34141426858803597</v>
      </c>
      <c r="F41" s="194">
        <v>0.34017555716775316</v>
      </c>
      <c r="G41" s="196">
        <v>0</v>
      </c>
      <c r="H41" s="196">
        <v>0</v>
      </c>
      <c r="I41" s="196">
        <v>0</v>
      </c>
      <c r="J41" s="145"/>
    </row>
    <row r="42" spans="1:11" customFormat="1" ht="8.25" customHeight="1">
      <c r="A42" s="137"/>
      <c r="B42" s="192"/>
      <c r="C42" s="192"/>
      <c r="D42" s="192"/>
      <c r="E42" s="193"/>
      <c r="F42" s="192"/>
      <c r="G42" s="192"/>
      <c r="H42" s="192"/>
      <c r="I42" s="192"/>
      <c r="J42" s="145"/>
    </row>
    <row r="43" spans="1:11" customFormat="1" ht="14.5">
      <c r="A43" s="7" t="str">
        <f>HLOOKUP(INDICE!$F$2,Nombres!$C$3:$D$636,11,FALSE)</f>
        <v>Mexico</v>
      </c>
      <c r="B43" s="194">
        <v>3.0477769559714121</v>
      </c>
      <c r="C43" s="194">
        <v>3.2413629038736644</v>
      </c>
      <c r="D43" s="194">
        <v>3.2688662954603438</v>
      </c>
      <c r="E43" s="195">
        <v>3.3129139167005079</v>
      </c>
      <c r="F43" s="194">
        <v>3.4513999004042035</v>
      </c>
      <c r="G43" s="196">
        <v>0</v>
      </c>
      <c r="H43" s="196">
        <v>0</v>
      </c>
      <c r="I43" s="196">
        <v>0</v>
      </c>
      <c r="J43" s="145"/>
    </row>
    <row r="44" spans="1:11" ht="6" customHeight="1">
      <c r="A44" s="137"/>
      <c r="B44" s="192"/>
      <c r="C44" s="192"/>
      <c r="D44" s="192"/>
      <c r="E44" s="193"/>
      <c r="F44" s="192"/>
      <c r="G44" s="192"/>
      <c r="H44" s="192"/>
      <c r="I44" s="192"/>
      <c r="J44" s="164"/>
      <c r="K44" s="164"/>
    </row>
    <row r="45" spans="1:11" customFormat="1" ht="14.5">
      <c r="A45" s="7" t="str">
        <f>HLOOKUP(INDICE!$F$2,Nombres!$C$3:$D$636,12,FALSE)</f>
        <v xml:space="preserve">Turkey </v>
      </c>
      <c r="B45" s="194">
        <v>1.8909550544224853</v>
      </c>
      <c r="C45" s="194">
        <v>1.6355782784331541</v>
      </c>
      <c r="D45" s="194">
        <v>1.7598091573797674</v>
      </c>
      <c r="E45" s="195">
        <v>1.9416191167229946</v>
      </c>
      <c r="F45" s="194">
        <v>2.5253935550950541</v>
      </c>
      <c r="G45" s="196">
        <v>0</v>
      </c>
      <c r="H45" s="196">
        <v>0</v>
      </c>
      <c r="I45" s="196">
        <v>0</v>
      </c>
      <c r="J45" s="145"/>
    </row>
    <row r="46" spans="1:11" ht="6.75" customHeight="1">
      <c r="A46" s="137"/>
      <c r="B46" s="192"/>
      <c r="C46" s="192"/>
      <c r="D46" s="192"/>
      <c r="E46" s="193"/>
      <c r="F46" s="192"/>
      <c r="G46" s="192"/>
      <c r="H46" s="192"/>
      <c r="I46" s="192"/>
      <c r="J46" s="164"/>
      <c r="K46" s="164"/>
    </row>
    <row r="47" spans="1:11" customFormat="1" ht="14.5">
      <c r="A47" s="7" t="str">
        <f>HLOOKUP(INDICE!$F$2,Nombres!$C$3:$D$636,13,FALSE)</f>
        <v>South America</v>
      </c>
      <c r="B47" s="194">
        <v>2.2985953283551734</v>
      </c>
      <c r="C47" s="194">
        <v>2.3303242976320133</v>
      </c>
      <c r="D47" s="194">
        <v>2.4350918235504428</v>
      </c>
      <c r="E47" s="195">
        <v>2.5045441864602935</v>
      </c>
      <c r="F47" s="194">
        <v>2.7639276895164384</v>
      </c>
      <c r="G47" s="196">
        <v>0</v>
      </c>
      <c r="H47" s="196">
        <v>0</v>
      </c>
      <c r="I47" s="196">
        <v>0</v>
      </c>
      <c r="J47" s="145"/>
    </row>
    <row r="48" spans="1:11" s="163" customFormat="1" ht="6" customHeight="1">
      <c r="A48" s="137"/>
      <c r="B48" s="197"/>
      <c r="C48" s="197"/>
      <c r="D48" s="197"/>
      <c r="E48" s="198"/>
      <c r="F48" s="197"/>
      <c r="G48" s="199"/>
      <c r="H48" s="199"/>
      <c r="I48" s="199"/>
      <c r="J48" s="164"/>
      <c r="K48" s="164"/>
    </row>
    <row r="49" spans="1:9">
      <c r="A49" s="7" t="str">
        <f>HLOOKUP(INDICE!$F$2,Nombres!$C$3:$D$636,263,FALSE)</f>
        <v>Rest of Business</v>
      </c>
      <c r="B49" s="194">
        <v>0.15855526548717555</v>
      </c>
      <c r="C49" s="194">
        <v>0.14715271109686748</v>
      </c>
      <c r="D49" s="194">
        <v>0.11702008302539423</v>
      </c>
      <c r="E49" s="195">
        <v>0.15343544690052743</v>
      </c>
      <c r="F49" s="194">
        <v>0.30185993059895833</v>
      </c>
      <c r="G49" s="196">
        <v>0</v>
      </c>
      <c r="H49" s="196">
        <v>0</v>
      </c>
      <c r="I49" s="196">
        <v>0</v>
      </c>
    </row>
    <row r="50" spans="1:9">
      <c r="A50" s="168"/>
      <c r="B50" s="137"/>
      <c r="C50" s="188"/>
      <c r="D50" s="188"/>
      <c r="E50" s="188"/>
      <c r="F50" s="137"/>
      <c r="G50" s="200"/>
      <c r="H50" s="200"/>
      <c r="I50" s="200"/>
    </row>
    <row r="51" spans="1:9">
      <c r="A51" s="20"/>
      <c r="B51" s="137"/>
      <c r="C51" s="137"/>
      <c r="D51" s="137"/>
      <c r="E51" s="137"/>
      <c r="F51" s="137"/>
      <c r="G51" s="137"/>
      <c r="H51" s="137"/>
      <c r="I51" s="137"/>
    </row>
    <row r="52" spans="1:9">
      <c r="A52" s="137"/>
      <c r="B52" s="137"/>
      <c r="C52" s="137"/>
      <c r="D52" s="137"/>
      <c r="E52" s="137"/>
      <c r="F52" s="137"/>
      <c r="G52" s="137"/>
      <c r="H52" s="137"/>
      <c r="I52" s="137"/>
    </row>
    <row r="53" spans="1:9">
      <c r="A53" s="201"/>
      <c r="B53" s="155"/>
      <c r="C53" s="155"/>
      <c r="D53" s="155"/>
      <c r="E53" s="155"/>
      <c r="F53" s="155"/>
      <c r="G53" s="155"/>
      <c r="H53" s="201"/>
      <c r="I53" s="201"/>
    </row>
    <row r="994" spans="1:1">
      <c r="A994" s="202" t="s">
        <v>555</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D8BE75"/>
  </sheetPr>
  <dimension ref="A1:AP997"/>
  <sheetViews>
    <sheetView showGridLines="0" workbookViewId="0"/>
  </sheetViews>
  <sheetFormatPr baseColWidth="10" defaultColWidth="11.453125" defaultRowHeight="14.5"/>
  <cols>
    <col min="1" max="1" width="23.81640625" customWidth="1"/>
    <col min="7" max="9" width="0" hidden="1" customWidth="1"/>
  </cols>
  <sheetData>
    <row r="1" spans="1:42" ht="17">
      <c r="A1" s="203" t="str">
        <f>HLOOKUP(INDICE!$F$2,Nombres!$C$3:$D$636,123,FALSE)</f>
        <v>Branches</v>
      </c>
      <c r="B1" s="204"/>
      <c r="C1" s="204"/>
      <c r="D1" s="205"/>
      <c r="E1" s="205"/>
      <c r="F1" s="205"/>
      <c r="G1" s="205"/>
      <c r="H1" s="205"/>
      <c r="I1" s="205"/>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row>
    <row r="2" spans="1:42" ht="33.75" customHeight="1">
      <c r="A2" s="206"/>
      <c r="B2" s="139">
        <f>+España!B32</f>
        <v>45747</v>
      </c>
      <c r="C2" s="139">
        <f>+España!C32</f>
        <v>45838</v>
      </c>
      <c r="D2" s="139">
        <f>+España!D32</f>
        <v>45930</v>
      </c>
      <c r="E2" s="139">
        <f>+España!E32</f>
        <v>46022</v>
      </c>
      <c r="F2" s="139">
        <f>+España!F32</f>
        <v>46112</v>
      </c>
      <c r="G2" s="139">
        <f>+España!G32</f>
        <v>46203</v>
      </c>
      <c r="H2" s="139">
        <f>+España!H32</f>
        <v>46295</v>
      </c>
      <c r="I2" s="139">
        <f>+España!I32</f>
        <v>46387</v>
      </c>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row>
    <row r="3" spans="1:42">
      <c r="A3" s="207" t="str">
        <f>HLOOKUP(INDICE!$F$2,Nombres!$C$3:$D$636,7,FALSE)</f>
        <v>Spain</v>
      </c>
      <c r="B3" s="25">
        <v>1880</v>
      </c>
      <c r="C3" s="25">
        <v>1879</v>
      </c>
      <c r="D3" s="25">
        <v>1879</v>
      </c>
      <c r="E3" s="25">
        <v>1871</v>
      </c>
      <c r="F3" s="25">
        <v>1871</v>
      </c>
      <c r="G3" s="25">
        <v>0</v>
      </c>
      <c r="H3" s="25">
        <v>0</v>
      </c>
      <c r="I3" s="25">
        <v>0</v>
      </c>
      <c r="J3" s="75"/>
      <c r="K3" s="63"/>
      <c r="L3" s="155"/>
      <c r="M3" s="155"/>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row>
    <row r="4" spans="1:42">
      <c r="A4" s="207" t="str">
        <f>HLOOKUP(INDICE!$F$2,Nombres!$C$3:$D$636,11,FALSE)</f>
        <v>Mexico</v>
      </c>
      <c r="B4" s="25">
        <v>1693</v>
      </c>
      <c r="C4" s="25">
        <v>1627</v>
      </c>
      <c r="D4" s="25">
        <v>1632</v>
      </c>
      <c r="E4" s="25">
        <v>1635</v>
      </c>
      <c r="F4" s="25">
        <v>1601</v>
      </c>
      <c r="G4" s="25">
        <v>0</v>
      </c>
      <c r="H4" s="25">
        <v>0</v>
      </c>
      <c r="I4" s="25">
        <v>0</v>
      </c>
      <c r="J4" s="75"/>
      <c r="K4" s="63"/>
      <c r="L4" s="155"/>
      <c r="M4" s="155"/>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42">
      <c r="A5" s="207" t="str">
        <f>HLOOKUP(INDICE!$F$2,Nombres!$C$3:$D$636,12,FALSE)</f>
        <v xml:space="preserve">Turkey </v>
      </c>
      <c r="B5" s="25">
        <v>925</v>
      </c>
      <c r="C5" s="25">
        <v>929</v>
      </c>
      <c r="D5" s="25">
        <v>918</v>
      </c>
      <c r="E5" s="25">
        <v>913</v>
      </c>
      <c r="F5" s="25">
        <v>913</v>
      </c>
      <c r="G5" s="25">
        <v>0</v>
      </c>
      <c r="H5" s="25">
        <v>0</v>
      </c>
      <c r="I5" s="25">
        <v>0</v>
      </c>
      <c r="J5" s="75"/>
      <c r="K5" s="63"/>
      <c r="L5" s="155"/>
      <c r="M5" s="155"/>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row>
    <row r="6" spans="1:42">
      <c r="A6" s="207" t="str">
        <f>HLOOKUP(INDICE!$F$2,Nombres!$C$3:$D$636,13,FALSE)</f>
        <v>South America</v>
      </c>
      <c r="B6" s="25">
        <v>1204</v>
      </c>
      <c r="C6" s="25">
        <v>1202</v>
      </c>
      <c r="D6" s="25">
        <v>1196</v>
      </c>
      <c r="E6" s="25">
        <v>1192</v>
      </c>
      <c r="F6" s="25">
        <v>1149</v>
      </c>
      <c r="G6" s="25">
        <v>0</v>
      </c>
      <c r="H6" s="25">
        <v>0</v>
      </c>
      <c r="I6" s="25">
        <v>0</v>
      </c>
      <c r="J6" s="75"/>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row>
    <row r="7" spans="1:42">
      <c r="A7" s="208" t="str">
        <f>HLOOKUP(INDICE!$F$2,Nombres!$C$3:$D$636,14,FALSE)</f>
        <v>Argentina</v>
      </c>
      <c r="B7" s="209">
        <v>235</v>
      </c>
      <c r="C7" s="209">
        <v>234</v>
      </c>
      <c r="D7" s="209">
        <v>234</v>
      </c>
      <c r="E7" s="209">
        <v>234</v>
      </c>
      <c r="F7" s="209">
        <v>234</v>
      </c>
      <c r="G7" s="209">
        <v>0</v>
      </c>
      <c r="H7" s="209">
        <v>0</v>
      </c>
      <c r="I7" s="209">
        <v>0</v>
      </c>
      <c r="J7" s="75"/>
      <c r="K7" s="63"/>
      <c r="L7" s="155"/>
      <c r="M7" s="155"/>
      <c r="N7" s="210"/>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row>
    <row r="8" spans="1:42">
      <c r="A8" s="208" t="str">
        <f>HLOOKUP(INDICE!$F$2,Nombres!$C$3:$D$636,15,FALSE)</f>
        <v>Chile</v>
      </c>
      <c r="B8" s="77">
        <v>8</v>
      </c>
      <c r="C8" s="77">
        <v>8</v>
      </c>
      <c r="D8" s="77">
        <v>8</v>
      </c>
      <c r="E8" s="77">
        <v>8</v>
      </c>
      <c r="F8" s="77">
        <v>8</v>
      </c>
      <c r="G8" s="77">
        <v>0</v>
      </c>
      <c r="H8" s="77">
        <v>0</v>
      </c>
      <c r="I8" s="77">
        <v>0</v>
      </c>
      <c r="J8" s="75"/>
      <c r="K8" s="63"/>
      <c r="L8" s="155"/>
      <c r="M8" s="155"/>
      <c r="N8" s="21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row>
    <row r="9" spans="1:42">
      <c r="A9" s="211" t="str">
        <f>HLOOKUP(INDICE!$F$2,Nombres!$C$3:$D$636,16,FALSE)</f>
        <v>Colombia</v>
      </c>
      <c r="B9" s="77">
        <v>450</v>
      </c>
      <c r="C9" s="77">
        <v>450</v>
      </c>
      <c r="D9" s="77">
        <v>444</v>
      </c>
      <c r="E9" s="77">
        <v>443</v>
      </c>
      <c r="F9" s="77">
        <v>403</v>
      </c>
      <c r="G9" s="77">
        <v>0</v>
      </c>
      <c r="H9" s="77">
        <v>0</v>
      </c>
      <c r="I9" s="77">
        <v>0</v>
      </c>
      <c r="J9" s="75"/>
      <c r="K9" s="155"/>
      <c r="L9" s="155"/>
      <c r="M9" s="155"/>
      <c r="N9" s="21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row>
    <row r="10" spans="1:42">
      <c r="A10" s="211" t="str">
        <f>HLOOKUP(INDICE!$F$2,Nombres!$C$3:$D$636,17,FALSE)</f>
        <v>Peru</v>
      </c>
      <c r="B10" s="77">
        <v>277</v>
      </c>
      <c r="C10" s="77">
        <v>277</v>
      </c>
      <c r="D10" s="77">
        <v>278</v>
      </c>
      <c r="E10" s="77">
        <v>277</v>
      </c>
      <c r="F10" s="77">
        <v>274</v>
      </c>
      <c r="G10" s="77">
        <v>0</v>
      </c>
      <c r="H10" s="77">
        <v>0</v>
      </c>
      <c r="I10" s="77">
        <v>0</v>
      </c>
      <c r="J10" s="75"/>
      <c r="K10" s="155"/>
      <c r="L10" s="155"/>
      <c r="M10" s="155"/>
      <c r="N10" s="21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row>
    <row r="11" spans="1:42">
      <c r="A11" s="211" t="str">
        <f>HLOOKUP(INDICE!$F$2,Nombres!$C$3:$D$636,89,FALSE)</f>
        <v>Resto of South América</v>
      </c>
      <c r="B11" s="77">
        <v>234</v>
      </c>
      <c r="C11" s="77">
        <v>233</v>
      </c>
      <c r="D11" s="77">
        <v>232</v>
      </c>
      <c r="E11" s="77">
        <v>230</v>
      </c>
      <c r="F11" s="77">
        <v>230</v>
      </c>
      <c r="G11" s="77">
        <v>0</v>
      </c>
      <c r="H11" s="77">
        <v>0</v>
      </c>
      <c r="I11" s="77">
        <v>0</v>
      </c>
      <c r="J11" s="75"/>
      <c r="K11" s="155"/>
      <c r="L11" s="155"/>
      <c r="M11" s="155"/>
      <c r="N11" s="21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row>
    <row r="12" spans="1:42">
      <c r="A12" s="207" t="str">
        <f>HLOOKUP(INDICE!$F$2,Nombres!$C$3:$D$636,279,FALSE)</f>
        <v>Rest of geographies</v>
      </c>
      <c r="B12" s="25">
        <v>31</v>
      </c>
      <c r="C12" s="25">
        <v>31</v>
      </c>
      <c r="D12" s="25">
        <v>32</v>
      </c>
      <c r="E12" s="25">
        <v>31</v>
      </c>
      <c r="F12" s="25">
        <v>31</v>
      </c>
      <c r="G12" s="25">
        <v>0</v>
      </c>
      <c r="H12" s="25">
        <v>0</v>
      </c>
      <c r="I12" s="25">
        <v>0</v>
      </c>
      <c r="J12" s="75"/>
      <c r="K12" s="155"/>
      <c r="L12" s="155"/>
      <c r="M12" s="155"/>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row>
    <row r="13" spans="1:42">
      <c r="A13" s="207" t="s">
        <v>558</v>
      </c>
      <c r="B13" s="25">
        <f t="shared" ref="B13:I13" si="0">+SUM(B3:B5,B7:B12)</f>
        <v>5733</v>
      </c>
      <c r="C13" s="25">
        <f t="shared" si="0"/>
        <v>5668</v>
      </c>
      <c r="D13" s="25">
        <f t="shared" si="0"/>
        <v>5657</v>
      </c>
      <c r="E13" s="25">
        <f t="shared" si="0"/>
        <v>5642</v>
      </c>
      <c r="F13" s="25">
        <f t="shared" si="0"/>
        <v>5565</v>
      </c>
      <c r="G13" s="25">
        <f t="shared" si="0"/>
        <v>0</v>
      </c>
      <c r="H13" s="25">
        <f t="shared" si="0"/>
        <v>0</v>
      </c>
      <c r="I13" s="25">
        <f t="shared" si="0"/>
        <v>0</v>
      </c>
      <c r="J13" s="75"/>
      <c r="K13" s="155"/>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row>
    <row r="14" spans="1:42">
      <c r="A14" s="212"/>
      <c r="B14" s="213">
        <v>0</v>
      </c>
      <c r="C14" s="213">
        <v>0</v>
      </c>
      <c r="D14" s="213">
        <v>0</v>
      </c>
      <c r="E14" s="213">
        <v>0</v>
      </c>
      <c r="F14" s="213">
        <v>0</v>
      </c>
      <c r="G14" s="213">
        <v>0</v>
      </c>
      <c r="H14" s="213">
        <v>0</v>
      </c>
      <c r="I14" s="213">
        <v>0</v>
      </c>
      <c r="J14" s="63"/>
      <c r="K14" s="155"/>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row>
    <row r="15" spans="1:42">
      <c r="A15" s="212"/>
      <c r="B15" s="213"/>
      <c r="C15" s="213"/>
      <c r="D15" s="213"/>
      <c r="E15" s="213"/>
      <c r="F15" s="213"/>
      <c r="G15" s="213"/>
      <c r="H15" s="213"/>
      <c r="I15" s="213"/>
      <c r="J15" s="63"/>
      <c r="K15" s="155"/>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row>
    <row r="16" spans="1:42" ht="17">
      <c r="A16" s="203" t="str">
        <f>HLOOKUP(INDICE!$F$2,Nombres!$C$3:$D$636,124,FALSE)</f>
        <v>Employees</v>
      </c>
      <c r="B16" s="204"/>
      <c r="C16" s="204"/>
      <c r="D16" s="205"/>
      <c r="E16" s="205"/>
      <c r="F16" s="205"/>
      <c r="G16" s="205"/>
      <c r="H16" s="205"/>
      <c r="I16" s="205"/>
      <c r="J16" s="214"/>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row>
    <row r="17" spans="1:42" ht="33.75" customHeight="1">
      <c r="A17" s="206"/>
      <c r="B17" s="139">
        <f t="shared" ref="B17:I17" si="1">+B$2</f>
        <v>45747</v>
      </c>
      <c r="C17" s="139">
        <f t="shared" si="1"/>
        <v>45838</v>
      </c>
      <c r="D17" s="139">
        <f t="shared" si="1"/>
        <v>45930</v>
      </c>
      <c r="E17" s="139">
        <f t="shared" si="1"/>
        <v>46022</v>
      </c>
      <c r="F17" s="139">
        <f t="shared" si="1"/>
        <v>46112</v>
      </c>
      <c r="G17" s="139">
        <f t="shared" si="1"/>
        <v>46203</v>
      </c>
      <c r="H17" s="139">
        <f t="shared" si="1"/>
        <v>46295</v>
      </c>
      <c r="I17" s="139">
        <f t="shared" si="1"/>
        <v>46387</v>
      </c>
      <c r="J17" s="214"/>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row>
    <row r="18" spans="1:42">
      <c r="A18" s="207" t="str">
        <f>HLOOKUP(INDICE!$F$2,Nombres!$C$3:$D$636,7,FALSE)</f>
        <v>Spain</v>
      </c>
      <c r="B18" s="25">
        <v>29085</v>
      </c>
      <c r="C18" s="25">
        <v>29265</v>
      </c>
      <c r="D18" s="25">
        <v>29417</v>
      </c>
      <c r="E18" s="25">
        <v>29479</v>
      </c>
      <c r="F18" s="25">
        <v>29456</v>
      </c>
      <c r="G18" s="25">
        <v>0</v>
      </c>
      <c r="H18" s="25">
        <v>0</v>
      </c>
      <c r="I18" s="25">
        <v>0</v>
      </c>
      <c r="J18" s="155"/>
      <c r="K18" s="25"/>
      <c r="L18" s="63"/>
      <c r="M18" s="75"/>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row>
    <row r="19" spans="1:42">
      <c r="A19" s="207" t="str">
        <f>HLOOKUP(INDICE!$F$2,Nombres!$C$3:$D$636,11,FALSE)</f>
        <v>Mexico</v>
      </c>
      <c r="B19" s="25">
        <v>47329</v>
      </c>
      <c r="C19" s="25">
        <v>47564</v>
      </c>
      <c r="D19" s="25">
        <v>47682</v>
      </c>
      <c r="E19" s="25">
        <v>47745</v>
      </c>
      <c r="F19" s="25">
        <v>47667</v>
      </c>
      <c r="G19" s="25">
        <v>0</v>
      </c>
      <c r="H19" s="25">
        <v>0</v>
      </c>
      <c r="I19" s="25">
        <v>0</v>
      </c>
      <c r="J19" s="155"/>
      <c r="K19" s="25"/>
      <c r="L19" s="63"/>
      <c r="M19" s="75"/>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row>
    <row r="20" spans="1:42">
      <c r="A20" s="207" t="str">
        <f>HLOOKUP(INDICE!$F$2,Nombres!$C$3:$D$636,12,FALSE)</f>
        <v xml:space="preserve">Turkey </v>
      </c>
      <c r="B20" s="25">
        <v>22724</v>
      </c>
      <c r="C20" s="25">
        <v>22985</v>
      </c>
      <c r="D20" s="25">
        <v>23418</v>
      </c>
      <c r="E20" s="25">
        <v>23311</v>
      </c>
      <c r="F20" s="25">
        <v>23376</v>
      </c>
      <c r="G20" s="25">
        <v>0</v>
      </c>
      <c r="H20" s="25">
        <v>0</v>
      </c>
      <c r="I20" s="25">
        <v>0</v>
      </c>
      <c r="J20" s="155"/>
      <c r="K20" s="25"/>
      <c r="L20" s="63"/>
      <c r="M20" s="75"/>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row>
    <row r="21" spans="1:42">
      <c r="A21" s="207" t="str">
        <f>HLOOKUP(INDICE!$F$2,Nombres!$C$3:$D$636,13,FALSE)</f>
        <v>South America</v>
      </c>
      <c r="B21" s="25">
        <v>23769</v>
      </c>
      <c r="C21" s="25">
        <v>24114</v>
      </c>
      <c r="D21" s="25">
        <v>24390</v>
      </c>
      <c r="E21" s="25">
        <v>24511</v>
      </c>
      <c r="F21" s="25">
        <v>24152</v>
      </c>
      <c r="G21" s="25">
        <v>0</v>
      </c>
      <c r="H21" s="25">
        <v>0</v>
      </c>
      <c r="I21" s="25">
        <v>0</v>
      </c>
      <c r="J21" s="75"/>
      <c r="K21" s="77"/>
      <c r="L21" s="63"/>
      <c r="M21" s="75"/>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row>
    <row r="22" spans="1:42">
      <c r="A22" s="208" t="str">
        <f>HLOOKUP(INDICE!$F$2,Nombres!$C$3:$D$636,14,FALSE)</f>
        <v>Argentina</v>
      </c>
      <c r="B22" s="77">
        <v>6286</v>
      </c>
      <c r="C22" s="77">
        <v>6432</v>
      </c>
      <c r="D22" s="77">
        <v>6596</v>
      </c>
      <c r="E22" s="77">
        <v>6739</v>
      </c>
      <c r="F22" s="77">
        <v>6567</v>
      </c>
      <c r="G22" s="77">
        <v>0</v>
      </c>
      <c r="H22" s="77">
        <v>0</v>
      </c>
      <c r="I22" s="77">
        <v>0</v>
      </c>
      <c r="J22" s="75"/>
      <c r="K22" s="77"/>
      <c r="L22" s="155"/>
      <c r="M22" s="75"/>
      <c r="N22" s="215"/>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row>
    <row r="23" spans="1:42">
      <c r="A23" s="208" t="str">
        <f>HLOOKUP(INDICE!$F$2,Nombres!$C$3:$D$636,15,FALSE)</f>
        <v>Chile</v>
      </c>
      <c r="B23" s="77">
        <v>816</v>
      </c>
      <c r="C23" s="77">
        <v>839</v>
      </c>
      <c r="D23" s="77">
        <v>874</v>
      </c>
      <c r="E23" s="77">
        <v>862</v>
      </c>
      <c r="F23" s="77">
        <v>853</v>
      </c>
      <c r="G23" s="77">
        <v>0</v>
      </c>
      <c r="H23" s="77">
        <v>0</v>
      </c>
      <c r="I23" s="77">
        <v>0</v>
      </c>
      <c r="J23" s="75"/>
      <c r="K23" s="77"/>
      <c r="L23" s="155"/>
      <c r="M23" s="75"/>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row>
    <row r="24" spans="1:42">
      <c r="A24" s="211" t="str">
        <f>HLOOKUP(INDICE!$F$2,Nombres!$C$3:$D$636,16,FALSE)</f>
        <v>Colombia</v>
      </c>
      <c r="B24" s="77">
        <v>6512</v>
      </c>
      <c r="C24" s="77">
        <v>6575</v>
      </c>
      <c r="D24" s="77">
        <v>6574</v>
      </c>
      <c r="E24" s="77">
        <v>6516</v>
      </c>
      <c r="F24" s="77">
        <v>6409</v>
      </c>
      <c r="G24" s="77">
        <v>0</v>
      </c>
      <c r="H24" s="77">
        <v>0</v>
      </c>
      <c r="I24" s="77">
        <v>0</v>
      </c>
      <c r="J24" s="75"/>
      <c r="K24" s="77"/>
      <c r="L24" s="155"/>
      <c r="M24" s="75"/>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row>
    <row r="25" spans="1:42">
      <c r="A25" s="211" t="str">
        <f>HLOOKUP(INDICE!$F$2,Nombres!$C$3:$D$636,17,FALSE)</f>
        <v>Peru</v>
      </c>
      <c r="B25" s="77">
        <v>7679</v>
      </c>
      <c r="C25" s="77">
        <v>7765</v>
      </c>
      <c r="D25" s="77">
        <v>7825</v>
      </c>
      <c r="E25" s="77">
        <v>7864</v>
      </c>
      <c r="F25" s="77">
        <v>7772</v>
      </c>
      <c r="G25" s="77">
        <v>0</v>
      </c>
      <c r="H25" s="77">
        <v>0</v>
      </c>
      <c r="I25" s="77">
        <v>0</v>
      </c>
      <c r="J25" s="75"/>
      <c r="K25" s="77"/>
      <c r="L25" s="155"/>
      <c r="M25" s="75"/>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row>
    <row r="26" spans="1:42">
      <c r="A26" s="211" t="str">
        <f>HLOOKUP(INDICE!$F$2,Nombres!$C$3:$D$636,89,FALSE)</f>
        <v>Resto of South América</v>
      </c>
      <c r="B26" s="77">
        <v>2476</v>
      </c>
      <c r="C26" s="77">
        <v>2503</v>
      </c>
      <c r="D26" s="77">
        <v>2521</v>
      </c>
      <c r="E26" s="77">
        <v>2530</v>
      </c>
      <c r="F26" s="77">
        <v>2551</v>
      </c>
      <c r="G26" s="77">
        <v>0</v>
      </c>
      <c r="H26" s="77">
        <v>0</v>
      </c>
      <c r="I26" s="77">
        <v>0</v>
      </c>
      <c r="J26" s="75"/>
      <c r="K26" s="77"/>
      <c r="L26" s="155"/>
      <c r="M26" s="75"/>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row>
    <row r="27" spans="1:42">
      <c r="A27" s="207" t="str">
        <f>HLOOKUP(INDICE!$F$2,Nombres!$C$3:$D$636,279,FALSE)</f>
        <v>Rest of geographies</v>
      </c>
      <c r="B27" s="25">
        <v>1834</v>
      </c>
      <c r="C27" s="25">
        <v>1936</v>
      </c>
      <c r="D27" s="25">
        <v>2090</v>
      </c>
      <c r="E27" s="25">
        <v>2128</v>
      </c>
      <c r="F27" s="25">
        <v>2226</v>
      </c>
      <c r="G27" s="25">
        <v>0</v>
      </c>
      <c r="H27" s="25">
        <v>0</v>
      </c>
      <c r="I27" s="25">
        <v>0</v>
      </c>
      <c r="J27" s="155"/>
      <c r="K27" s="77"/>
      <c r="L27" s="63"/>
      <c r="M27" s="75"/>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row>
    <row r="28" spans="1:42">
      <c r="A28" s="207" t="s">
        <v>558</v>
      </c>
      <c r="B28" s="25">
        <f t="shared" ref="B28:I28" si="2">+SUM(B18:B20,B22:B27)</f>
        <v>124741</v>
      </c>
      <c r="C28" s="25">
        <f t="shared" si="2"/>
        <v>125864</v>
      </c>
      <c r="D28" s="25">
        <f t="shared" si="2"/>
        <v>126997</v>
      </c>
      <c r="E28" s="25">
        <f t="shared" si="2"/>
        <v>127174</v>
      </c>
      <c r="F28" s="25">
        <f t="shared" si="2"/>
        <v>126877</v>
      </c>
      <c r="G28" s="25">
        <f t="shared" si="2"/>
        <v>0</v>
      </c>
      <c r="H28" s="25">
        <f t="shared" si="2"/>
        <v>0</v>
      </c>
      <c r="I28" s="25">
        <f t="shared" si="2"/>
        <v>0</v>
      </c>
      <c r="J28" s="75"/>
      <c r="K28" s="63"/>
      <c r="L28" s="63"/>
      <c r="M28" s="75"/>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c r="A29" s="212"/>
      <c r="B29" s="213">
        <v>0</v>
      </c>
      <c r="C29" s="213">
        <v>0</v>
      </c>
      <c r="D29" s="213">
        <v>0</v>
      </c>
      <c r="E29" s="213">
        <v>0</v>
      </c>
      <c r="F29" s="213">
        <v>0</v>
      </c>
      <c r="G29" s="213">
        <v>0</v>
      </c>
      <c r="H29" s="213">
        <v>0</v>
      </c>
      <c r="I29" s="213">
        <v>0</v>
      </c>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c r="A30" s="212"/>
      <c r="B30" s="213"/>
      <c r="C30" s="213"/>
      <c r="D30" s="213"/>
      <c r="E30" s="213"/>
      <c r="F30" s="213"/>
      <c r="G30" s="213"/>
      <c r="H30" s="213"/>
      <c r="I30" s="21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ht="17">
      <c r="A31" s="203" t="str">
        <f>HLOOKUP(INDICE!$F$2,Nombres!$C$3:$D$636,125,FALSE)</f>
        <v>ATM´s</v>
      </c>
      <c r="B31" s="204"/>
      <c r="C31" s="204"/>
      <c r="D31" s="205"/>
      <c r="E31" s="205"/>
      <c r="F31" s="205"/>
      <c r="G31" s="205"/>
      <c r="H31" s="205"/>
      <c r="I31" s="205"/>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ht="30" customHeight="1">
      <c r="A32" s="188"/>
      <c r="B32" s="139">
        <f t="shared" ref="B32:I32" si="3">+B$2</f>
        <v>45747</v>
      </c>
      <c r="C32" s="139">
        <f t="shared" si="3"/>
        <v>45838</v>
      </c>
      <c r="D32" s="139">
        <f t="shared" si="3"/>
        <v>45930</v>
      </c>
      <c r="E32" s="139">
        <f t="shared" si="3"/>
        <v>46022</v>
      </c>
      <c r="F32" s="139">
        <f t="shared" si="3"/>
        <v>46112</v>
      </c>
      <c r="G32" s="139">
        <f t="shared" si="3"/>
        <v>46203</v>
      </c>
      <c r="H32" s="139">
        <f t="shared" si="3"/>
        <v>46295</v>
      </c>
      <c r="I32" s="139">
        <f t="shared" si="3"/>
        <v>46387</v>
      </c>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row>
    <row r="33" spans="1:42">
      <c r="A33" s="207" t="str">
        <f>HLOOKUP(INDICE!$F$2,Nombres!$C$3:$D$636,7,FALSE)</f>
        <v>Spain</v>
      </c>
      <c r="B33" s="25">
        <v>4642</v>
      </c>
      <c r="C33" s="25">
        <v>4633</v>
      </c>
      <c r="D33" s="25">
        <v>4634</v>
      </c>
      <c r="E33" s="25">
        <v>4620</v>
      </c>
      <c r="F33" s="25">
        <v>4618</v>
      </c>
      <c r="G33" s="25">
        <v>0</v>
      </c>
      <c r="H33" s="25">
        <v>0</v>
      </c>
      <c r="I33" s="25">
        <v>0</v>
      </c>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row>
    <row r="34" spans="1:42">
      <c r="A34" s="207" t="str">
        <f>HLOOKUP(INDICE!$F$2,Nombres!$C$3:$D$636,11,FALSE)</f>
        <v>Mexico</v>
      </c>
      <c r="B34" s="25">
        <v>14508</v>
      </c>
      <c r="C34" s="25">
        <v>14277</v>
      </c>
      <c r="D34" s="25">
        <v>14330</v>
      </c>
      <c r="E34" s="25">
        <v>14381</v>
      </c>
      <c r="F34" s="25">
        <v>14222</v>
      </c>
      <c r="G34" s="25">
        <v>0</v>
      </c>
      <c r="H34" s="25">
        <v>0</v>
      </c>
      <c r="I34" s="25">
        <v>0</v>
      </c>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row>
    <row r="35" spans="1:42">
      <c r="A35" s="207" t="str">
        <f>HLOOKUP(INDICE!$F$2,Nombres!$C$3:$D$636,12,FALSE)</f>
        <v xml:space="preserve">Turkey </v>
      </c>
      <c r="B35" s="25">
        <v>6120</v>
      </c>
      <c r="C35" s="25">
        <v>6238</v>
      </c>
      <c r="D35" s="25">
        <v>6388</v>
      </c>
      <c r="E35" s="25">
        <v>6766</v>
      </c>
      <c r="F35" s="25">
        <v>6745</v>
      </c>
      <c r="G35" s="25">
        <v>0</v>
      </c>
      <c r="H35" s="25">
        <v>0</v>
      </c>
      <c r="I35" s="25">
        <v>0</v>
      </c>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row>
    <row r="36" spans="1:42">
      <c r="A36" s="207" t="str">
        <f>HLOOKUP(INDICE!$F$2,Nombres!$C$3:$D$636,13,FALSE)</f>
        <v>South America</v>
      </c>
      <c r="B36" s="25">
        <v>5192</v>
      </c>
      <c r="C36" s="25">
        <v>5159</v>
      </c>
      <c r="D36" s="25">
        <v>5228</v>
      </c>
      <c r="E36" s="25">
        <v>5227</v>
      </c>
      <c r="F36" s="25">
        <v>5161</v>
      </c>
      <c r="G36" s="25">
        <v>0</v>
      </c>
      <c r="H36" s="25">
        <v>0</v>
      </c>
      <c r="I36" s="25">
        <v>0</v>
      </c>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row>
    <row r="37" spans="1:42">
      <c r="A37" s="208" t="str">
        <f>HLOOKUP(INDICE!$F$2,Nombres!$C$3:$D$636,14,FALSE)</f>
        <v>Argentina</v>
      </c>
      <c r="B37" s="77">
        <v>1648</v>
      </c>
      <c r="C37" s="77">
        <v>1643</v>
      </c>
      <c r="D37" s="77">
        <v>1651</v>
      </c>
      <c r="E37" s="77">
        <v>1651</v>
      </c>
      <c r="F37" s="77">
        <v>1650</v>
      </c>
      <c r="G37" s="77">
        <v>0</v>
      </c>
      <c r="H37" s="77">
        <v>0</v>
      </c>
      <c r="I37" s="77">
        <v>0</v>
      </c>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row>
    <row r="38" spans="1:42" hidden="1">
      <c r="A38" s="208" t="str">
        <f>HLOOKUP(INDICE!$F$2,Nombres!$C$3:$D$636,15,FALSE)</f>
        <v>Chile</v>
      </c>
      <c r="B38" s="77">
        <v>0</v>
      </c>
      <c r="C38" s="77">
        <v>0</v>
      </c>
      <c r="D38" s="77">
        <v>0</v>
      </c>
      <c r="E38" s="77">
        <v>0</v>
      </c>
      <c r="F38" s="77">
        <v>0</v>
      </c>
      <c r="G38" s="77">
        <v>0</v>
      </c>
      <c r="H38" s="77">
        <v>0</v>
      </c>
      <c r="I38" s="77">
        <v>0</v>
      </c>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row>
    <row r="39" spans="1:42">
      <c r="A39" s="211" t="str">
        <f>HLOOKUP(INDICE!$F$2,Nombres!$C$3:$D$636,16,FALSE)</f>
        <v>Colombia</v>
      </c>
      <c r="B39" s="77">
        <v>1462</v>
      </c>
      <c r="C39" s="77">
        <v>1466</v>
      </c>
      <c r="D39" s="77">
        <v>1473</v>
      </c>
      <c r="E39" s="77">
        <v>1411</v>
      </c>
      <c r="F39" s="77">
        <v>1371</v>
      </c>
      <c r="G39" s="77">
        <v>0</v>
      </c>
      <c r="H39" s="77">
        <v>0</v>
      </c>
      <c r="I39" s="77">
        <v>0</v>
      </c>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row>
    <row r="40" spans="1:42">
      <c r="A40" s="211" t="str">
        <f>HLOOKUP(INDICE!$F$2,Nombres!$C$3:$D$636,17,FALSE)</f>
        <v>Peru</v>
      </c>
      <c r="B40" s="77">
        <v>1949</v>
      </c>
      <c r="C40" s="77">
        <v>1939</v>
      </c>
      <c r="D40" s="77">
        <v>1962</v>
      </c>
      <c r="E40" s="77">
        <v>1992</v>
      </c>
      <c r="F40" s="77">
        <v>1927</v>
      </c>
      <c r="G40" s="77">
        <v>0</v>
      </c>
      <c r="H40" s="77">
        <v>0</v>
      </c>
      <c r="I40" s="77">
        <v>0</v>
      </c>
      <c r="J40" s="63"/>
      <c r="K40" s="63"/>
      <c r="L40" s="214"/>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row>
    <row r="41" spans="1:42">
      <c r="A41" s="211" t="str">
        <f>HLOOKUP(INDICE!$F$2,Nombres!$C$3:$D$636,89,FALSE)</f>
        <v>Resto of South América</v>
      </c>
      <c r="B41" s="77">
        <v>133</v>
      </c>
      <c r="C41" s="77">
        <v>111</v>
      </c>
      <c r="D41" s="77">
        <v>142</v>
      </c>
      <c r="E41" s="77">
        <v>173</v>
      </c>
      <c r="F41" s="77">
        <v>213</v>
      </c>
      <c r="G41" s="77">
        <v>0</v>
      </c>
      <c r="H41" s="77">
        <v>0</v>
      </c>
      <c r="I41" s="77">
        <v>0</v>
      </c>
      <c r="J41" s="63"/>
      <c r="K41" s="63"/>
      <c r="L41" s="214"/>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row>
    <row r="42" spans="1:42">
      <c r="A42" s="207" t="str">
        <f>HLOOKUP(INDICE!$F$2,Nombres!$C$3:$D$636,279,FALSE)</f>
        <v>Rest of geographies</v>
      </c>
      <c r="B42" s="25">
        <v>22</v>
      </c>
      <c r="C42" s="25">
        <v>21</v>
      </c>
      <c r="D42" s="25">
        <v>20</v>
      </c>
      <c r="E42" s="25">
        <v>21</v>
      </c>
      <c r="F42" s="25">
        <v>22</v>
      </c>
      <c r="G42" s="25">
        <v>0</v>
      </c>
      <c r="H42" s="25">
        <v>0</v>
      </c>
      <c r="I42" s="25">
        <v>0</v>
      </c>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row>
    <row r="43" spans="1:42">
      <c r="A43" s="207" t="s">
        <v>558</v>
      </c>
      <c r="B43" s="25">
        <f t="shared" ref="B43:I43" si="4">+SUM(B33:B35,B37:B42)</f>
        <v>30484</v>
      </c>
      <c r="C43" s="25">
        <f t="shared" si="4"/>
        <v>30328</v>
      </c>
      <c r="D43" s="25">
        <f t="shared" si="4"/>
        <v>30600</v>
      </c>
      <c r="E43" s="25">
        <f t="shared" si="4"/>
        <v>31015</v>
      </c>
      <c r="F43" s="25">
        <f t="shared" si="4"/>
        <v>30768</v>
      </c>
      <c r="G43" s="25">
        <f t="shared" si="4"/>
        <v>0</v>
      </c>
      <c r="H43" s="25">
        <f t="shared" si="4"/>
        <v>0</v>
      </c>
      <c r="I43" s="25">
        <f t="shared" si="4"/>
        <v>0</v>
      </c>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row>
    <row r="44" spans="1:42">
      <c r="A44" s="137"/>
      <c r="B44" s="213">
        <v>0</v>
      </c>
      <c r="C44" s="213">
        <v>0</v>
      </c>
      <c r="D44" s="213">
        <v>0</v>
      </c>
      <c r="E44" s="213">
        <v>0</v>
      </c>
      <c r="F44" s="213">
        <v>0</v>
      </c>
      <c r="G44" s="213">
        <v>0</v>
      </c>
      <c r="H44" s="213">
        <v>0</v>
      </c>
      <c r="I44" s="213">
        <v>0</v>
      </c>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row>
    <row r="45" spans="1:42">
      <c r="A45" s="216"/>
      <c r="B45" s="137"/>
      <c r="C45" s="137"/>
      <c r="D45" s="137"/>
      <c r="E45" s="137"/>
      <c r="F45" s="137"/>
      <c r="G45" s="137"/>
      <c r="H45" s="137"/>
      <c r="I45" s="137"/>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row>
    <row r="46" spans="1:42">
      <c r="A46" s="216"/>
      <c r="B46" s="137"/>
      <c r="C46" s="137"/>
      <c r="D46" s="137"/>
      <c r="E46" s="137"/>
      <c r="F46" s="137"/>
      <c r="G46" s="137"/>
      <c r="H46" s="137"/>
      <c r="I46" s="137"/>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row>
    <row r="47" spans="1:42">
      <c r="A47" s="137"/>
      <c r="B47" s="137"/>
      <c r="C47" s="137"/>
      <c r="D47" s="137"/>
      <c r="E47" s="137"/>
      <c r="F47" s="137"/>
      <c r="G47" s="137"/>
      <c r="H47" s="137"/>
      <c r="I47" s="137"/>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row>
    <row r="48" spans="1:42">
      <c r="A48" s="137"/>
      <c r="B48" s="137"/>
      <c r="C48" s="137"/>
      <c r="D48" s="137"/>
      <c r="E48" s="137"/>
      <c r="F48" s="137"/>
      <c r="G48" s="137"/>
      <c r="H48" s="137"/>
      <c r="I48" s="137"/>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row>
    <row r="49" spans="1:42">
      <c r="A49" s="137"/>
      <c r="B49" s="137"/>
      <c r="C49" s="137"/>
      <c r="D49" s="137"/>
      <c r="E49" s="137"/>
      <c r="F49" s="137"/>
      <c r="G49" s="137"/>
      <c r="H49" s="137"/>
      <c r="I49" s="137"/>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row>
    <row r="50" spans="1:42">
      <c r="A50" s="137"/>
      <c r="B50" s="137"/>
      <c r="C50" s="137"/>
      <c r="D50" s="137"/>
      <c r="E50" s="137"/>
      <c r="F50" s="137"/>
      <c r="G50" s="137"/>
      <c r="H50" s="137"/>
      <c r="I50" s="137"/>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row>
    <row r="51" spans="1:42">
      <c r="A51" s="137"/>
      <c r="B51" s="137"/>
      <c r="C51" s="137"/>
      <c r="D51" s="137"/>
      <c r="E51" s="137"/>
      <c r="F51" s="137"/>
      <c r="G51" s="137"/>
      <c r="H51" s="137"/>
      <c r="I51" s="137"/>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row>
    <row r="52" spans="1:42">
      <c r="A52" s="137"/>
      <c r="B52" s="137"/>
      <c r="C52" s="137"/>
      <c r="D52" s="137"/>
      <c r="E52" s="137"/>
      <c r="F52" s="137"/>
      <c r="G52" s="137"/>
      <c r="H52" s="137"/>
      <c r="I52" s="137"/>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row>
    <row r="53" spans="1:42">
      <c r="A53" s="137"/>
      <c r="B53" s="137"/>
      <c r="C53" s="137"/>
      <c r="D53" s="137"/>
      <c r="E53" s="137"/>
      <c r="F53" s="137"/>
      <c r="G53" s="137"/>
      <c r="H53" s="137"/>
      <c r="I53" s="137"/>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row>
    <row r="54" spans="1:42">
      <c r="A54" s="137"/>
      <c r="B54" s="137"/>
      <c r="C54" s="137"/>
      <c r="D54" s="137"/>
      <c r="E54" s="137"/>
      <c r="F54" s="137"/>
      <c r="G54" s="137"/>
      <c r="H54" s="137"/>
      <c r="I54" s="137"/>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row>
    <row r="55" spans="1:42">
      <c r="A55" s="137"/>
      <c r="B55" s="137"/>
      <c r="C55" s="137"/>
      <c r="D55" s="137"/>
      <c r="E55" s="137"/>
      <c r="F55" s="137"/>
      <c r="G55" s="137"/>
      <c r="H55" s="137"/>
      <c r="I55" s="137"/>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row>
    <row r="56" spans="1:42">
      <c r="A56" s="137"/>
      <c r="B56" s="137"/>
      <c r="C56" s="137"/>
      <c r="D56" s="137"/>
      <c r="E56" s="137"/>
      <c r="F56" s="137"/>
      <c r="G56" s="137"/>
      <c r="H56" s="137"/>
      <c r="I56" s="137"/>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row>
    <row r="57" spans="1:42">
      <c r="A57" s="137"/>
      <c r="B57" s="137"/>
      <c r="C57" s="137"/>
      <c r="D57" s="137"/>
      <c r="E57" s="137"/>
      <c r="F57" s="137"/>
      <c r="G57" s="137"/>
      <c r="H57" s="137"/>
      <c r="I57" s="137"/>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row>
    <row r="58" spans="1:4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row>
    <row r="59" spans="1:4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row>
    <row r="60" spans="1:4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row>
    <row r="61" spans="1:4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row>
    <row r="62" spans="1:4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row>
    <row r="63" spans="1:4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row>
    <row r="64" spans="1:4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row>
    <row r="65" spans="1:4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row>
    <row r="66" spans="1:4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row>
    <row r="67" spans="1:42" s="63" customFormat="1"/>
    <row r="68" spans="1:42" s="63" customFormat="1"/>
    <row r="69" spans="1:42" s="63" customFormat="1"/>
    <row r="70" spans="1:42" s="63" customFormat="1"/>
    <row r="71" spans="1:42" s="63" customFormat="1"/>
    <row r="72" spans="1:42" s="63" customFormat="1"/>
    <row r="73" spans="1:42" s="63" customFormat="1"/>
    <row r="74" spans="1:42" s="63" customFormat="1"/>
    <row r="75" spans="1:42" s="63" customFormat="1"/>
    <row r="76" spans="1:42" s="63" customFormat="1"/>
    <row r="77" spans="1:42" s="63" customFormat="1"/>
    <row r="78" spans="1:42" s="63" customFormat="1"/>
    <row r="79" spans="1:42" s="63" customFormat="1"/>
    <row r="80" spans="1:42"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row r="106" s="63" customFormat="1"/>
    <row r="107" s="63" customFormat="1"/>
    <row r="108" s="63" customFormat="1"/>
    <row r="109" s="63" customFormat="1"/>
    <row r="110" s="63" customFormat="1"/>
    <row r="111" s="63" customFormat="1"/>
    <row r="112" s="63" customFormat="1"/>
    <row r="113" s="63" customFormat="1"/>
    <row r="114" s="63" customFormat="1"/>
    <row r="115" s="63" customFormat="1"/>
    <row r="116" s="63" customFormat="1"/>
    <row r="117" s="63" customFormat="1"/>
    <row r="118" s="63" customFormat="1"/>
    <row r="119" s="63" customFormat="1"/>
    <row r="120" s="63" customFormat="1"/>
    <row r="121" s="63" customFormat="1"/>
    <row r="122" s="63" customFormat="1"/>
    <row r="123" s="63" customFormat="1"/>
    <row r="124" s="63" customFormat="1"/>
    <row r="125" s="63" customFormat="1"/>
    <row r="126" s="63" customFormat="1"/>
    <row r="127" s="63" customFormat="1"/>
    <row r="128" s="63" customFormat="1"/>
    <row r="129" s="63" customFormat="1"/>
    <row r="130" s="63" customFormat="1"/>
    <row r="131" s="63" customFormat="1"/>
    <row r="132" s="63" customFormat="1"/>
    <row r="133" s="63" customFormat="1"/>
    <row r="134" s="63" customFormat="1"/>
    <row r="135" s="63" customFormat="1"/>
    <row r="136" s="63" customFormat="1"/>
    <row r="137" s="63" customFormat="1"/>
    <row r="138" s="63" customFormat="1"/>
    <row r="139" s="63" customFormat="1"/>
    <row r="140" s="63" customFormat="1"/>
    <row r="141" s="63" customFormat="1"/>
    <row r="142" s="63" customFormat="1"/>
    <row r="143" s="63" customFormat="1"/>
    <row r="144" s="63" customFormat="1"/>
    <row r="145" s="63" customFormat="1"/>
    <row r="146" s="63" customFormat="1"/>
    <row r="147" s="63" customFormat="1"/>
    <row r="148" s="63" customFormat="1"/>
    <row r="149" s="63" customFormat="1"/>
    <row r="150" s="63" customFormat="1"/>
    <row r="151" s="63" customFormat="1"/>
    <row r="152" s="63" customFormat="1"/>
    <row r="153" s="63" customFormat="1"/>
    <row r="154" s="63" customFormat="1"/>
    <row r="155" s="63" customFormat="1"/>
    <row r="156" s="63" customFormat="1"/>
    <row r="157" s="63" customFormat="1"/>
    <row r="158" s="63" customFormat="1"/>
    <row r="159" s="63" customFormat="1"/>
    <row r="160" s="63" customFormat="1"/>
    <row r="161" s="63" customFormat="1"/>
    <row r="162" s="63" customFormat="1"/>
    <row r="163" s="63" customFormat="1"/>
    <row r="164" s="63" customFormat="1"/>
    <row r="165" s="63" customFormat="1"/>
    <row r="166" s="63" customFormat="1"/>
    <row r="167" s="63" customFormat="1"/>
    <row r="168" s="63" customFormat="1"/>
    <row r="169" s="63" customFormat="1"/>
    <row r="170" s="63" customFormat="1"/>
    <row r="171" s="63" customFormat="1"/>
    <row r="172" s="63" customFormat="1"/>
    <row r="173" s="63" customFormat="1"/>
    <row r="174" s="63" customFormat="1"/>
    <row r="175" s="63" customFormat="1"/>
    <row r="176" s="63" customFormat="1"/>
    <row r="177" s="63" customFormat="1"/>
    <row r="178" s="63" customFormat="1"/>
    <row r="179" s="63" customFormat="1"/>
    <row r="180" s="63" customFormat="1"/>
    <row r="181" s="63" customFormat="1"/>
    <row r="182" s="63" customFormat="1"/>
    <row r="183" s="63" customFormat="1"/>
    <row r="184" s="63" customFormat="1"/>
    <row r="185" s="63" customFormat="1"/>
    <row r="186" s="63" customFormat="1"/>
    <row r="187" s="63" customFormat="1"/>
    <row r="188" s="63" customFormat="1"/>
    <row r="189" s="63" customFormat="1"/>
    <row r="190" s="63" customFormat="1"/>
    <row r="191" s="63" customFormat="1"/>
    <row r="192" s="63" customFormat="1"/>
    <row r="193" s="63" customFormat="1"/>
    <row r="194" s="63" customFormat="1"/>
    <row r="195" s="63" customFormat="1"/>
    <row r="196" s="63" customFormat="1"/>
    <row r="197" s="63" customFormat="1"/>
    <row r="198" s="63" customFormat="1"/>
    <row r="199" s="63" customFormat="1"/>
    <row r="200" s="63" customFormat="1"/>
    <row r="201" s="63" customFormat="1"/>
    <row r="202" s="63" customFormat="1"/>
    <row r="203" s="63" customFormat="1"/>
    <row r="204" s="63" customFormat="1"/>
    <row r="205" s="63" customFormat="1"/>
    <row r="206" s="63" customFormat="1"/>
    <row r="207" s="63" customFormat="1"/>
    <row r="208" s="63" customFormat="1"/>
    <row r="209" s="63" customFormat="1"/>
    <row r="210" s="63" customFormat="1"/>
    <row r="211" s="63" customFormat="1"/>
    <row r="212" s="63" customFormat="1"/>
    <row r="213" s="63" customFormat="1"/>
    <row r="214" s="63" customFormat="1"/>
    <row r="215" s="63" customFormat="1"/>
    <row r="216" s="63" customFormat="1"/>
    <row r="217" s="63" customFormat="1"/>
    <row r="218" s="63" customFormat="1"/>
    <row r="219" s="63" customFormat="1"/>
    <row r="220" s="63" customFormat="1"/>
    <row r="221" s="63" customFormat="1"/>
    <row r="222" s="63" customFormat="1"/>
    <row r="223" s="63" customFormat="1"/>
    <row r="224" s="63" customFormat="1"/>
    <row r="225" s="63" customFormat="1"/>
    <row r="226" s="63" customFormat="1"/>
    <row r="227" s="63" customFormat="1"/>
    <row r="228" s="63" customFormat="1"/>
    <row r="229" s="63" customFormat="1"/>
    <row r="230" s="63" customFormat="1"/>
    <row r="231" s="63" customFormat="1"/>
    <row r="232" s="63" customFormat="1"/>
    <row r="233" s="63" customFormat="1"/>
    <row r="234" s="63" customFormat="1"/>
    <row r="235" s="63" customFormat="1"/>
    <row r="236" s="63" customFormat="1"/>
    <row r="237" s="63" customFormat="1"/>
    <row r="238" s="63" customFormat="1"/>
    <row r="239" s="63" customFormat="1"/>
    <row r="240" s="63" customFormat="1"/>
    <row r="241" s="63" customFormat="1"/>
    <row r="242" s="63" customFormat="1"/>
    <row r="243" s="63" customFormat="1"/>
    <row r="244" s="63" customFormat="1"/>
    <row r="245" s="63" customFormat="1"/>
    <row r="246" s="63" customFormat="1"/>
    <row r="247" s="63" customFormat="1"/>
    <row r="248" s="63" customFormat="1"/>
    <row r="249" s="63" customFormat="1"/>
    <row r="250" s="63" customFormat="1"/>
    <row r="251" s="63" customFormat="1"/>
    <row r="252" s="63" customFormat="1"/>
    <row r="253" s="63" customFormat="1"/>
    <row r="254" s="63" customFormat="1"/>
    <row r="255" s="63" customFormat="1"/>
    <row r="256" s="63" customFormat="1"/>
    <row r="257" s="63" customFormat="1"/>
    <row r="258" s="63" customFormat="1"/>
    <row r="259" s="63" customFormat="1"/>
    <row r="260" s="63" customFormat="1"/>
    <row r="261" s="63" customFormat="1"/>
    <row r="262" s="63" customFormat="1"/>
    <row r="263" s="63" customFormat="1"/>
    <row r="264" s="63" customFormat="1"/>
    <row r="265" s="63" customFormat="1"/>
    <row r="266" s="63" customFormat="1"/>
    <row r="267" s="63" customFormat="1"/>
    <row r="268" s="63" customFormat="1"/>
    <row r="269" s="63" customFormat="1"/>
    <row r="270" s="63" customFormat="1"/>
    <row r="271" s="63" customFormat="1"/>
    <row r="272" s="63" customFormat="1"/>
    <row r="273" s="63" customFormat="1"/>
    <row r="274" s="63" customFormat="1"/>
    <row r="275" s="63" customFormat="1"/>
    <row r="276" s="63" customFormat="1"/>
    <row r="277" s="63" customFormat="1"/>
    <row r="278" s="63" customFormat="1"/>
    <row r="279" s="63" customFormat="1"/>
    <row r="280" s="63" customFormat="1"/>
    <row r="281" s="63" customFormat="1"/>
    <row r="282" s="63" customFormat="1"/>
    <row r="283" s="63" customFormat="1"/>
    <row r="284" s="63" customFormat="1"/>
    <row r="285" s="63" customFormat="1"/>
    <row r="286" s="63" customFormat="1"/>
    <row r="287" s="63" customFormat="1"/>
    <row r="288" s="63" customFormat="1"/>
    <row r="289" s="63" customFormat="1"/>
    <row r="290" s="63" customFormat="1"/>
    <row r="291" s="63" customFormat="1"/>
    <row r="292" s="63" customFormat="1"/>
    <row r="293" s="63" customFormat="1"/>
    <row r="294" s="63" customFormat="1"/>
    <row r="295" s="63" customFormat="1"/>
    <row r="296" s="63" customFormat="1"/>
    <row r="297" s="63" customFormat="1"/>
    <row r="298" s="63" customFormat="1"/>
    <row r="299" s="63" customFormat="1"/>
    <row r="300" s="63" customFormat="1"/>
    <row r="301" s="63" customFormat="1"/>
    <row r="302" s="63" customFormat="1"/>
    <row r="303" s="63" customFormat="1"/>
    <row r="304" s="63" customFormat="1"/>
    <row r="305" s="63" customFormat="1"/>
    <row r="306" s="63" customFormat="1"/>
    <row r="307" s="63" customFormat="1"/>
    <row r="308" s="63" customFormat="1"/>
    <row r="309" s="63" customFormat="1"/>
    <row r="310" s="63" customFormat="1"/>
    <row r="311" s="63" customFormat="1"/>
    <row r="312" s="63" customFormat="1"/>
    <row r="313" s="63" customFormat="1"/>
    <row r="314" s="63" customFormat="1"/>
    <row r="315" s="63" customFormat="1"/>
    <row r="316" s="63" customFormat="1"/>
    <row r="317" s="63" customFormat="1"/>
    <row r="318" s="63" customFormat="1"/>
    <row r="319" s="63" customFormat="1"/>
    <row r="320" s="63" customFormat="1"/>
    <row r="321" s="63" customFormat="1"/>
    <row r="322" s="63" customFormat="1"/>
    <row r="323" s="63" customFormat="1"/>
    <row r="324" s="63" customFormat="1"/>
    <row r="325" s="63" customFormat="1"/>
    <row r="326" s="63" customFormat="1"/>
    <row r="327" s="63" customFormat="1"/>
    <row r="328" s="63" customFormat="1"/>
    <row r="329" s="63" customFormat="1"/>
    <row r="330" s="63" customFormat="1"/>
    <row r="331" s="63" customFormat="1"/>
    <row r="332" s="63" customFormat="1"/>
    <row r="333" s="63" customFormat="1"/>
    <row r="334" s="63" customFormat="1"/>
    <row r="335" s="63" customFormat="1"/>
    <row r="336" s="63" customFormat="1"/>
    <row r="337" s="63" customFormat="1"/>
    <row r="338" s="63" customFormat="1"/>
    <row r="339" s="63" customFormat="1"/>
    <row r="340" s="63" customFormat="1"/>
    <row r="341" s="63" customFormat="1"/>
    <row r="342" s="63" customFormat="1"/>
    <row r="343" s="63" customFormat="1"/>
    <row r="344" s="63" customFormat="1"/>
    <row r="345" s="63" customFormat="1"/>
    <row r="346" s="63" customFormat="1"/>
    <row r="347" s="63" customFormat="1"/>
    <row r="348" s="63" customFormat="1"/>
    <row r="349" s="63" customFormat="1"/>
    <row r="350" s="63" customFormat="1"/>
    <row r="351" s="63" customFormat="1"/>
    <row r="352" s="63" customFormat="1"/>
    <row r="353" s="63" customFormat="1"/>
    <row r="354" s="63" customFormat="1"/>
    <row r="355" s="63" customFormat="1"/>
    <row r="356" s="63" customFormat="1"/>
    <row r="357" s="63" customFormat="1"/>
    <row r="358" s="63" customFormat="1"/>
    <row r="359" s="63" customFormat="1"/>
    <row r="360" s="63" customFormat="1"/>
    <row r="361" s="63" customFormat="1"/>
    <row r="362" s="63" customFormat="1"/>
    <row r="363" s="63" customFormat="1"/>
    <row r="364" s="63" customFormat="1"/>
    <row r="365" s="63" customFormat="1"/>
    <row r="366" s="63" customFormat="1"/>
    <row r="367" s="63" customFormat="1"/>
    <row r="368" s="63" customFormat="1"/>
    <row r="369" s="63" customFormat="1"/>
    <row r="370" s="63" customFormat="1"/>
    <row r="371" s="63" customFormat="1"/>
    <row r="372" s="63" customFormat="1"/>
    <row r="373" s="63" customFormat="1"/>
    <row r="374" s="63" customFormat="1"/>
    <row r="375" s="63" customFormat="1"/>
    <row r="376" s="63" customFormat="1"/>
    <row r="377" s="63" customFormat="1"/>
    <row r="378" s="63" customFormat="1"/>
    <row r="379" s="63" customFormat="1"/>
    <row r="380" s="63" customFormat="1"/>
    <row r="381" s="63" customFormat="1"/>
    <row r="382" s="63" customFormat="1"/>
    <row r="383" s="63" customFormat="1"/>
    <row r="384" s="63" customFormat="1"/>
    <row r="385" s="63" customFormat="1"/>
    <row r="386" s="63" customFormat="1"/>
    <row r="387" s="63" customFormat="1"/>
    <row r="388" s="63" customFormat="1"/>
    <row r="389" s="63" customFormat="1"/>
    <row r="390" s="63" customFormat="1"/>
    <row r="391" s="63" customFormat="1"/>
    <row r="392" s="63" customFormat="1"/>
    <row r="393" s="63" customFormat="1"/>
    <row r="394" s="63" customFormat="1"/>
    <row r="395" s="63" customFormat="1"/>
    <row r="396" s="63" customFormat="1"/>
    <row r="397" s="63" customFormat="1"/>
    <row r="398" s="63" customFormat="1"/>
    <row r="399" s="63" customFormat="1"/>
    <row r="400" s="63" customFormat="1"/>
    <row r="401" s="63" customFormat="1"/>
    <row r="402" s="63" customFormat="1"/>
    <row r="403" s="63" customFormat="1"/>
    <row r="404" s="63" customFormat="1"/>
    <row r="405" s="63" customFormat="1"/>
    <row r="997" spans="1:1">
      <c r="A997" t="s">
        <v>555</v>
      </c>
    </row>
  </sheetData>
  <conditionalFormatting sqref="B14:I15">
    <cfRule type="cellIs" dxfId="15" priority="3" operator="notEqual">
      <formula>0</formula>
    </cfRule>
  </conditionalFormatting>
  <conditionalFormatting sqref="B29:I30">
    <cfRule type="cellIs" dxfId="14" priority="2" operator="notEqual">
      <formula>0</formula>
    </cfRule>
  </conditionalFormatting>
  <conditionalFormatting sqref="B44:I44">
    <cfRule type="cellIs" dxfId="13"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4"/>
  <sheetViews>
    <sheetView showGridLines="0" tabSelected="1" zoomScale="80" zoomScaleNormal="80" workbookViewId="0">
      <selection activeCell="A12" sqref="A12"/>
    </sheetView>
  </sheetViews>
  <sheetFormatPr baseColWidth="10" defaultColWidth="12.54296875" defaultRowHeight="23.25" customHeight="1"/>
  <cols>
    <col min="1" max="1" width="40.453125" style="30" customWidth="1"/>
    <col min="2" max="2" width="21.81640625" style="30" customWidth="1"/>
    <col min="3" max="3" width="115.7265625" style="59" customWidth="1"/>
    <col min="4" max="4" width="13.26953125" style="30" customWidth="1"/>
    <col min="5" max="5" width="18.1796875" style="30" hidden="1" customWidth="1"/>
    <col min="6" max="6" width="12.54296875" style="30" hidden="1" customWidth="1"/>
    <col min="7" max="256" width="12.54296875" style="30"/>
    <col min="257" max="257" width="40.453125" style="30" customWidth="1"/>
    <col min="258" max="258" width="21.81640625" style="30" customWidth="1"/>
    <col min="259" max="259" width="115.7265625" style="30" customWidth="1"/>
    <col min="260" max="260" width="13.26953125" style="30" customWidth="1"/>
    <col min="261" max="262" width="0" style="30" hidden="1" customWidth="1"/>
    <col min="263" max="512" width="12.54296875" style="30"/>
    <col min="513" max="513" width="40.453125" style="30" customWidth="1"/>
    <col min="514" max="514" width="21.81640625" style="30" customWidth="1"/>
    <col min="515" max="515" width="115.7265625" style="30" customWidth="1"/>
    <col min="516" max="516" width="13.26953125" style="30" customWidth="1"/>
    <col min="517" max="518" width="0" style="30" hidden="1" customWidth="1"/>
    <col min="519" max="768" width="12.54296875" style="30"/>
    <col min="769" max="769" width="40.453125" style="30" customWidth="1"/>
    <col min="770" max="770" width="21.81640625" style="30" customWidth="1"/>
    <col min="771" max="771" width="115.7265625" style="30" customWidth="1"/>
    <col min="772" max="772" width="13.26953125" style="30" customWidth="1"/>
    <col min="773" max="774" width="0" style="30" hidden="1" customWidth="1"/>
    <col min="775" max="1024" width="12.54296875" style="30"/>
    <col min="1025" max="1025" width="40.453125" style="30" customWidth="1"/>
    <col min="1026" max="1026" width="21.81640625" style="30" customWidth="1"/>
    <col min="1027" max="1027" width="115.7265625" style="30" customWidth="1"/>
    <col min="1028" max="1028" width="13.26953125" style="30" customWidth="1"/>
    <col min="1029" max="1030" width="0" style="30" hidden="1" customWidth="1"/>
    <col min="1031" max="1280" width="12.54296875" style="30"/>
    <col min="1281" max="1281" width="40.453125" style="30" customWidth="1"/>
    <col min="1282" max="1282" width="21.81640625" style="30" customWidth="1"/>
    <col min="1283" max="1283" width="115.7265625" style="30" customWidth="1"/>
    <col min="1284" max="1284" width="13.26953125" style="30" customWidth="1"/>
    <col min="1285" max="1286" width="0" style="30" hidden="1" customWidth="1"/>
    <col min="1287" max="1536" width="12.54296875" style="30"/>
    <col min="1537" max="1537" width="40.453125" style="30" customWidth="1"/>
    <col min="1538" max="1538" width="21.81640625" style="30" customWidth="1"/>
    <col min="1539" max="1539" width="115.7265625" style="30" customWidth="1"/>
    <col min="1540" max="1540" width="13.26953125" style="30" customWidth="1"/>
    <col min="1541" max="1542" width="0" style="30" hidden="1" customWidth="1"/>
    <col min="1543" max="1792" width="12.54296875" style="30"/>
    <col min="1793" max="1793" width="40.453125" style="30" customWidth="1"/>
    <col min="1794" max="1794" width="21.81640625" style="30" customWidth="1"/>
    <col min="1795" max="1795" width="115.7265625" style="30" customWidth="1"/>
    <col min="1796" max="1796" width="13.26953125" style="30" customWidth="1"/>
    <col min="1797" max="1798" width="0" style="30" hidden="1" customWidth="1"/>
    <col min="1799" max="2048" width="12.54296875" style="30"/>
    <col min="2049" max="2049" width="40.453125" style="30" customWidth="1"/>
    <col min="2050" max="2050" width="21.81640625" style="30" customWidth="1"/>
    <col min="2051" max="2051" width="115.7265625" style="30" customWidth="1"/>
    <col min="2052" max="2052" width="13.26953125" style="30" customWidth="1"/>
    <col min="2053" max="2054" width="0" style="30" hidden="1" customWidth="1"/>
    <col min="2055" max="2304" width="12.54296875" style="30"/>
    <col min="2305" max="2305" width="40.453125" style="30" customWidth="1"/>
    <col min="2306" max="2306" width="21.81640625" style="30" customWidth="1"/>
    <col min="2307" max="2307" width="115.7265625" style="30" customWidth="1"/>
    <col min="2308" max="2308" width="13.26953125" style="30" customWidth="1"/>
    <col min="2309" max="2310" width="0" style="30" hidden="1" customWidth="1"/>
    <col min="2311" max="2560" width="12.54296875" style="30"/>
    <col min="2561" max="2561" width="40.453125" style="30" customWidth="1"/>
    <col min="2562" max="2562" width="21.81640625" style="30" customWidth="1"/>
    <col min="2563" max="2563" width="115.7265625" style="30" customWidth="1"/>
    <col min="2564" max="2564" width="13.26953125" style="30" customWidth="1"/>
    <col min="2565" max="2566" width="0" style="30" hidden="1" customWidth="1"/>
    <col min="2567" max="2816" width="12.54296875" style="30"/>
    <col min="2817" max="2817" width="40.453125" style="30" customWidth="1"/>
    <col min="2818" max="2818" width="21.81640625" style="30" customWidth="1"/>
    <col min="2819" max="2819" width="115.7265625" style="30" customWidth="1"/>
    <col min="2820" max="2820" width="13.26953125" style="30" customWidth="1"/>
    <col min="2821" max="2822" width="0" style="30" hidden="1" customWidth="1"/>
    <col min="2823" max="3072" width="12.54296875" style="30"/>
    <col min="3073" max="3073" width="40.453125" style="30" customWidth="1"/>
    <col min="3074" max="3074" width="21.81640625" style="30" customWidth="1"/>
    <col min="3075" max="3075" width="115.7265625" style="30" customWidth="1"/>
    <col min="3076" max="3076" width="13.26953125" style="30" customWidth="1"/>
    <col min="3077" max="3078" width="0" style="30" hidden="1" customWidth="1"/>
    <col min="3079" max="3328" width="12.54296875" style="30"/>
    <col min="3329" max="3329" width="40.453125" style="30" customWidth="1"/>
    <col min="3330" max="3330" width="21.81640625" style="30" customWidth="1"/>
    <col min="3331" max="3331" width="115.7265625" style="30" customWidth="1"/>
    <col min="3332" max="3332" width="13.26953125" style="30" customWidth="1"/>
    <col min="3333" max="3334" width="0" style="30" hidden="1" customWidth="1"/>
    <col min="3335" max="3584" width="12.54296875" style="30"/>
    <col min="3585" max="3585" width="40.453125" style="30" customWidth="1"/>
    <col min="3586" max="3586" width="21.81640625" style="30" customWidth="1"/>
    <col min="3587" max="3587" width="115.7265625" style="30" customWidth="1"/>
    <col min="3588" max="3588" width="13.26953125" style="30" customWidth="1"/>
    <col min="3589" max="3590" width="0" style="30" hidden="1" customWidth="1"/>
    <col min="3591" max="3840" width="12.54296875" style="30"/>
    <col min="3841" max="3841" width="40.453125" style="30" customWidth="1"/>
    <col min="3842" max="3842" width="21.81640625" style="30" customWidth="1"/>
    <col min="3843" max="3843" width="115.7265625" style="30" customWidth="1"/>
    <col min="3844" max="3844" width="13.26953125" style="30" customWidth="1"/>
    <col min="3845" max="3846" width="0" style="30" hidden="1" customWidth="1"/>
    <col min="3847" max="4096" width="12.54296875" style="30"/>
    <col min="4097" max="4097" width="40.453125" style="30" customWidth="1"/>
    <col min="4098" max="4098" width="21.81640625" style="30" customWidth="1"/>
    <col min="4099" max="4099" width="115.7265625" style="30" customWidth="1"/>
    <col min="4100" max="4100" width="13.26953125" style="30" customWidth="1"/>
    <col min="4101" max="4102" width="0" style="30" hidden="1" customWidth="1"/>
    <col min="4103" max="4352" width="12.54296875" style="30"/>
    <col min="4353" max="4353" width="40.453125" style="30" customWidth="1"/>
    <col min="4354" max="4354" width="21.81640625" style="30" customWidth="1"/>
    <col min="4355" max="4355" width="115.7265625" style="30" customWidth="1"/>
    <col min="4356" max="4356" width="13.26953125" style="30" customWidth="1"/>
    <col min="4357" max="4358" width="0" style="30" hidden="1" customWidth="1"/>
    <col min="4359" max="4608" width="12.54296875" style="30"/>
    <col min="4609" max="4609" width="40.453125" style="30" customWidth="1"/>
    <col min="4610" max="4610" width="21.81640625" style="30" customWidth="1"/>
    <col min="4611" max="4611" width="115.7265625" style="30" customWidth="1"/>
    <col min="4612" max="4612" width="13.26953125" style="30" customWidth="1"/>
    <col min="4613" max="4614" width="0" style="30" hidden="1" customWidth="1"/>
    <col min="4615" max="4864" width="12.54296875" style="30"/>
    <col min="4865" max="4865" width="40.453125" style="30" customWidth="1"/>
    <col min="4866" max="4866" width="21.81640625" style="30" customWidth="1"/>
    <col min="4867" max="4867" width="115.7265625" style="30" customWidth="1"/>
    <col min="4868" max="4868" width="13.26953125" style="30" customWidth="1"/>
    <col min="4869" max="4870" width="0" style="30" hidden="1" customWidth="1"/>
    <col min="4871" max="5120" width="12.54296875" style="30"/>
    <col min="5121" max="5121" width="40.453125" style="30" customWidth="1"/>
    <col min="5122" max="5122" width="21.81640625" style="30" customWidth="1"/>
    <col min="5123" max="5123" width="115.7265625" style="30" customWidth="1"/>
    <col min="5124" max="5124" width="13.26953125" style="30" customWidth="1"/>
    <col min="5125" max="5126" width="0" style="30" hidden="1" customWidth="1"/>
    <col min="5127" max="5376" width="12.54296875" style="30"/>
    <col min="5377" max="5377" width="40.453125" style="30" customWidth="1"/>
    <col min="5378" max="5378" width="21.81640625" style="30" customWidth="1"/>
    <col min="5379" max="5379" width="115.7265625" style="30" customWidth="1"/>
    <col min="5380" max="5380" width="13.26953125" style="30" customWidth="1"/>
    <col min="5381" max="5382" width="0" style="30" hidden="1" customWidth="1"/>
    <col min="5383" max="5632" width="12.54296875" style="30"/>
    <col min="5633" max="5633" width="40.453125" style="30" customWidth="1"/>
    <col min="5634" max="5634" width="21.81640625" style="30" customWidth="1"/>
    <col min="5635" max="5635" width="115.7265625" style="30" customWidth="1"/>
    <col min="5636" max="5636" width="13.26953125" style="30" customWidth="1"/>
    <col min="5637" max="5638" width="0" style="30" hidden="1" customWidth="1"/>
    <col min="5639" max="5888" width="12.54296875" style="30"/>
    <col min="5889" max="5889" width="40.453125" style="30" customWidth="1"/>
    <col min="5890" max="5890" width="21.81640625" style="30" customWidth="1"/>
    <col min="5891" max="5891" width="115.7265625" style="30" customWidth="1"/>
    <col min="5892" max="5892" width="13.26953125" style="30" customWidth="1"/>
    <col min="5893" max="5894" width="0" style="30" hidden="1" customWidth="1"/>
    <col min="5895" max="6144" width="12.54296875" style="30"/>
    <col min="6145" max="6145" width="40.453125" style="30" customWidth="1"/>
    <col min="6146" max="6146" width="21.81640625" style="30" customWidth="1"/>
    <col min="6147" max="6147" width="115.7265625" style="30" customWidth="1"/>
    <col min="6148" max="6148" width="13.26953125" style="30" customWidth="1"/>
    <col min="6149" max="6150" width="0" style="30" hidden="1" customWidth="1"/>
    <col min="6151" max="6400" width="12.54296875" style="30"/>
    <col min="6401" max="6401" width="40.453125" style="30" customWidth="1"/>
    <col min="6402" max="6402" width="21.81640625" style="30" customWidth="1"/>
    <col min="6403" max="6403" width="115.7265625" style="30" customWidth="1"/>
    <col min="6404" max="6404" width="13.26953125" style="30" customWidth="1"/>
    <col min="6405" max="6406" width="0" style="30" hidden="1" customWidth="1"/>
    <col min="6407" max="6656" width="12.54296875" style="30"/>
    <col min="6657" max="6657" width="40.453125" style="30" customWidth="1"/>
    <col min="6658" max="6658" width="21.81640625" style="30" customWidth="1"/>
    <col min="6659" max="6659" width="115.7265625" style="30" customWidth="1"/>
    <col min="6660" max="6660" width="13.26953125" style="30" customWidth="1"/>
    <col min="6661" max="6662" width="0" style="30" hidden="1" customWidth="1"/>
    <col min="6663" max="6912" width="12.54296875" style="30"/>
    <col min="6913" max="6913" width="40.453125" style="30" customWidth="1"/>
    <col min="6914" max="6914" width="21.81640625" style="30" customWidth="1"/>
    <col min="6915" max="6915" width="115.7265625" style="30" customWidth="1"/>
    <col min="6916" max="6916" width="13.26953125" style="30" customWidth="1"/>
    <col min="6917" max="6918" width="0" style="30" hidden="1" customWidth="1"/>
    <col min="6919" max="7168" width="12.54296875" style="30"/>
    <col min="7169" max="7169" width="40.453125" style="30" customWidth="1"/>
    <col min="7170" max="7170" width="21.81640625" style="30" customWidth="1"/>
    <col min="7171" max="7171" width="115.7265625" style="30" customWidth="1"/>
    <col min="7172" max="7172" width="13.26953125" style="30" customWidth="1"/>
    <col min="7173" max="7174" width="0" style="30" hidden="1" customWidth="1"/>
    <col min="7175" max="7424" width="12.54296875" style="30"/>
    <col min="7425" max="7425" width="40.453125" style="30" customWidth="1"/>
    <col min="7426" max="7426" width="21.81640625" style="30" customWidth="1"/>
    <col min="7427" max="7427" width="115.7265625" style="30" customWidth="1"/>
    <col min="7428" max="7428" width="13.26953125" style="30" customWidth="1"/>
    <col min="7429" max="7430" width="0" style="30" hidden="1" customWidth="1"/>
    <col min="7431" max="7680" width="12.54296875" style="30"/>
    <col min="7681" max="7681" width="40.453125" style="30" customWidth="1"/>
    <col min="7682" max="7682" width="21.81640625" style="30" customWidth="1"/>
    <col min="7683" max="7683" width="115.7265625" style="30" customWidth="1"/>
    <col min="7684" max="7684" width="13.26953125" style="30" customWidth="1"/>
    <col min="7685" max="7686" width="0" style="30" hidden="1" customWidth="1"/>
    <col min="7687" max="7936" width="12.54296875" style="30"/>
    <col min="7937" max="7937" width="40.453125" style="30" customWidth="1"/>
    <col min="7938" max="7938" width="21.81640625" style="30" customWidth="1"/>
    <col min="7939" max="7939" width="115.7265625" style="30" customWidth="1"/>
    <col min="7940" max="7940" width="13.26953125" style="30" customWidth="1"/>
    <col min="7941" max="7942" width="0" style="30" hidden="1" customWidth="1"/>
    <col min="7943" max="8192" width="12.54296875" style="30"/>
    <col min="8193" max="8193" width="40.453125" style="30" customWidth="1"/>
    <col min="8194" max="8194" width="21.81640625" style="30" customWidth="1"/>
    <col min="8195" max="8195" width="115.7265625" style="30" customWidth="1"/>
    <col min="8196" max="8196" width="13.26953125" style="30" customWidth="1"/>
    <col min="8197" max="8198" width="0" style="30" hidden="1" customWidth="1"/>
    <col min="8199" max="8448" width="12.54296875" style="30"/>
    <col min="8449" max="8449" width="40.453125" style="30" customWidth="1"/>
    <col min="8450" max="8450" width="21.81640625" style="30" customWidth="1"/>
    <col min="8451" max="8451" width="115.7265625" style="30" customWidth="1"/>
    <col min="8452" max="8452" width="13.26953125" style="30" customWidth="1"/>
    <col min="8453" max="8454" width="0" style="30" hidden="1" customWidth="1"/>
    <col min="8455" max="8704" width="12.54296875" style="30"/>
    <col min="8705" max="8705" width="40.453125" style="30" customWidth="1"/>
    <col min="8706" max="8706" width="21.81640625" style="30" customWidth="1"/>
    <col min="8707" max="8707" width="115.7265625" style="30" customWidth="1"/>
    <col min="8708" max="8708" width="13.26953125" style="30" customWidth="1"/>
    <col min="8709" max="8710" width="0" style="30" hidden="1" customWidth="1"/>
    <col min="8711" max="8960" width="12.54296875" style="30"/>
    <col min="8961" max="8961" width="40.453125" style="30" customWidth="1"/>
    <col min="8962" max="8962" width="21.81640625" style="30" customWidth="1"/>
    <col min="8963" max="8963" width="115.7265625" style="30" customWidth="1"/>
    <col min="8964" max="8964" width="13.26953125" style="30" customWidth="1"/>
    <col min="8965" max="8966" width="0" style="30" hidden="1" customWidth="1"/>
    <col min="8967" max="9216" width="12.54296875" style="30"/>
    <col min="9217" max="9217" width="40.453125" style="30" customWidth="1"/>
    <col min="9218" max="9218" width="21.81640625" style="30" customWidth="1"/>
    <col min="9219" max="9219" width="115.7265625" style="30" customWidth="1"/>
    <col min="9220" max="9220" width="13.26953125" style="30" customWidth="1"/>
    <col min="9221" max="9222" width="0" style="30" hidden="1" customWidth="1"/>
    <col min="9223" max="9472" width="12.54296875" style="30"/>
    <col min="9473" max="9473" width="40.453125" style="30" customWidth="1"/>
    <col min="9474" max="9474" width="21.81640625" style="30" customWidth="1"/>
    <col min="9475" max="9475" width="115.7265625" style="30" customWidth="1"/>
    <col min="9476" max="9476" width="13.26953125" style="30" customWidth="1"/>
    <col min="9477" max="9478" width="0" style="30" hidden="1" customWidth="1"/>
    <col min="9479" max="9728" width="12.54296875" style="30"/>
    <col min="9729" max="9729" width="40.453125" style="30" customWidth="1"/>
    <col min="9730" max="9730" width="21.81640625" style="30" customWidth="1"/>
    <col min="9731" max="9731" width="115.7265625" style="30" customWidth="1"/>
    <col min="9732" max="9732" width="13.26953125" style="30" customWidth="1"/>
    <col min="9733" max="9734" width="0" style="30" hidden="1" customWidth="1"/>
    <col min="9735" max="9984" width="12.54296875" style="30"/>
    <col min="9985" max="9985" width="40.453125" style="30" customWidth="1"/>
    <col min="9986" max="9986" width="21.81640625" style="30" customWidth="1"/>
    <col min="9987" max="9987" width="115.7265625" style="30" customWidth="1"/>
    <col min="9988" max="9988" width="13.26953125" style="30" customWidth="1"/>
    <col min="9989" max="9990" width="0" style="30" hidden="1" customWidth="1"/>
    <col min="9991" max="10240" width="12.54296875" style="30"/>
    <col min="10241" max="10241" width="40.453125" style="30" customWidth="1"/>
    <col min="10242" max="10242" width="21.81640625" style="30" customWidth="1"/>
    <col min="10243" max="10243" width="115.7265625" style="30" customWidth="1"/>
    <col min="10244" max="10244" width="13.26953125" style="30" customWidth="1"/>
    <col min="10245" max="10246" width="0" style="30" hidden="1" customWidth="1"/>
    <col min="10247" max="10496" width="12.54296875" style="30"/>
    <col min="10497" max="10497" width="40.453125" style="30" customWidth="1"/>
    <col min="10498" max="10498" width="21.81640625" style="30" customWidth="1"/>
    <col min="10499" max="10499" width="115.7265625" style="30" customWidth="1"/>
    <col min="10500" max="10500" width="13.26953125" style="30" customWidth="1"/>
    <col min="10501" max="10502" width="0" style="30" hidden="1" customWidth="1"/>
    <col min="10503" max="10752" width="12.54296875" style="30"/>
    <col min="10753" max="10753" width="40.453125" style="30" customWidth="1"/>
    <col min="10754" max="10754" width="21.81640625" style="30" customWidth="1"/>
    <col min="10755" max="10755" width="115.7265625" style="30" customWidth="1"/>
    <col min="10756" max="10756" width="13.26953125" style="30" customWidth="1"/>
    <col min="10757" max="10758" width="0" style="30" hidden="1" customWidth="1"/>
    <col min="10759" max="11008" width="12.54296875" style="30"/>
    <col min="11009" max="11009" width="40.453125" style="30" customWidth="1"/>
    <col min="11010" max="11010" width="21.81640625" style="30" customWidth="1"/>
    <col min="11011" max="11011" width="115.7265625" style="30" customWidth="1"/>
    <col min="11012" max="11012" width="13.26953125" style="30" customWidth="1"/>
    <col min="11013" max="11014" width="0" style="30" hidden="1" customWidth="1"/>
    <col min="11015" max="11264" width="12.54296875" style="30"/>
    <col min="11265" max="11265" width="40.453125" style="30" customWidth="1"/>
    <col min="11266" max="11266" width="21.81640625" style="30" customWidth="1"/>
    <col min="11267" max="11267" width="115.7265625" style="30" customWidth="1"/>
    <col min="11268" max="11268" width="13.26953125" style="30" customWidth="1"/>
    <col min="11269" max="11270" width="0" style="30" hidden="1" customWidth="1"/>
    <col min="11271" max="11520" width="12.54296875" style="30"/>
    <col min="11521" max="11521" width="40.453125" style="30" customWidth="1"/>
    <col min="11522" max="11522" width="21.81640625" style="30" customWidth="1"/>
    <col min="11523" max="11523" width="115.7265625" style="30" customWidth="1"/>
    <col min="11524" max="11524" width="13.26953125" style="30" customWidth="1"/>
    <col min="11525" max="11526" width="0" style="30" hidden="1" customWidth="1"/>
    <col min="11527" max="11776" width="12.54296875" style="30"/>
    <col min="11777" max="11777" width="40.453125" style="30" customWidth="1"/>
    <col min="11778" max="11778" width="21.81640625" style="30" customWidth="1"/>
    <col min="11779" max="11779" width="115.7265625" style="30" customWidth="1"/>
    <col min="11780" max="11780" width="13.26953125" style="30" customWidth="1"/>
    <col min="11781" max="11782" width="0" style="30" hidden="1" customWidth="1"/>
    <col min="11783" max="12032" width="12.54296875" style="30"/>
    <col min="12033" max="12033" width="40.453125" style="30" customWidth="1"/>
    <col min="12034" max="12034" width="21.81640625" style="30" customWidth="1"/>
    <col min="12035" max="12035" width="115.7265625" style="30" customWidth="1"/>
    <col min="12036" max="12036" width="13.26953125" style="30" customWidth="1"/>
    <col min="12037" max="12038" width="0" style="30" hidden="1" customWidth="1"/>
    <col min="12039" max="12288" width="12.54296875" style="30"/>
    <col min="12289" max="12289" width="40.453125" style="30" customWidth="1"/>
    <col min="12290" max="12290" width="21.81640625" style="30" customWidth="1"/>
    <col min="12291" max="12291" width="115.7265625" style="30" customWidth="1"/>
    <col min="12292" max="12292" width="13.26953125" style="30" customWidth="1"/>
    <col min="12293" max="12294" width="0" style="30" hidden="1" customWidth="1"/>
    <col min="12295" max="12544" width="12.54296875" style="30"/>
    <col min="12545" max="12545" width="40.453125" style="30" customWidth="1"/>
    <col min="12546" max="12546" width="21.81640625" style="30" customWidth="1"/>
    <col min="12547" max="12547" width="115.7265625" style="30" customWidth="1"/>
    <col min="12548" max="12548" width="13.26953125" style="30" customWidth="1"/>
    <col min="12549" max="12550" width="0" style="30" hidden="1" customWidth="1"/>
    <col min="12551" max="12800" width="12.54296875" style="30"/>
    <col min="12801" max="12801" width="40.453125" style="30" customWidth="1"/>
    <col min="12802" max="12802" width="21.81640625" style="30" customWidth="1"/>
    <col min="12803" max="12803" width="115.7265625" style="30" customWidth="1"/>
    <col min="12804" max="12804" width="13.26953125" style="30" customWidth="1"/>
    <col min="12805" max="12806" width="0" style="30" hidden="1" customWidth="1"/>
    <col min="12807" max="13056" width="12.54296875" style="30"/>
    <col min="13057" max="13057" width="40.453125" style="30" customWidth="1"/>
    <col min="13058" max="13058" width="21.81640625" style="30" customWidth="1"/>
    <col min="13059" max="13059" width="115.7265625" style="30" customWidth="1"/>
    <col min="13060" max="13060" width="13.26953125" style="30" customWidth="1"/>
    <col min="13061" max="13062" width="0" style="30" hidden="1" customWidth="1"/>
    <col min="13063" max="13312" width="12.54296875" style="30"/>
    <col min="13313" max="13313" width="40.453125" style="30" customWidth="1"/>
    <col min="13314" max="13314" width="21.81640625" style="30" customWidth="1"/>
    <col min="13315" max="13315" width="115.7265625" style="30" customWidth="1"/>
    <col min="13316" max="13316" width="13.26953125" style="30" customWidth="1"/>
    <col min="13317" max="13318" width="0" style="30" hidden="1" customWidth="1"/>
    <col min="13319" max="13568" width="12.54296875" style="30"/>
    <col min="13569" max="13569" width="40.453125" style="30" customWidth="1"/>
    <col min="13570" max="13570" width="21.81640625" style="30" customWidth="1"/>
    <col min="13571" max="13571" width="115.7265625" style="30" customWidth="1"/>
    <col min="13572" max="13572" width="13.26953125" style="30" customWidth="1"/>
    <col min="13573" max="13574" width="0" style="30" hidden="1" customWidth="1"/>
    <col min="13575" max="13824" width="12.54296875" style="30"/>
    <col min="13825" max="13825" width="40.453125" style="30" customWidth="1"/>
    <col min="13826" max="13826" width="21.81640625" style="30" customWidth="1"/>
    <col min="13827" max="13827" width="115.7265625" style="30" customWidth="1"/>
    <col min="13828" max="13828" width="13.26953125" style="30" customWidth="1"/>
    <col min="13829" max="13830" width="0" style="30" hidden="1" customWidth="1"/>
    <col min="13831" max="14080" width="12.54296875" style="30"/>
    <col min="14081" max="14081" width="40.453125" style="30" customWidth="1"/>
    <col min="14082" max="14082" width="21.81640625" style="30" customWidth="1"/>
    <col min="14083" max="14083" width="115.7265625" style="30" customWidth="1"/>
    <col min="14084" max="14084" width="13.26953125" style="30" customWidth="1"/>
    <col min="14085" max="14086" width="0" style="30" hidden="1" customWidth="1"/>
    <col min="14087" max="14336" width="12.54296875" style="30"/>
    <col min="14337" max="14337" width="40.453125" style="30" customWidth="1"/>
    <col min="14338" max="14338" width="21.81640625" style="30" customWidth="1"/>
    <col min="14339" max="14339" width="115.7265625" style="30" customWidth="1"/>
    <col min="14340" max="14340" width="13.26953125" style="30" customWidth="1"/>
    <col min="14341" max="14342" width="0" style="30" hidden="1" customWidth="1"/>
    <col min="14343" max="14592" width="12.54296875" style="30"/>
    <col min="14593" max="14593" width="40.453125" style="30" customWidth="1"/>
    <col min="14594" max="14594" width="21.81640625" style="30" customWidth="1"/>
    <col min="14595" max="14595" width="115.7265625" style="30" customWidth="1"/>
    <col min="14596" max="14596" width="13.26953125" style="30" customWidth="1"/>
    <col min="14597" max="14598" width="0" style="30" hidden="1" customWidth="1"/>
    <col min="14599" max="14848" width="12.54296875" style="30"/>
    <col min="14849" max="14849" width="40.453125" style="30" customWidth="1"/>
    <col min="14850" max="14850" width="21.81640625" style="30" customWidth="1"/>
    <col min="14851" max="14851" width="115.7265625" style="30" customWidth="1"/>
    <col min="14852" max="14852" width="13.26953125" style="30" customWidth="1"/>
    <col min="14853" max="14854" width="0" style="30" hidden="1" customWidth="1"/>
    <col min="14855" max="15104" width="12.54296875" style="30"/>
    <col min="15105" max="15105" width="40.453125" style="30" customWidth="1"/>
    <col min="15106" max="15106" width="21.81640625" style="30" customWidth="1"/>
    <col min="15107" max="15107" width="115.7265625" style="30" customWidth="1"/>
    <col min="15108" max="15108" width="13.26953125" style="30" customWidth="1"/>
    <col min="15109" max="15110" width="0" style="30" hidden="1" customWidth="1"/>
    <col min="15111" max="15360" width="12.54296875" style="30"/>
    <col min="15361" max="15361" width="40.453125" style="30" customWidth="1"/>
    <col min="15362" max="15362" width="21.81640625" style="30" customWidth="1"/>
    <col min="15363" max="15363" width="115.7265625" style="30" customWidth="1"/>
    <col min="15364" max="15364" width="13.26953125" style="30" customWidth="1"/>
    <col min="15365" max="15366" width="0" style="30" hidden="1" customWidth="1"/>
    <col min="15367" max="15616" width="12.54296875" style="30"/>
    <col min="15617" max="15617" width="40.453125" style="30" customWidth="1"/>
    <col min="15618" max="15618" width="21.81640625" style="30" customWidth="1"/>
    <col min="15619" max="15619" width="115.7265625" style="30" customWidth="1"/>
    <col min="15620" max="15620" width="13.26953125" style="30" customWidth="1"/>
    <col min="15621" max="15622" width="0" style="30" hidden="1" customWidth="1"/>
    <col min="15623" max="15872" width="12.54296875" style="30"/>
    <col min="15873" max="15873" width="40.453125" style="30" customWidth="1"/>
    <col min="15874" max="15874" width="21.81640625" style="30" customWidth="1"/>
    <col min="15875" max="15875" width="115.7265625" style="30" customWidth="1"/>
    <col min="15876" max="15876" width="13.26953125" style="30" customWidth="1"/>
    <col min="15877" max="15878" width="0" style="30" hidden="1" customWidth="1"/>
    <col min="15879" max="16128" width="12.54296875" style="30"/>
    <col min="16129" max="16129" width="40.453125" style="30" customWidth="1"/>
    <col min="16130" max="16130" width="21.81640625" style="30" customWidth="1"/>
    <col min="16131" max="16131" width="115.7265625" style="30" customWidth="1"/>
    <col min="16132" max="16132" width="13.26953125" style="30" customWidth="1"/>
    <col min="16133" max="16134" width="0" style="30" hidden="1" customWidth="1"/>
    <col min="16135" max="16384" width="12.54296875" style="30"/>
  </cols>
  <sheetData>
    <row r="1" spans="1:7" ht="23.25" customHeight="1">
      <c r="B1" s="31"/>
      <c r="C1" s="32"/>
      <c r="D1" s="31"/>
      <c r="E1" s="31"/>
    </row>
    <row r="2" spans="1:7" ht="23.25" customHeight="1">
      <c r="B2" s="31"/>
      <c r="C2" s="33" t="str">
        <f>HLOOKUP($F$2,Nombres!$C$3:$D$636,2,FALSE)</f>
        <v>Quarterly series 2025-2026</v>
      </c>
      <c r="D2" s="31"/>
      <c r="E2" s="31"/>
      <c r="F2" s="34">
        <v>8</v>
      </c>
    </row>
    <row r="3" spans="1:7" ht="23.25" customHeight="1">
      <c r="B3" s="31"/>
      <c r="C3" s="32"/>
      <c r="D3" s="31"/>
      <c r="E3" s="31"/>
    </row>
    <row r="4" spans="1:7" ht="23.25" customHeight="1">
      <c r="A4" s="35"/>
      <c r="B4" s="31"/>
      <c r="C4" s="36" t="str">
        <f>HLOOKUP($F$2,Nombres!$C$3:$D$636,3,FALSE)</f>
        <v>BBVA Group</v>
      </c>
      <c r="D4" s="37"/>
      <c r="E4" s="31" t="b">
        <v>0</v>
      </c>
      <c r="G4" s="38"/>
    </row>
    <row r="5" spans="1:7" ht="23.25" customHeight="1">
      <c r="B5" s="31"/>
      <c r="C5" s="39" t="str">
        <f>HLOOKUP($F$2,Nombres!$C$3:$D$636,4,FALSE)</f>
        <v>Consolidated income statement</v>
      </c>
      <c r="D5" s="31"/>
      <c r="E5" s="31" t="b">
        <v>0</v>
      </c>
      <c r="F5" s="30" t="b">
        <f>OR($E$4,E5)</f>
        <v>0</v>
      </c>
      <c r="G5" s="38"/>
    </row>
    <row r="6" spans="1:7" ht="23.25" hidden="1" customHeight="1">
      <c r="B6" s="31"/>
      <c r="C6" s="39"/>
      <c r="D6" s="31"/>
      <c r="E6" s="31" t="b">
        <v>0</v>
      </c>
      <c r="F6" s="30" t="b">
        <f>OR($E$4,E6)</f>
        <v>0</v>
      </c>
      <c r="G6" s="38"/>
    </row>
    <row r="7" spans="1:7" ht="23.25" customHeight="1">
      <c r="B7" s="31"/>
      <c r="C7" s="39" t="str">
        <f>HLOOKUP($F$2,Nombres!$C$3:$D$636,5,FALSE)</f>
        <v>Consolidated balance sheet</v>
      </c>
      <c r="D7" s="31"/>
      <c r="E7" s="31"/>
      <c r="G7" s="38"/>
    </row>
    <row r="8" spans="1:7" ht="23.25" customHeight="1">
      <c r="B8" s="40"/>
      <c r="C8" s="36" t="str">
        <f>HLOOKUP($F$2,Nombres!$C$3:$D$636,6,FALSE)</f>
        <v>Business areas</v>
      </c>
      <c r="D8" s="40"/>
      <c r="E8" s="40" t="b">
        <v>0</v>
      </c>
      <c r="F8" s="41"/>
      <c r="G8" s="42"/>
    </row>
    <row r="9" spans="1:7" s="46" customFormat="1" ht="23.25" customHeight="1">
      <c r="A9" s="30"/>
      <c r="B9" s="43"/>
      <c r="C9" s="44" t="str">
        <f>HLOOKUP($F$2,Nombres!$C$3:$D$636,7,FALSE)</f>
        <v>Spain</v>
      </c>
      <c r="D9" s="43"/>
      <c r="E9" s="43" t="b">
        <v>1</v>
      </c>
      <c r="F9" s="30" t="b">
        <f t="shared" ref="F9:F19" si="0">OR($E$8,E9)</f>
        <v>1</v>
      </c>
      <c r="G9" s="45"/>
    </row>
    <row r="10" spans="1:7" ht="23.25" customHeight="1">
      <c r="A10" s="47"/>
      <c r="B10" s="31"/>
      <c r="C10" s="39" t="str">
        <f>HLOOKUP($F$2,Nombres!$C$3:$D$636,11,FALSE)</f>
        <v>Mexico</v>
      </c>
      <c r="D10" s="31"/>
      <c r="E10" s="31" t="b">
        <v>1</v>
      </c>
      <c r="F10" s="30" t="b">
        <f t="shared" si="0"/>
        <v>1</v>
      </c>
      <c r="G10" s="38"/>
    </row>
    <row r="11" spans="1:7" ht="23.25" customHeight="1">
      <c r="B11" s="31"/>
      <c r="C11" s="39" t="str">
        <f>HLOOKUP($F$2,Nombres!$C$3:$D$636,12,FALSE)</f>
        <v xml:space="preserve">Turkey </v>
      </c>
      <c r="D11" s="31"/>
      <c r="E11" s="31" t="b">
        <v>1</v>
      </c>
      <c r="F11" s="30" t="b">
        <f t="shared" si="0"/>
        <v>1</v>
      </c>
      <c r="G11" s="38"/>
    </row>
    <row r="12" spans="1:7" ht="23.25" customHeight="1">
      <c r="A12" s="48"/>
      <c r="B12" s="31"/>
      <c r="C12" s="39" t="str">
        <f>HLOOKUP($F$2,Nombres!$C$3:$D$636,13,FALSE)</f>
        <v>South America</v>
      </c>
      <c r="D12" s="31"/>
      <c r="E12" s="31" t="b">
        <v>1</v>
      </c>
      <c r="F12" s="30" t="b">
        <f t="shared" si="0"/>
        <v>1</v>
      </c>
      <c r="G12" s="38"/>
    </row>
    <row r="13" spans="1:7" s="47" customFormat="1" ht="23.25" customHeight="1">
      <c r="A13" s="48"/>
      <c r="B13" s="49"/>
      <c r="C13" s="39" t="str">
        <f>HLOOKUP($F$2,Nombres!$C$3:$D$636,14,FALSE)</f>
        <v>Argentina</v>
      </c>
      <c r="D13" s="31"/>
      <c r="E13" s="31" t="b">
        <v>1</v>
      </c>
      <c r="F13" s="50" t="b">
        <f>OR($E$8,E13)</f>
        <v>1</v>
      </c>
      <c r="G13" s="51"/>
    </row>
    <row r="14" spans="1:7" ht="23.25" customHeight="1">
      <c r="B14" s="31"/>
      <c r="C14" s="39" t="str">
        <f>HLOOKUP($F$2,Nombres!$C$3:$D$636,15,FALSE)</f>
        <v>Chile</v>
      </c>
      <c r="D14" s="31"/>
      <c r="E14" s="31" t="b">
        <v>0</v>
      </c>
      <c r="F14" s="30" t="b">
        <f t="shared" si="0"/>
        <v>0</v>
      </c>
      <c r="G14" s="38"/>
    </row>
    <row r="15" spans="1:7" s="47" customFormat="1" ht="23.25" customHeight="1">
      <c r="A15" s="30"/>
      <c r="B15" s="49"/>
      <c r="C15" s="39" t="str">
        <f>HLOOKUP($F$2,Nombres!$C$3:$D$636,16,FALSE)</f>
        <v>Colombia</v>
      </c>
      <c r="D15" s="52"/>
      <c r="E15" s="31" t="b">
        <v>0</v>
      </c>
      <c r="F15" s="50" t="b">
        <f t="shared" si="0"/>
        <v>0</v>
      </c>
      <c r="G15" s="51"/>
    </row>
    <row r="16" spans="1:7" s="47" customFormat="1" ht="23.25" customHeight="1">
      <c r="A16" s="35"/>
      <c r="B16" s="49"/>
      <c r="C16" s="39" t="str">
        <f>HLOOKUP($F$2,Nombres!$C$3:$D$636,17,FALSE)</f>
        <v>Peru</v>
      </c>
      <c r="D16" s="52"/>
      <c r="E16" s="31" t="b">
        <v>1</v>
      </c>
      <c r="F16" s="50" t="b">
        <f t="shared" si="0"/>
        <v>1</v>
      </c>
      <c r="G16" s="51"/>
    </row>
    <row r="17" spans="1:9" ht="23.25" customHeight="1">
      <c r="B17" s="31"/>
      <c r="C17" s="39" t="str">
        <f>HLOOKUP($F$2,Nombres!$C$3:$D$636,263,FALSE)</f>
        <v>Rest of Business</v>
      </c>
      <c r="D17" s="52"/>
      <c r="E17" s="31" t="b">
        <v>0</v>
      </c>
      <c r="F17" s="30" t="b">
        <f t="shared" si="0"/>
        <v>0</v>
      </c>
      <c r="G17" s="38"/>
    </row>
    <row r="18" spans="1:9" ht="21.75" customHeight="1">
      <c r="B18" s="31"/>
      <c r="C18" s="39" t="str">
        <f>HLOOKUP($F$2,Nombres!$C$3:$D$636,19,FALSE)</f>
        <v xml:space="preserve">Corporate Center </v>
      </c>
      <c r="D18" s="52"/>
      <c r="E18" s="31" t="b">
        <v>0</v>
      </c>
      <c r="F18" s="30" t="b">
        <f t="shared" si="0"/>
        <v>0</v>
      </c>
      <c r="G18" s="38"/>
    </row>
    <row r="19" spans="1:9" ht="23.25" customHeight="1">
      <c r="B19" s="31"/>
      <c r="C19" s="53"/>
      <c r="D19" s="52"/>
      <c r="E19" s="31" t="b">
        <v>0</v>
      </c>
      <c r="F19" s="30" t="b">
        <f t="shared" si="0"/>
        <v>0</v>
      </c>
      <c r="G19" s="38"/>
    </row>
    <row r="20" spans="1:9" ht="23.25" customHeight="1">
      <c r="B20" s="31"/>
      <c r="C20" s="36" t="str">
        <f>HLOOKUP($F$2,Nombres!$C$3:$D$636,20,FALSE)</f>
        <v>Additional information:</v>
      </c>
      <c r="D20" s="31"/>
      <c r="E20" s="31"/>
      <c r="G20" s="38"/>
    </row>
    <row r="21" spans="1:9" ht="23.25" customHeight="1">
      <c r="A21" s="46"/>
      <c r="B21" s="31"/>
      <c r="C21" s="39" t="str">
        <f>HLOOKUP($F$2,Nombres!$C$3:$D$636,21,FALSE)</f>
        <v>Corporate &amp; Investment Banking</v>
      </c>
      <c r="D21" s="31"/>
      <c r="E21" s="31"/>
      <c r="G21" s="38"/>
    </row>
    <row r="22" spans="1:9" ht="23.25" customHeight="1">
      <c r="A22" s="54"/>
      <c r="B22" s="31"/>
      <c r="C22" s="36" t="str">
        <f>HLOOKUP($F$2,Nombres!$C$3:$D$636,22,FALSE)</f>
        <v>Annex:</v>
      </c>
      <c r="D22" s="31"/>
      <c r="E22" s="31" t="b">
        <v>0</v>
      </c>
      <c r="F22" s="30" t="b">
        <f>OR($E$8,E22)</f>
        <v>0</v>
      </c>
      <c r="G22" s="38"/>
    </row>
    <row r="23" spans="1:9" ht="24.75" customHeight="1">
      <c r="B23" s="31"/>
      <c r="C23" s="55" t="str">
        <f>HLOOKUP($F$2,Nombres!$C$3:$D$636,23,FALSE)</f>
        <v>Efficiency</v>
      </c>
      <c r="D23" s="52"/>
      <c r="E23" s="31"/>
      <c r="G23" s="38"/>
    </row>
    <row r="24" spans="1:9" ht="24.75" customHeight="1">
      <c r="B24" s="31"/>
      <c r="C24" s="55" t="str">
        <f>HLOOKUP($F$2,Nombres!$C$3:$D$636,322,FALSE)</f>
        <v>RORWA</v>
      </c>
      <c r="D24" s="52"/>
      <c r="E24" s="31"/>
      <c r="G24" s="38"/>
    </row>
    <row r="25" spans="1:9" s="46" customFormat="1" ht="23.25" customHeight="1">
      <c r="A25" s="30"/>
      <c r="B25" s="31"/>
      <c r="C25" s="55" t="str">
        <f>HLOOKUP($F$2,Nombres!$C$3:$D$636,24,FALSE)</f>
        <v>NPL, coverage ratios and cost of risk</v>
      </c>
      <c r="D25" s="52"/>
      <c r="E25" s="31"/>
      <c r="F25" s="30"/>
      <c r="G25" s="38"/>
      <c r="H25" s="30"/>
      <c r="I25" s="30"/>
    </row>
    <row r="26" spans="1:9" s="54" customFormat="1" ht="23.25" customHeight="1">
      <c r="A26" s="30"/>
      <c r="B26" s="31"/>
      <c r="C26" s="55" t="str">
        <f>HLOOKUP($F$2,Nombres!$C$3:$D$636,25,FALSE)</f>
        <v>Branches, employees and atm´s</v>
      </c>
      <c r="D26" s="52"/>
      <c r="E26" s="31"/>
      <c r="F26" s="30"/>
      <c r="G26" s="38"/>
      <c r="H26" s="30"/>
      <c r="I26" s="30"/>
    </row>
    <row r="27" spans="1:9" ht="23.25" customHeight="1">
      <c r="B27" s="31"/>
      <c r="C27" s="55" t="str">
        <f>HLOOKUP($F$2,Nombres!$C$3:$D$636,26,FALSE)</f>
        <v>Exchange rates</v>
      </c>
      <c r="D27" s="43"/>
      <c r="E27" s="31"/>
      <c r="G27" s="38"/>
    </row>
    <row r="28" spans="1:9" ht="22.5" customHeight="1">
      <c r="B28" s="43"/>
      <c r="C28" s="55" t="str">
        <f>HLOOKUP($F$2,Nombres!$C$3:$D$636,27,FALSE)</f>
        <v>Customer Spreads</v>
      </c>
      <c r="D28" s="31"/>
      <c r="E28" s="43" t="b">
        <v>0</v>
      </c>
      <c r="F28" s="30" t="b">
        <f t="shared" ref="F28:F35" si="1">OR($E$27,E28)</f>
        <v>0</v>
      </c>
      <c r="G28" s="45"/>
      <c r="H28" s="46"/>
      <c r="I28" s="46"/>
    </row>
    <row r="29" spans="1:9" ht="22.5" customHeight="1">
      <c r="B29" s="56"/>
      <c r="C29" s="55" t="str">
        <f>HLOOKUP($F$2,Nombres!$C$3:$D$636,28,FALSE)</f>
        <v>Risk-weighted assets. Breakdown by business areas and main countries</v>
      </c>
      <c r="D29" s="31"/>
      <c r="E29" s="56" t="b">
        <v>0</v>
      </c>
      <c r="F29" s="54" t="b">
        <f t="shared" si="1"/>
        <v>0</v>
      </c>
      <c r="G29" s="57"/>
      <c r="H29" s="54"/>
      <c r="I29" s="54"/>
    </row>
    <row r="30" spans="1:9" ht="23.25" customHeight="1">
      <c r="B30" s="31"/>
      <c r="C30" s="55" t="str">
        <f>HLOOKUP($F$2,Nombres!$C$3:$D$636,29,FALSE)</f>
        <v>Breakdown of performing loans under management</v>
      </c>
      <c r="D30" s="31"/>
      <c r="E30" s="31" t="b">
        <v>0</v>
      </c>
      <c r="F30" s="30" t="b">
        <f t="shared" si="1"/>
        <v>0</v>
      </c>
      <c r="G30" s="38"/>
    </row>
    <row r="31" spans="1:9" ht="23.25" customHeight="1">
      <c r="B31" s="31"/>
      <c r="C31" s="55" t="str">
        <f>HLOOKUP($F$2,Nombres!$C$3:$D$636,120,FALSE)</f>
        <v>Breakdown of customer funds under management</v>
      </c>
      <c r="D31" s="31"/>
      <c r="E31" s="31" t="b">
        <v>0</v>
      </c>
      <c r="F31" s="30" t="b">
        <f t="shared" si="1"/>
        <v>0</v>
      </c>
      <c r="G31" s="38"/>
    </row>
    <row r="32" spans="1:9" ht="23.25" customHeight="1">
      <c r="B32" s="31"/>
      <c r="C32" s="55" t="str">
        <f>HLOOKUP($F$2,Nombres!$C$3:$D$636,242,FALSE)</f>
        <v>ALCO Portfolio</v>
      </c>
      <c r="D32" s="43"/>
      <c r="E32" s="31" t="b">
        <v>1</v>
      </c>
      <c r="F32" s="30" t="b">
        <f t="shared" si="1"/>
        <v>1</v>
      </c>
    </row>
    <row r="33" spans="2:8" ht="23.25" customHeight="1">
      <c r="B33" s="31"/>
      <c r="C33" s="32"/>
      <c r="D33" s="56"/>
      <c r="E33" s="31" t="b">
        <v>0</v>
      </c>
      <c r="F33" s="30" t="b">
        <f t="shared" si="1"/>
        <v>0</v>
      </c>
    </row>
    <row r="34" spans="2:8" ht="23.25" customHeight="1">
      <c r="B34" s="31"/>
      <c r="C34" s="81"/>
      <c r="D34" s="31"/>
      <c r="E34" s="31" t="b">
        <v>0</v>
      </c>
      <c r="F34" s="30" t="b">
        <f t="shared" si="1"/>
        <v>0</v>
      </c>
    </row>
    <row r="35" spans="2:8" ht="23.25" customHeight="1">
      <c r="B35" s="31"/>
      <c r="C35" s="32"/>
      <c r="D35" s="31"/>
      <c r="E35" s="31" t="b">
        <v>0</v>
      </c>
      <c r="F35" s="30" t="b">
        <f t="shared" si="1"/>
        <v>0</v>
      </c>
    </row>
    <row r="36" spans="2:8" ht="23.25" customHeight="1">
      <c r="B36" s="31"/>
      <c r="C36" s="32"/>
      <c r="D36" s="31"/>
      <c r="E36" s="31"/>
    </row>
    <row r="37" spans="2:8" ht="23.25" customHeight="1">
      <c r="B37" s="31"/>
      <c r="C37" s="32"/>
      <c r="D37" s="31"/>
      <c r="E37" s="31"/>
    </row>
    <row r="38" spans="2:8" ht="23.25" customHeight="1">
      <c r="B38" s="31"/>
      <c r="C38" s="300"/>
      <c r="D38" s="300"/>
      <c r="E38" s="300"/>
      <c r="F38" s="300"/>
      <c r="G38" s="300"/>
      <c r="H38" s="300"/>
    </row>
    <row r="39" spans="2:8" ht="23.25" customHeight="1">
      <c r="B39" s="31"/>
      <c r="D39" s="31"/>
      <c r="E39" s="31"/>
    </row>
    <row r="40" spans="2:8" ht="23.25" customHeight="1">
      <c r="B40" s="31"/>
      <c r="D40" s="31"/>
      <c r="E40" s="31"/>
    </row>
    <row r="41" spans="2:8" ht="23.25" customHeight="1">
      <c r="B41" s="31"/>
      <c r="D41" s="31"/>
      <c r="E41" s="31"/>
    </row>
    <row r="42" spans="2:8" ht="23.25" customHeight="1">
      <c r="B42" s="31"/>
      <c r="D42" s="31"/>
      <c r="E42" s="31"/>
    </row>
    <row r="47" spans="2:8" ht="23.25" customHeight="1">
      <c r="G47" s="60"/>
    </row>
    <row r="1004" spans="1:1" ht="23.25" customHeight="1">
      <c r="A1004" s="30" t="s">
        <v>555</v>
      </c>
    </row>
  </sheetData>
  <mergeCells count="1">
    <mergeCell ref="C38:H38"/>
  </mergeCells>
  <hyperlinks>
    <hyperlink ref="C5" location="'Cuenta de Resultados'!A1" display="'Cuenta de Resultados'!A1" xr:uid="{00000000-0004-0000-0100-000000000000}"/>
    <hyperlink ref="C9" location="España!A1" display="España!A1" xr:uid="{00000000-0004-0000-0100-000001000000}"/>
    <hyperlink ref="C10" location="Mexico!A1" display="Mexico!A1" xr:uid="{00000000-0004-0000-0100-000002000000}"/>
    <hyperlink ref="C11" location="Turquia!A1" display="Turquia!A1" xr:uid="{00000000-0004-0000-0100-000003000000}"/>
    <hyperlink ref="C12" location="AdS!A1" display="AdS!A1" xr:uid="{00000000-0004-0000-0100-000004000000}"/>
    <hyperlink ref="C13" location="Argentina!A1" display="Argentina!A1" xr:uid="{00000000-0004-0000-0100-000005000000}"/>
    <hyperlink ref="C14" location="Chile!A1" display="Chile!A1" xr:uid="{00000000-0004-0000-0100-000006000000}"/>
    <hyperlink ref="C15" location="Colombia!A1" display="Colombia!A1" xr:uid="{00000000-0004-0000-0100-000007000000}"/>
    <hyperlink ref="C16" location="Peru!A1" display="Peru!A1" xr:uid="{00000000-0004-0000-0100-000008000000}"/>
    <hyperlink ref="C17" location="'Resto de Negocios'!A1" display="'Resto de Negocios'!A1" xr:uid="{00000000-0004-0000-0100-000009000000}"/>
    <hyperlink ref="C18" location="'Centro Corporativo'!A1" display="'Centro Corporativo'!A1" xr:uid="{00000000-0004-0000-0100-00000A000000}"/>
    <hyperlink ref="C21" location="'Corporate &amp; Investment Banking'!A1" display="'Corporate &amp; Investment Banking'!A1" xr:uid="{00000000-0004-0000-0100-00000B000000}"/>
    <hyperlink ref="C23" location="Eficiencia!A1" display="Eficiencia!A1" xr:uid="{00000000-0004-0000-0100-00000C000000}"/>
    <hyperlink ref="C25" location="'Mora,cobertura,coste de riesgo'!A1" display="'Mora,cobertura,coste de riesgo'!A1" xr:uid="{00000000-0004-0000-0100-00000D000000}"/>
    <hyperlink ref="C26" location="'Empleados, oficinas y cajeros'!A1" display="'Empleados, oficinas y cajeros'!A1" xr:uid="{00000000-0004-0000-0100-00000E000000}"/>
    <hyperlink ref="C27" location="'Tipos de Cambio'!A1" display="'Tipos de Cambio'!A1" xr:uid="{00000000-0004-0000-0100-00000F000000}"/>
    <hyperlink ref="C29" location="APRs!A1" display="APRs!A1" xr:uid="{00000000-0004-0000-0100-000010000000}"/>
    <hyperlink ref="C30" location="Inversion!A1" display="Inversion!A1" xr:uid="{00000000-0004-0000-0100-000011000000}"/>
    <hyperlink ref="C28" location="Diferenciales!A1" display="Diferenciales!A1" xr:uid="{00000000-0004-0000-0100-000012000000}"/>
    <hyperlink ref="C31" location="Recursos!A1" display="Recursos!A1" xr:uid="{00000000-0004-0000-0100-000013000000}"/>
    <hyperlink ref="C7" location="Balance!A1" display="Balance!A1" xr:uid="{00000000-0004-0000-0100-000014000000}"/>
    <hyperlink ref="C32" location="ALCO!A1" display="ALCO!A1" xr:uid="{00000000-0004-0000-0100-000015000000}"/>
    <hyperlink ref="C24" location="RORWA!A1" display="RORWA!A1" xr:uid="{00000000-0004-0000-0100-000016000000}"/>
  </hyperlinks>
  <pageMargins left="0.75" right="0.75" top="1" bottom="1" header="0" footer="0"/>
  <pageSetup scale="5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88900</xdr:colOff>
                    <xdr:row>6</xdr:row>
                    <xdr:rowOff>0</xdr:rowOff>
                  </from>
                  <to>
                    <xdr:col>0</xdr:col>
                    <xdr:colOff>419100</xdr:colOff>
                    <xdr:row>6</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88900</xdr:colOff>
                    <xdr:row>6</xdr:row>
                    <xdr:rowOff>0</xdr:rowOff>
                  </from>
                  <to>
                    <xdr:col>0</xdr:col>
                    <xdr:colOff>419100</xdr:colOff>
                    <xdr:row>6</xdr:row>
                    <xdr:rowOff>266700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0</xdr:col>
                    <xdr:colOff>88900</xdr:colOff>
                    <xdr:row>6</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0</xdr:col>
                    <xdr:colOff>285750</xdr:colOff>
                    <xdr:row>5</xdr:row>
                    <xdr:rowOff>209550</xdr:rowOff>
                  </from>
                  <to>
                    <xdr:col>1</xdr:col>
                    <xdr:colOff>260350</xdr:colOff>
                    <xdr:row>7</xdr:row>
                    <xdr:rowOff>247650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0</xdr:col>
                    <xdr:colOff>285750</xdr:colOff>
                    <xdr:row>7</xdr:row>
                    <xdr:rowOff>190500</xdr:rowOff>
                  </from>
                  <to>
                    <xdr:col>1</xdr:col>
                    <xdr:colOff>260350</xdr:colOff>
                    <xdr:row>9</xdr:row>
                    <xdr:rowOff>165100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0</xdr:col>
                    <xdr:colOff>88900</xdr:colOff>
                    <xdr:row>5</xdr:row>
                    <xdr:rowOff>0</xdr:rowOff>
                  </from>
                  <to>
                    <xdr:col>0</xdr:col>
                    <xdr:colOff>419100</xdr:colOff>
                    <xdr:row>6</xdr:row>
                    <xdr:rowOff>228600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0</xdr:col>
                    <xdr:colOff>88900</xdr:colOff>
                    <xdr:row>5</xdr:row>
                    <xdr:rowOff>0</xdr:rowOff>
                  </from>
                  <to>
                    <xdr:col>0</xdr:col>
                    <xdr:colOff>419100</xdr:colOff>
                    <xdr:row>6</xdr:row>
                    <xdr:rowOff>228600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0</xdr:col>
                    <xdr:colOff>88900</xdr:colOff>
                    <xdr:row>5</xdr:row>
                    <xdr:rowOff>0</xdr:rowOff>
                  </from>
                  <to>
                    <xdr:col>0</xdr:col>
                    <xdr:colOff>412750</xdr:colOff>
                    <xdr:row>6</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X1000"/>
  <sheetViews>
    <sheetView showGridLines="0" workbookViewId="0"/>
  </sheetViews>
  <sheetFormatPr baseColWidth="10" defaultColWidth="11.453125" defaultRowHeight="14.5"/>
  <cols>
    <col min="1" max="1" width="13.453125" customWidth="1"/>
    <col min="2" max="2" width="32.1796875" customWidth="1"/>
    <col min="6" max="6" width="8.1796875" customWidth="1"/>
    <col min="7" max="7" width="7.453125" customWidth="1"/>
    <col min="8" max="9" width="14.1796875" customWidth="1"/>
  </cols>
  <sheetData>
    <row r="1" spans="1:24" ht="17">
      <c r="A1" s="133" t="str">
        <f>HLOOKUP(INDICE!$F$2,Nombres!$C$3:$D$636,161,FALSE)</f>
        <v>Exchange rates</v>
      </c>
      <c r="B1" s="133"/>
      <c r="C1" s="134"/>
      <c r="D1" s="134"/>
      <c r="E1" s="134"/>
      <c r="F1" s="134"/>
      <c r="G1" s="134"/>
      <c r="H1" s="134"/>
      <c r="I1" s="134"/>
      <c r="J1" s="155"/>
      <c r="K1" s="135"/>
      <c r="L1" s="135"/>
      <c r="M1" s="135"/>
      <c r="N1" s="217"/>
      <c r="O1" s="217"/>
      <c r="P1" s="217"/>
      <c r="Q1" s="217"/>
      <c r="R1" s="217"/>
      <c r="S1" s="217"/>
      <c r="T1" s="217"/>
      <c r="U1" s="217"/>
      <c r="V1" s="217"/>
      <c r="W1" s="217"/>
      <c r="X1" s="217"/>
    </row>
    <row r="2" spans="1:24">
      <c r="A2" s="9" t="str">
        <f>HLOOKUP(INDICE!$F$2,Nombres!$C$3:$D$636,162,FALSE)</f>
        <v>(Expressed in currency/euro)</v>
      </c>
      <c r="B2" s="9"/>
      <c r="C2" s="218"/>
      <c r="D2" s="218"/>
      <c r="E2" s="218"/>
      <c r="F2" s="218"/>
      <c r="G2" s="218"/>
      <c r="H2" s="218"/>
      <c r="I2" s="218"/>
      <c r="J2" s="155"/>
      <c r="K2" s="135"/>
      <c r="L2" s="135"/>
      <c r="M2" s="135"/>
    </row>
    <row r="3" spans="1:24" ht="19.5">
      <c r="A3" s="219"/>
      <c r="B3" s="219"/>
      <c r="C3" s="304" t="str">
        <f>HLOOKUP(INDICE!$F$2,Nombres!$C$3:$D$636,163,FALSE)</f>
        <v>Year-end exchange rates (*)</v>
      </c>
      <c r="D3" s="304"/>
      <c r="E3" s="304"/>
      <c r="F3" s="220"/>
      <c r="G3" s="221"/>
      <c r="H3" s="304" t="str">
        <f>HLOOKUP(INDICE!$F$2,Nombres!$C$3:$D$636,164,FALSE)</f>
        <v>Average exchange rates (**)</v>
      </c>
      <c r="I3" s="304"/>
    </row>
    <row r="4" spans="1:24">
      <c r="A4" s="138"/>
      <c r="B4" s="138"/>
      <c r="C4" s="102"/>
      <c r="D4" s="222" t="str">
        <f>HLOOKUP(INDICE!$F$2,Nombres!$C$3:$D$636,165,FALSE)</f>
        <v>∆% on</v>
      </c>
      <c r="E4" s="222" t="str">
        <f>HLOOKUP(INDICE!$F$2,Nombres!$C$3:$D$636,165,FALSE)</f>
        <v>∆% on</v>
      </c>
      <c r="F4" s="220"/>
      <c r="G4" s="221"/>
      <c r="H4" s="223"/>
      <c r="I4" s="222" t="str">
        <f>HLOOKUP(INDICE!$F$2,Nombres!$C$3:$D$636,165,FALSE)</f>
        <v>∆% on</v>
      </c>
    </row>
    <row r="5" spans="1:24">
      <c r="A5" s="138"/>
      <c r="B5" s="138"/>
      <c r="C5" s="224">
        <v>46112</v>
      </c>
      <c r="D5" s="224">
        <f>DATE(YEAR(C5)-1,MONTH(C5),DAY(C5))</f>
        <v>45747</v>
      </c>
      <c r="E5" s="224">
        <v>46022</v>
      </c>
      <c r="F5" s="225"/>
      <c r="G5" s="226"/>
      <c r="H5" s="224">
        <f>+C5</f>
        <v>46112</v>
      </c>
      <c r="I5" s="227">
        <f>+D5</f>
        <v>45747</v>
      </c>
    </row>
    <row r="6" spans="1:24">
      <c r="A6" s="7" t="str">
        <f>HLOOKUP(INDICE!$F$2,Nombres!$C$3:$D$636,152,FALSE)</f>
        <v>Mexican peso</v>
      </c>
      <c r="B6" s="7"/>
      <c r="C6" s="228">
        <v>20.710100000027971</v>
      </c>
      <c r="D6" s="229">
        <v>6.531112839231179E-2</v>
      </c>
      <c r="E6" s="229">
        <v>1.9695704030499694E-2</v>
      </c>
      <c r="F6" s="230"/>
      <c r="G6" s="86"/>
      <c r="H6" s="228">
        <v>20.548265999800805</v>
      </c>
      <c r="I6" s="229">
        <v>4.6257333833481518E-2</v>
      </c>
    </row>
    <row r="7" spans="1:24">
      <c r="A7" s="7" t="str">
        <f>HLOOKUP(INDICE!$F$2,Nombres!$C$3:$D$636,153,FALSE)</f>
        <v>U.S. dollar</v>
      </c>
      <c r="B7" s="7"/>
      <c r="C7" s="228">
        <v>1.1497999999999837</v>
      </c>
      <c r="D7" s="229">
        <v>-5.9401635067229064E-2</v>
      </c>
      <c r="E7" s="229">
        <v>2.1916855105531097E-2</v>
      </c>
      <c r="F7" s="188"/>
      <c r="G7" s="86"/>
      <c r="H7" s="228">
        <v>1.1702610000004074</v>
      </c>
      <c r="I7" s="229">
        <v>-0.10076384669736926</v>
      </c>
    </row>
    <row r="8" spans="1:24">
      <c r="A8" s="7" t="str">
        <f>HLOOKUP(INDICE!$F$2,Nombres!$C$3:$D$636,154,FALSE)</f>
        <v>Argentine peso</v>
      </c>
      <c r="B8" s="231" t="s">
        <v>559</v>
      </c>
      <c r="C8" s="232">
        <v>1603.8829261440269</v>
      </c>
      <c r="D8" s="229">
        <v>-0.2762220703756727</v>
      </c>
      <c r="E8" s="229">
        <v>6.9164460158960051E-2</v>
      </c>
      <c r="F8" s="188"/>
      <c r="G8" s="86"/>
      <c r="H8" s="233" t="s">
        <v>560</v>
      </c>
      <c r="I8" s="233" t="s">
        <v>560</v>
      </c>
    </row>
    <row r="9" spans="1:24">
      <c r="A9" s="7" t="str">
        <f>HLOOKUP(INDICE!$F$2,Nombres!$C$3:$D$636,155,FALSE)</f>
        <v>Chilean peso</v>
      </c>
      <c r="B9" s="7"/>
      <c r="C9" s="228">
        <v>1071.1191863024594</v>
      </c>
      <c r="D9" s="229">
        <v>-4.4730817410406187E-2</v>
      </c>
      <c r="E9" s="229">
        <v>-4.8934202350711109E-3</v>
      </c>
      <c r="F9" s="188"/>
      <c r="G9" s="86"/>
      <c r="H9" s="228">
        <v>1036.6354504529809</v>
      </c>
      <c r="I9" s="229">
        <v>-2.1916612712314376E-2</v>
      </c>
    </row>
    <row r="10" spans="1:24">
      <c r="A10" s="7" t="str">
        <f>HLOOKUP(INDICE!$F$2,Nombres!$C$3:$D$636,156,FALSE)</f>
        <v>Colombian peso</v>
      </c>
      <c r="B10" s="7"/>
      <c r="C10" s="228">
        <v>4219.7200107748022</v>
      </c>
      <c r="D10" s="229">
        <v>7.4541543808315236E-2</v>
      </c>
      <c r="E10" s="229">
        <v>4.6175808974183052E-2</v>
      </c>
      <c r="F10" s="188"/>
      <c r="G10" s="86"/>
      <c r="H10" s="228">
        <v>4325.9396535744263</v>
      </c>
      <c r="I10" s="229">
        <v>1.9663266595935314E-2</v>
      </c>
    </row>
    <row r="11" spans="1:24">
      <c r="A11" s="7" t="str">
        <f>HLOOKUP(INDICE!$F$2,Nombres!$C$3:$D$636,157,FALSE)</f>
        <v>Peruvian sol</v>
      </c>
      <c r="B11" s="7"/>
      <c r="C11" s="228">
        <v>4.0219999999961873</v>
      </c>
      <c r="D11" s="229">
        <v>-1.6646941820590899E-2</v>
      </c>
      <c r="E11" s="229">
        <v>-1.8252859274569211E-2</v>
      </c>
      <c r="F11" s="188"/>
      <c r="G11" s="86"/>
      <c r="H11" s="228">
        <v>3.9631920000027647</v>
      </c>
      <c r="I11" s="229">
        <v>-1.8351621621272352E-2</v>
      </c>
    </row>
    <row r="12" spans="1:24">
      <c r="A12" s="7" t="str">
        <f>HLOOKUP(INDICE!$F$2,Nombres!$C$3:$D$636,158,FALSE)</f>
        <v>Turkish lira</v>
      </c>
      <c r="B12" s="231" t="s">
        <v>559</v>
      </c>
      <c r="C12" s="228">
        <v>51.143299999603492</v>
      </c>
      <c r="D12" s="229">
        <v>-0.19755080334022568</v>
      </c>
      <c r="E12" s="229">
        <v>-1.2895139734780181E-2</v>
      </c>
      <c r="F12" s="188"/>
      <c r="G12" s="86"/>
      <c r="H12" s="233" t="s">
        <v>560</v>
      </c>
      <c r="I12" s="233" t="s">
        <v>560</v>
      </c>
    </row>
    <row r="13" spans="1:24">
      <c r="A13" s="137"/>
      <c r="B13" s="137"/>
      <c r="D13" s="234"/>
      <c r="E13" s="234"/>
      <c r="F13" s="234"/>
      <c r="G13" s="234"/>
      <c r="H13" s="137"/>
      <c r="I13" s="137"/>
    </row>
    <row r="14" spans="1:24">
      <c r="A14" s="137"/>
      <c r="B14" s="137"/>
      <c r="C14" s="235"/>
      <c r="D14" s="234"/>
      <c r="E14" s="234"/>
      <c r="F14" s="234"/>
      <c r="G14" s="234"/>
      <c r="H14" s="137"/>
      <c r="I14" s="137"/>
    </row>
    <row r="15" spans="1:24">
      <c r="A15" s="20" t="str">
        <f>HLOOKUP(INDICE!$F$2,Nombres!$C$3:$D$636,159,FALSE)</f>
        <v>(*) Used in the constant euros comparisons for the balance sheet and business activity</v>
      </c>
      <c r="B15" s="20"/>
      <c r="C15" s="168"/>
      <c r="D15" s="168"/>
      <c r="E15" s="168"/>
      <c r="F15" s="234"/>
      <c r="G15" s="234"/>
      <c r="H15" s="137"/>
      <c r="I15" s="137"/>
    </row>
    <row r="16" spans="1:24">
      <c r="A16" s="20" t="str">
        <f>HLOOKUP(INDICE!$F$2,Nombres!$C$3:$D$636,160,FALSE)</f>
        <v>(**) Used in the constant euros comparisons for the profit and loss</v>
      </c>
      <c r="B16" s="20"/>
      <c r="C16" s="168"/>
      <c r="D16" s="168"/>
      <c r="E16" s="168"/>
      <c r="F16" s="234"/>
      <c r="G16" s="234"/>
      <c r="H16" s="137"/>
      <c r="I16" s="137"/>
    </row>
    <row r="17" spans="1:5">
      <c r="A17" s="20" t="str">
        <f>HLOOKUP(INDICE!$F$2,Nombres!$C$3:$D$636,313,FALSE)</f>
        <v>(1) According to IAS 21 "Effects of changes in foreign currency exchange rates", the translation of the income statement for Turkey and Argentina is made using the final exchange rate.</v>
      </c>
    </row>
    <row r="20" spans="1:5">
      <c r="D20" s="234"/>
    </row>
    <row r="25" spans="1:5">
      <c r="C25" s="236"/>
      <c r="D25" s="236"/>
      <c r="E25" s="236"/>
    </row>
    <row r="27" spans="1:5">
      <c r="E27" s="236"/>
    </row>
    <row r="1000" spans="1:1">
      <c r="A1000" t="s">
        <v>555</v>
      </c>
    </row>
  </sheetData>
  <mergeCells count="2">
    <mergeCell ref="C3:E3"/>
    <mergeCell ref="H3:I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'H:\CA81G369\BUDGET &amp; GROUP ANALYSIS\Series WEB\[Series_web_Gold oficial 2026.xlsx]Control'!#REF!</xm:f>
          </x14:formula1>
          <xm:sqref>C5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D8BE75"/>
  </sheetPr>
  <dimension ref="A1:AE996"/>
  <sheetViews>
    <sheetView showGridLines="0" zoomScale="85" zoomScaleNormal="85" workbookViewId="0"/>
  </sheetViews>
  <sheetFormatPr baseColWidth="10" defaultColWidth="11.453125" defaultRowHeight="12.5"/>
  <cols>
    <col min="1" max="1" width="30.7265625" style="239" customWidth="1"/>
    <col min="2" max="6" width="10.7265625" style="239" customWidth="1"/>
    <col min="7" max="9" width="10.7265625" style="239" hidden="1" customWidth="1"/>
    <col min="10" max="256" width="11.453125" style="239"/>
    <col min="257" max="257" width="30.7265625" style="239" customWidth="1"/>
    <col min="258" max="265" width="10.7265625" style="239" customWidth="1"/>
    <col min="266" max="512" width="11.453125" style="239"/>
    <col min="513" max="513" width="30.7265625" style="239" customWidth="1"/>
    <col min="514" max="521" width="10.7265625" style="239" customWidth="1"/>
    <col min="522" max="768" width="11.453125" style="239"/>
    <col min="769" max="769" width="30.7265625" style="239" customWidth="1"/>
    <col min="770" max="777" width="10.7265625" style="239" customWidth="1"/>
    <col min="778" max="1024" width="11.453125" style="239"/>
    <col min="1025" max="1025" width="30.7265625" style="239" customWidth="1"/>
    <col min="1026" max="1033" width="10.7265625" style="239" customWidth="1"/>
    <col min="1034" max="1280" width="11.453125" style="239"/>
    <col min="1281" max="1281" width="30.7265625" style="239" customWidth="1"/>
    <col min="1282" max="1289" width="10.7265625" style="239" customWidth="1"/>
    <col min="1290" max="1536" width="11.453125" style="239"/>
    <col min="1537" max="1537" width="30.7265625" style="239" customWidth="1"/>
    <col min="1538" max="1545" width="10.7265625" style="239" customWidth="1"/>
    <col min="1546" max="1792" width="11.453125" style="239"/>
    <col min="1793" max="1793" width="30.7265625" style="239" customWidth="1"/>
    <col min="1794" max="1801" width="10.7265625" style="239" customWidth="1"/>
    <col min="1802" max="2048" width="11.453125" style="239"/>
    <col min="2049" max="2049" width="30.7265625" style="239" customWidth="1"/>
    <col min="2050" max="2057" width="10.7265625" style="239" customWidth="1"/>
    <col min="2058" max="2304" width="11.453125" style="239"/>
    <col min="2305" max="2305" width="30.7265625" style="239" customWidth="1"/>
    <col min="2306" max="2313" width="10.7265625" style="239" customWidth="1"/>
    <col min="2314" max="2560" width="11.453125" style="239"/>
    <col min="2561" max="2561" width="30.7265625" style="239" customWidth="1"/>
    <col min="2562" max="2569" width="10.7265625" style="239" customWidth="1"/>
    <col min="2570" max="2816" width="11.453125" style="239"/>
    <col min="2817" max="2817" width="30.7265625" style="239" customWidth="1"/>
    <col min="2818" max="2825" width="10.7265625" style="239" customWidth="1"/>
    <col min="2826" max="3072" width="11.453125" style="239"/>
    <col min="3073" max="3073" width="30.7265625" style="239" customWidth="1"/>
    <col min="3074" max="3081" width="10.7265625" style="239" customWidth="1"/>
    <col min="3082" max="3328" width="11.453125" style="239"/>
    <col min="3329" max="3329" width="30.7265625" style="239" customWidth="1"/>
    <col min="3330" max="3337" width="10.7265625" style="239" customWidth="1"/>
    <col min="3338" max="3584" width="11.453125" style="239"/>
    <col min="3585" max="3585" width="30.7265625" style="239" customWidth="1"/>
    <col min="3586" max="3593" width="10.7265625" style="239" customWidth="1"/>
    <col min="3594" max="3840" width="11.453125" style="239"/>
    <col min="3841" max="3841" width="30.7265625" style="239" customWidth="1"/>
    <col min="3842" max="3849" width="10.7265625" style="239" customWidth="1"/>
    <col min="3850" max="4096" width="11.453125" style="239"/>
    <col min="4097" max="4097" width="30.7265625" style="239" customWidth="1"/>
    <col min="4098" max="4105" width="10.7265625" style="239" customWidth="1"/>
    <col min="4106" max="4352" width="11.453125" style="239"/>
    <col min="4353" max="4353" width="30.7265625" style="239" customWidth="1"/>
    <col min="4354" max="4361" width="10.7265625" style="239" customWidth="1"/>
    <col min="4362" max="4608" width="11.453125" style="239"/>
    <col min="4609" max="4609" width="30.7265625" style="239" customWidth="1"/>
    <col min="4610" max="4617" width="10.7265625" style="239" customWidth="1"/>
    <col min="4618" max="4864" width="11.453125" style="239"/>
    <col min="4865" max="4865" width="30.7265625" style="239" customWidth="1"/>
    <col min="4866" max="4873" width="10.7265625" style="239" customWidth="1"/>
    <col min="4874" max="5120" width="11.453125" style="239"/>
    <col min="5121" max="5121" width="30.7265625" style="239" customWidth="1"/>
    <col min="5122" max="5129" width="10.7265625" style="239" customWidth="1"/>
    <col min="5130" max="5376" width="11.453125" style="239"/>
    <col min="5377" max="5377" width="30.7265625" style="239" customWidth="1"/>
    <col min="5378" max="5385" width="10.7265625" style="239" customWidth="1"/>
    <col min="5386" max="5632" width="11.453125" style="239"/>
    <col min="5633" max="5633" width="30.7265625" style="239" customWidth="1"/>
    <col min="5634" max="5641" width="10.7265625" style="239" customWidth="1"/>
    <col min="5642" max="5888" width="11.453125" style="239"/>
    <col min="5889" max="5889" width="30.7265625" style="239" customWidth="1"/>
    <col min="5890" max="5897" width="10.7265625" style="239" customWidth="1"/>
    <col min="5898" max="6144" width="11.453125" style="239"/>
    <col min="6145" max="6145" width="30.7265625" style="239" customWidth="1"/>
    <col min="6146" max="6153" width="10.7265625" style="239" customWidth="1"/>
    <col min="6154" max="6400" width="11.453125" style="239"/>
    <col min="6401" max="6401" width="30.7265625" style="239" customWidth="1"/>
    <col min="6402" max="6409" width="10.7265625" style="239" customWidth="1"/>
    <col min="6410" max="6656" width="11.453125" style="239"/>
    <col min="6657" max="6657" width="30.7265625" style="239" customWidth="1"/>
    <col min="6658" max="6665" width="10.7265625" style="239" customWidth="1"/>
    <col min="6666" max="6912" width="11.453125" style="239"/>
    <col min="6913" max="6913" width="30.7265625" style="239" customWidth="1"/>
    <col min="6914" max="6921" width="10.7265625" style="239" customWidth="1"/>
    <col min="6922" max="7168" width="11.453125" style="239"/>
    <col min="7169" max="7169" width="30.7265625" style="239" customWidth="1"/>
    <col min="7170" max="7177" width="10.7265625" style="239" customWidth="1"/>
    <col min="7178" max="7424" width="11.453125" style="239"/>
    <col min="7425" max="7425" width="30.7265625" style="239" customWidth="1"/>
    <col min="7426" max="7433" width="10.7265625" style="239" customWidth="1"/>
    <col min="7434" max="7680" width="11.453125" style="239"/>
    <col min="7681" max="7681" width="30.7265625" style="239" customWidth="1"/>
    <col min="7682" max="7689" width="10.7265625" style="239" customWidth="1"/>
    <col min="7690" max="7936" width="11.453125" style="239"/>
    <col min="7937" max="7937" width="30.7265625" style="239" customWidth="1"/>
    <col min="7938" max="7945" width="10.7265625" style="239" customWidth="1"/>
    <col min="7946" max="8192" width="11.453125" style="239"/>
    <col min="8193" max="8193" width="30.7265625" style="239" customWidth="1"/>
    <col min="8194" max="8201" width="10.7265625" style="239" customWidth="1"/>
    <col min="8202" max="8448" width="11.453125" style="239"/>
    <col min="8449" max="8449" width="30.7265625" style="239" customWidth="1"/>
    <col min="8450" max="8457" width="10.7265625" style="239" customWidth="1"/>
    <col min="8458" max="8704" width="11.453125" style="239"/>
    <col min="8705" max="8705" width="30.7265625" style="239" customWidth="1"/>
    <col min="8706" max="8713" width="10.7265625" style="239" customWidth="1"/>
    <col min="8714" max="8960" width="11.453125" style="239"/>
    <col min="8961" max="8961" width="30.7265625" style="239" customWidth="1"/>
    <col min="8962" max="8969" width="10.7265625" style="239" customWidth="1"/>
    <col min="8970" max="9216" width="11.453125" style="239"/>
    <col min="9217" max="9217" width="30.7265625" style="239" customWidth="1"/>
    <col min="9218" max="9225" width="10.7265625" style="239" customWidth="1"/>
    <col min="9226" max="9472" width="11.453125" style="239"/>
    <col min="9473" max="9473" width="30.7265625" style="239" customWidth="1"/>
    <col min="9474" max="9481" width="10.7265625" style="239" customWidth="1"/>
    <col min="9482" max="9728" width="11.453125" style="239"/>
    <col min="9729" max="9729" width="30.7265625" style="239" customWidth="1"/>
    <col min="9730" max="9737" width="10.7265625" style="239" customWidth="1"/>
    <col min="9738" max="9984" width="11.453125" style="239"/>
    <col min="9985" max="9985" width="30.7265625" style="239" customWidth="1"/>
    <col min="9986" max="9993" width="10.7265625" style="239" customWidth="1"/>
    <col min="9994" max="10240" width="11.453125" style="239"/>
    <col min="10241" max="10241" width="30.7265625" style="239" customWidth="1"/>
    <col min="10242" max="10249" width="10.7265625" style="239" customWidth="1"/>
    <col min="10250" max="10496" width="11.453125" style="239"/>
    <col min="10497" max="10497" width="30.7265625" style="239" customWidth="1"/>
    <col min="10498" max="10505" width="10.7265625" style="239" customWidth="1"/>
    <col min="10506" max="10752" width="11.453125" style="239"/>
    <col min="10753" max="10753" width="30.7265625" style="239" customWidth="1"/>
    <col min="10754" max="10761" width="10.7265625" style="239" customWidth="1"/>
    <col min="10762" max="11008" width="11.453125" style="239"/>
    <col min="11009" max="11009" width="30.7265625" style="239" customWidth="1"/>
    <col min="11010" max="11017" width="10.7265625" style="239" customWidth="1"/>
    <col min="11018" max="11264" width="11.453125" style="239"/>
    <col min="11265" max="11265" width="30.7265625" style="239" customWidth="1"/>
    <col min="11266" max="11273" width="10.7265625" style="239" customWidth="1"/>
    <col min="11274" max="11520" width="11.453125" style="239"/>
    <col min="11521" max="11521" width="30.7265625" style="239" customWidth="1"/>
    <col min="11522" max="11529" width="10.7265625" style="239" customWidth="1"/>
    <col min="11530" max="11776" width="11.453125" style="239"/>
    <col min="11777" max="11777" width="30.7265625" style="239" customWidth="1"/>
    <col min="11778" max="11785" width="10.7265625" style="239" customWidth="1"/>
    <col min="11786" max="12032" width="11.453125" style="239"/>
    <col min="12033" max="12033" width="30.7265625" style="239" customWidth="1"/>
    <col min="12034" max="12041" width="10.7265625" style="239" customWidth="1"/>
    <col min="12042" max="12288" width="11.453125" style="239"/>
    <col min="12289" max="12289" width="30.7265625" style="239" customWidth="1"/>
    <col min="12290" max="12297" width="10.7265625" style="239" customWidth="1"/>
    <col min="12298" max="12544" width="11.453125" style="239"/>
    <col min="12545" max="12545" width="30.7265625" style="239" customWidth="1"/>
    <col min="12546" max="12553" width="10.7265625" style="239" customWidth="1"/>
    <col min="12554" max="12800" width="11.453125" style="239"/>
    <col min="12801" max="12801" width="30.7265625" style="239" customWidth="1"/>
    <col min="12802" max="12809" width="10.7265625" style="239" customWidth="1"/>
    <col min="12810" max="13056" width="11.453125" style="239"/>
    <col min="13057" max="13057" width="30.7265625" style="239" customWidth="1"/>
    <col min="13058" max="13065" width="10.7265625" style="239" customWidth="1"/>
    <col min="13066" max="13312" width="11.453125" style="239"/>
    <col min="13313" max="13313" width="30.7265625" style="239" customWidth="1"/>
    <col min="13314" max="13321" width="10.7265625" style="239" customWidth="1"/>
    <col min="13322" max="13568" width="11.453125" style="239"/>
    <col min="13569" max="13569" width="30.7265625" style="239" customWidth="1"/>
    <col min="13570" max="13577" width="10.7265625" style="239" customWidth="1"/>
    <col min="13578" max="13824" width="11.453125" style="239"/>
    <col min="13825" max="13825" width="30.7265625" style="239" customWidth="1"/>
    <col min="13826" max="13833" width="10.7265625" style="239" customWidth="1"/>
    <col min="13834" max="14080" width="11.453125" style="239"/>
    <col min="14081" max="14081" width="30.7265625" style="239" customWidth="1"/>
    <col min="14082" max="14089" width="10.7265625" style="239" customWidth="1"/>
    <col min="14090" max="14336" width="11.453125" style="239"/>
    <col min="14337" max="14337" width="30.7265625" style="239" customWidth="1"/>
    <col min="14338" max="14345" width="10.7265625" style="239" customWidth="1"/>
    <col min="14346" max="14592" width="11.453125" style="239"/>
    <col min="14593" max="14593" width="30.7265625" style="239" customWidth="1"/>
    <col min="14594" max="14601" width="10.7265625" style="239" customWidth="1"/>
    <col min="14602" max="14848" width="11.453125" style="239"/>
    <col min="14849" max="14849" width="30.7265625" style="239" customWidth="1"/>
    <col min="14850" max="14857" width="10.7265625" style="239" customWidth="1"/>
    <col min="14858" max="15104" width="11.453125" style="239"/>
    <col min="15105" max="15105" width="30.7265625" style="239" customWidth="1"/>
    <col min="15106" max="15113" width="10.7265625" style="239" customWidth="1"/>
    <col min="15114" max="15360" width="11.453125" style="239"/>
    <col min="15361" max="15361" width="30.7265625" style="239" customWidth="1"/>
    <col min="15362" max="15369" width="10.7265625" style="239" customWidth="1"/>
    <col min="15370" max="15616" width="11.453125" style="239"/>
    <col min="15617" max="15617" width="30.7265625" style="239" customWidth="1"/>
    <col min="15618" max="15625" width="10.7265625" style="239" customWidth="1"/>
    <col min="15626" max="15872" width="11.453125" style="239"/>
    <col min="15873" max="15873" width="30.7265625" style="239" customWidth="1"/>
    <col min="15874" max="15881" width="10.7265625" style="239" customWidth="1"/>
    <col min="15882" max="16128" width="11.453125" style="239"/>
    <col min="16129" max="16129" width="30.7265625" style="239" customWidth="1"/>
    <col min="16130" max="16137" width="10.7265625" style="239" customWidth="1"/>
    <col min="16138" max="16384" width="11.453125" style="239"/>
  </cols>
  <sheetData>
    <row r="1" spans="1:31" ht="19.5">
      <c r="A1" s="133" t="str">
        <f>HLOOKUP(INDICE!$F$2,Nombres!$C$3:$D$636,171,FALSE)</f>
        <v>Customer Spreads (*)</v>
      </c>
      <c r="B1" s="237"/>
      <c r="C1" s="237"/>
      <c r="D1" s="237"/>
      <c r="E1" s="237"/>
      <c r="F1" s="237"/>
      <c r="G1" s="238"/>
      <c r="H1" s="238"/>
      <c r="I1" s="238"/>
    </row>
    <row r="2" spans="1:31" ht="12.75" customHeight="1">
      <c r="A2" s="240" t="str">
        <f>HLOOKUP(INDICE!$F$2,Nombres!$C$3:$D$636,172,FALSE)</f>
        <v>(Percentage)</v>
      </c>
      <c r="B2" s="241"/>
      <c r="C2" s="241"/>
      <c r="D2" s="241"/>
      <c r="E2" s="241"/>
      <c r="F2" s="241"/>
      <c r="G2" s="242"/>
      <c r="H2" s="242"/>
      <c r="I2" s="242"/>
    </row>
    <row r="3" spans="1:31" ht="13.5">
      <c r="A3" s="242"/>
      <c r="B3" s="305">
        <f>+España!B6</f>
        <v>2025</v>
      </c>
      <c r="C3" s="305"/>
      <c r="D3" s="305"/>
      <c r="E3" s="305"/>
      <c r="F3" s="305">
        <f>+España!F6</f>
        <v>2026</v>
      </c>
      <c r="G3" s="305"/>
      <c r="H3" s="305"/>
      <c r="I3" s="305"/>
    </row>
    <row r="4" spans="1:31" ht="13.5">
      <c r="A4" s="188"/>
      <c r="B4" s="243" t="str">
        <f>HLOOKUP(INDICE!$F$2,Nombres!$C$3:$D$636,167,FALSE)</f>
        <v>1Q</v>
      </c>
      <c r="C4" s="243" t="str">
        <f>HLOOKUP(INDICE!$F$2,Nombres!$C$3:$D$636,168,FALSE)</f>
        <v>2Q</v>
      </c>
      <c r="D4" s="243" t="str">
        <f>HLOOKUP(INDICE!$F$2,Nombres!$C$3:$D$636,169,FALSE)</f>
        <v>3Q</v>
      </c>
      <c r="E4" s="243" t="str">
        <f>HLOOKUP(INDICE!$F$2,Nombres!$C$3:$D$636,170,FALSE)</f>
        <v>4Q</v>
      </c>
      <c r="F4" s="243" t="str">
        <f>HLOOKUP(INDICE!$F$2,Nombres!$C$3:$D$636,167,FALSE)</f>
        <v>1Q</v>
      </c>
      <c r="G4" s="243" t="str">
        <f>HLOOKUP(INDICE!$F$2,Nombres!$C$3:$D$636,168,FALSE)</f>
        <v>2Q</v>
      </c>
      <c r="H4" s="243" t="str">
        <f>HLOOKUP(INDICE!$F$2,Nombres!$C$3:$D$636,169,FALSE)</f>
        <v>3Q</v>
      </c>
      <c r="I4" s="243" t="str">
        <f>HLOOKUP(INDICE!$F$2,Nombres!$C$3:$D$636,170,FALSE)</f>
        <v>4Q</v>
      </c>
    </row>
    <row r="5" spans="1:31">
      <c r="A5" s="188"/>
      <c r="B5" s="140"/>
      <c r="C5" s="140"/>
      <c r="D5" s="140"/>
      <c r="E5" s="140"/>
      <c r="F5" s="140"/>
      <c r="G5" s="242"/>
      <c r="H5" s="242"/>
      <c r="I5" s="242"/>
    </row>
    <row r="6" spans="1:31" ht="14.5">
      <c r="A6" s="23" t="str">
        <f>HLOOKUP(INDICE!$F$2,Nombres!$C$3:$D$636,173,FALSE)</f>
        <v>Lending Yield</v>
      </c>
      <c r="B6" s="244">
        <v>3.85E-2</v>
      </c>
      <c r="C6" s="244">
        <v>3.6600000000000001E-2</v>
      </c>
      <c r="D6" s="244">
        <v>3.4500000000000003E-2</v>
      </c>
      <c r="E6" s="244">
        <v>3.39E-2</v>
      </c>
      <c r="F6" s="244">
        <v>3.3945014296590997E-2</v>
      </c>
      <c r="G6" s="244">
        <v>0</v>
      </c>
      <c r="H6" s="244">
        <v>0</v>
      </c>
      <c r="I6" s="244">
        <v>0</v>
      </c>
      <c r="J6" s="245"/>
      <c r="K6" s="245"/>
      <c r="L6" s="245"/>
      <c r="M6" s="245"/>
      <c r="O6" s="246"/>
      <c r="P6" s="246"/>
      <c r="Q6" s="246"/>
      <c r="R6" s="246"/>
      <c r="S6" s="246"/>
      <c r="X6" s="246"/>
      <c r="Y6" s="246"/>
      <c r="Z6" s="246"/>
      <c r="AA6" s="246"/>
      <c r="AB6" s="246"/>
      <c r="AC6" s="246"/>
      <c r="AD6" s="246"/>
      <c r="AE6" s="246"/>
    </row>
    <row r="7" spans="1:31" ht="14.5">
      <c r="A7" s="23" t="str">
        <f>HLOOKUP(INDICE!$F$2,Nombres!$C$3:$D$636,174,FALSE)</f>
        <v>Cost of deposits</v>
      </c>
      <c r="B7" s="244">
        <v>-6.6E-3</v>
      </c>
      <c r="C7" s="244">
        <v>-6.0000000000000001E-3</v>
      </c>
      <c r="D7" s="244">
        <v>-5.7000000000000002E-3</v>
      </c>
      <c r="E7" s="244">
        <v>-5.8999999999999999E-3</v>
      </c>
      <c r="F7" s="244">
        <v>-5.7739046963807992E-3</v>
      </c>
      <c r="G7" s="244">
        <v>0</v>
      </c>
      <c r="H7" s="244">
        <v>0</v>
      </c>
      <c r="I7" s="244">
        <v>0</v>
      </c>
      <c r="J7" s="245"/>
      <c r="K7" s="245"/>
      <c r="L7" s="245"/>
      <c r="M7" s="245"/>
      <c r="O7" s="246"/>
      <c r="P7" s="246"/>
      <c r="Q7" s="246"/>
      <c r="R7" s="246"/>
      <c r="S7" s="246"/>
      <c r="X7" s="246"/>
      <c r="Y7" s="246"/>
      <c r="Z7" s="246"/>
      <c r="AA7" s="246"/>
      <c r="AB7" s="246"/>
      <c r="AC7" s="246"/>
      <c r="AD7" s="246"/>
      <c r="AE7" s="246"/>
    </row>
    <row r="8" spans="1:31" ht="14.5">
      <c r="A8" s="24" t="str">
        <f>HLOOKUP(INDICE!$F$2,Nombres!$C$3:$D$636,175,FALSE)</f>
        <v>Banking activity in Spain</v>
      </c>
      <c r="B8" s="247">
        <v>3.1899999999999998E-2</v>
      </c>
      <c r="C8" s="247">
        <v>3.0499999999999999E-2</v>
      </c>
      <c r="D8" s="247">
        <v>2.8799999999999999E-2</v>
      </c>
      <c r="E8" s="247">
        <v>2.8000000000000001E-2</v>
      </c>
      <c r="F8" s="247">
        <v>2.8176238269529159E-2</v>
      </c>
      <c r="G8" s="247">
        <v>0</v>
      </c>
      <c r="H8" s="247">
        <v>0</v>
      </c>
      <c r="I8" s="247">
        <v>0</v>
      </c>
      <c r="J8" s="245"/>
      <c r="K8" s="245"/>
      <c r="L8" s="245"/>
      <c r="M8" s="245"/>
      <c r="O8" s="246"/>
      <c r="P8" s="246"/>
      <c r="Q8" s="246"/>
      <c r="R8" s="246"/>
      <c r="S8" s="246"/>
      <c r="X8" s="246"/>
      <c r="Y8" s="246"/>
      <c r="Z8" s="246"/>
      <c r="AA8" s="246"/>
      <c r="AB8" s="246"/>
      <c r="AC8" s="246"/>
      <c r="AD8" s="246"/>
      <c r="AE8" s="246"/>
    </row>
    <row r="9" spans="1:31">
      <c r="A9" s="188"/>
      <c r="B9" s="248"/>
      <c r="C9" s="248"/>
      <c r="D9" s="248"/>
      <c r="E9" s="248"/>
      <c r="F9" s="248"/>
      <c r="G9" s="248"/>
      <c r="H9" s="248"/>
      <c r="I9" s="248"/>
      <c r="O9" s="246"/>
      <c r="P9" s="246"/>
      <c r="Q9" s="246"/>
      <c r="R9" s="246"/>
      <c r="S9" s="246"/>
      <c r="X9" s="246"/>
      <c r="Y9" s="246"/>
      <c r="Z9" s="246"/>
      <c r="AA9" s="246"/>
      <c r="AB9" s="246"/>
      <c r="AC9" s="246"/>
      <c r="AD9" s="246"/>
      <c r="AE9" s="246"/>
    </row>
    <row r="10" spans="1:31" ht="14.5">
      <c r="A10" s="23" t="str">
        <f>HLOOKUP(INDICE!$F$2,Nombres!$C$3:$D$636,173,FALSE)</f>
        <v>Lending Yield</v>
      </c>
      <c r="B10" s="244">
        <v>0.14990000000000001</v>
      </c>
      <c r="C10" s="244">
        <v>0.14710000000000001</v>
      </c>
      <c r="D10" s="244">
        <v>0.14419999999999999</v>
      </c>
      <c r="E10" s="244">
        <v>0.1426</v>
      </c>
      <c r="F10" s="244">
        <v>0.1401928909574085</v>
      </c>
      <c r="G10" s="244">
        <v>0</v>
      </c>
      <c r="H10" s="244">
        <v>0</v>
      </c>
      <c r="I10" s="244">
        <v>0</v>
      </c>
      <c r="J10" s="245"/>
      <c r="K10" s="245"/>
      <c r="L10" s="245"/>
      <c r="M10" s="245"/>
      <c r="O10" s="246"/>
      <c r="P10" s="246"/>
      <c r="Q10" s="246"/>
      <c r="R10" s="246"/>
      <c r="S10" s="246"/>
      <c r="X10" s="246"/>
      <c r="Y10" s="246"/>
      <c r="Z10" s="246"/>
      <c r="AA10" s="246"/>
      <c r="AB10" s="246"/>
      <c r="AC10" s="246"/>
      <c r="AD10" s="246"/>
      <c r="AE10" s="246"/>
    </row>
    <row r="11" spans="1:31" ht="14.5">
      <c r="A11" s="23" t="str">
        <f>HLOOKUP(INDICE!$F$2,Nombres!$C$3:$D$636,174,FALSE)</f>
        <v>Cost of deposits</v>
      </c>
      <c r="B11" s="244">
        <v>-2.9899999999999999E-2</v>
      </c>
      <c r="C11" s="244">
        <v>-2.75E-2</v>
      </c>
      <c r="D11" s="244">
        <v>-2.4500000000000001E-2</v>
      </c>
      <c r="E11" s="244">
        <v>-2.2499999999999999E-2</v>
      </c>
      <c r="F11" s="244">
        <v>-2.2761819535422109E-2</v>
      </c>
      <c r="G11" s="244">
        <v>0</v>
      </c>
      <c r="H11" s="244">
        <v>0</v>
      </c>
      <c r="I11" s="244">
        <v>0</v>
      </c>
      <c r="J11" s="245"/>
      <c r="K11" s="245"/>
      <c r="L11" s="245"/>
      <c r="M11" s="245"/>
      <c r="O11" s="246"/>
      <c r="P11" s="246"/>
      <c r="Q11" s="246"/>
      <c r="R11" s="246"/>
      <c r="S11" s="246"/>
      <c r="X11" s="246"/>
      <c r="Y11" s="246"/>
      <c r="Z11" s="246"/>
      <c r="AA11" s="246"/>
      <c r="AB11" s="246"/>
      <c r="AC11" s="246"/>
      <c r="AD11" s="246"/>
      <c r="AE11" s="246"/>
    </row>
    <row r="12" spans="1:31" ht="14.5">
      <c r="A12" s="24" t="str">
        <f>HLOOKUP(INDICE!$F$2,Nombres!$C$3:$D$636,177,FALSE)</f>
        <v>Mexico MXN</v>
      </c>
      <c r="B12" s="247">
        <v>0.12</v>
      </c>
      <c r="C12" s="247">
        <v>0.1196</v>
      </c>
      <c r="D12" s="247">
        <v>0.1198</v>
      </c>
      <c r="E12" s="247">
        <v>0.1201</v>
      </c>
      <c r="F12" s="247">
        <v>0.11743107142198639</v>
      </c>
      <c r="G12" s="247">
        <v>0</v>
      </c>
      <c r="H12" s="247">
        <v>0</v>
      </c>
      <c r="I12" s="247">
        <v>0</v>
      </c>
      <c r="J12" s="245"/>
      <c r="K12" s="245"/>
      <c r="L12" s="245"/>
      <c r="M12" s="245"/>
      <c r="O12" s="246"/>
      <c r="P12" s="246"/>
      <c r="Q12" s="246"/>
      <c r="R12" s="246"/>
      <c r="S12" s="246"/>
      <c r="X12" s="246"/>
      <c r="Y12" s="246"/>
      <c r="Z12" s="246"/>
      <c r="AA12" s="246"/>
      <c r="AB12" s="246"/>
      <c r="AC12" s="246"/>
      <c r="AD12" s="246"/>
      <c r="AE12" s="246"/>
    </row>
    <row r="13" spans="1:31">
      <c r="A13" s="188"/>
      <c r="B13" s="248"/>
      <c r="C13" s="248"/>
      <c r="D13" s="248"/>
      <c r="E13" s="248"/>
      <c r="F13" s="248"/>
      <c r="G13" s="248"/>
      <c r="H13" s="248"/>
      <c r="I13" s="248"/>
      <c r="O13" s="246"/>
      <c r="P13" s="246"/>
      <c r="Q13" s="246"/>
      <c r="R13" s="246"/>
      <c r="S13" s="246"/>
      <c r="X13" s="246"/>
      <c r="Y13" s="246"/>
      <c r="Z13" s="246"/>
      <c r="AA13" s="246"/>
      <c r="AB13" s="246"/>
      <c r="AC13" s="246"/>
      <c r="AD13" s="246"/>
      <c r="AE13" s="246"/>
    </row>
    <row r="14" spans="1:31">
      <c r="A14" s="23" t="str">
        <f>HLOOKUP(INDICE!$F$2,Nombres!$C$3:$D$636,173,FALSE)</f>
        <v>Lending Yield</v>
      </c>
      <c r="B14" s="248">
        <v>6.2300000000000001E-2</v>
      </c>
      <c r="C14" s="248">
        <v>6.1400000000000003E-2</v>
      </c>
      <c r="D14" s="248">
        <v>6.2100000000000002E-2</v>
      </c>
      <c r="E14" s="248">
        <v>5.8900000000000001E-2</v>
      </c>
      <c r="F14" s="248">
        <v>5.6861299589450735E-2</v>
      </c>
      <c r="G14" s="248">
        <v>0</v>
      </c>
      <c r="H14" s="248">
        <v>0</v>
      </c>
      <c r="I14" s="248">
        <v>0</v>
      </c>
      <c r="O14" s="246"/>
      <c r="P14" s="246"/>
      <c r="Q14" s="246"/>
      <c r="R14" s="246"/>
      <c r="S14" s="246"/>
      <c r="X14" s="246"/>
      <c r="Y14" s="246"/>
      <c r="Z14" s="246"/>
      <c r="AA14" s="246"/>
      <c r="AB14" s="246"/>
      <c r="AC14" s="246"/>
      <c r="AD14" s="246"/>
      <c r="AE14" s="246"/>
    </row>
    <row r="15" spans="1:31">
      <c r="A15" s="23" t="str">
        <f>HLOOKUP(INDICE!$F$2,Nombres!$C$3:$D$636,174,FALSE)</f>
        <v>Cost of deposits</v>
      </c>
      <c r="B15" s="248">
        <v>-7.9000000000000008E-3</v>
      </c>
      <c r="C15" s="248">
        <v>-8.9999999999999993E-3</v>
      </c>
      <c r="D15" s="248">
        <v>-9.7000000000000003E-3</v>
      </c>
      <c r="E15" s="248">
        <v>-9.1000000000000004E-3</v>
      </c>
      <c r="F15" s="248">
        <v>-8.9817200584177224E-3</v>
      </c>
      <c r="G15" s="248">
        <v>0</v>
      </c>
      <c r="H15" s="248">
        <v>0</v>
      </c>
      <c r="I15" s="248">
        <v>0</v>
      </c>
      <c r="O15" s="246"/>
      <c r="P15" s="246"/>
      <c r="Q15" s="246"/>
      <c r="R15" s="246"/>
      <c r="S15" s="246"/>
      <c r="X15" s="246"/>
      <c r="Y15" s="246"/>
      <c r="Z15" s="246"/>
      <c r="AA15" s="246"/>
      <c r="AB15" s="246"/>
      <c r="AC15" s="246"/>
      <c r="AD15" s="246"/>
      <c r="AE15" s="246"/>
    </row>
    <row r="16" spans="1:31">
      <c r="A16" s="24" t="str">
        <f>HLOOKUP(INDICE!$F$2,Nombres!$C$3:$D$636,178,FALSE)</f>
        <v>Mexico  FC (Foreing currency)</v>
      </c>
      <c r="B16" s="249">
        <v>5.4399999999999997E-2</v>
      </c>
      <c r="C16" s="249">
        <v>5.2499999999999998E-2</v>
      </c>
      <c r="D16" s="249">
        <v>5.2400000000000002E-2</v>
      </c>
      <c r="E16" s="249">
        <v>4.9799999999999997E-2</v>
      </c>
      <c r="F16" s="249">
        <v>4.7879579531033015E-2</v>
      </c>
      <c r="G16" s="249">
        <v>0</v>
      </c>
      <c r="H16" s="249">
        <v>0</v>
      </c>
      <c r="I16" s="249">
        <v>0</v>
      </c>
      <c r="O16" s="246"/>
      <c r="P16" s="246"/>
      <c r="Q16" s="246"/>
      <c r="R16" s="246"/>
      <c r="S16" s="246"/>
      <c r="X16" s="246"/>
      <c r="Y16" s="246"/>
      <c r="Z16" s="246"/>
      <c r="AA16" s="246"/>
      <c r="AB16" s="246"/>
      <c r="AC16" s="246"/>
      <c r="AD16" s="246"/>
      <c r="AE16" s="246"/>
    </row>
    <row r="17" spans="1:31">
      <c r="A17" s="188"/>
      <c r="B17" s="248"/>
      <c r="C17" s="248"/>
      <c r="D17" s="248"/>
      <c r="E17" s="248"/>
      <c r="F17" s="248"/>
      <c r="G17" s="248"/>
      <c r="H17" s="248"/>
      <c r="I17" s="248"/>
      <c r="O17" s="246"/>
      <c r="P17" s="246"/>
      <c r="Q17" s="246"/>
      <c r="R17" s="246"/>
      <c r="S17" s="246"/>
      <c r="X17" s="246"/>
      <c r="Y17" s="246"/>
      <c r="Z17" s="246"/>
      <c r="AA17" s="246"/>
      <c r="AB17" s="246"/>
      <c r="AC17" s="246"/>
      <c r="AD17" s="246"/>
      <c r="AE17" s="246"/>
    </row>
    <row r="18" spans="1:31" ht="14.5">
      <c r="A18" s="23" t="str">
        <f>HLOOKUP(INDICE!$F$2,Nombres!$C$3:$D$636,173,FALSE)</f>
        <v>Lending Yield</v>
      </c>
      <c r="B18" s="244">
        <v>0.37759999999999999</v>
      </c>
      <c r="C18" s="244">
        <v>0.37559999999999999</v>
      </c>
      <c r="D18" s="244">
        <v>0.36530000000000001</v>
      </c>
      <c r="E18" s="244">
        <v>0.34899999999999998</v>
      </c>
      <c r="F18" s="244">
        <v>0.33717293388475311</v>
      </c>
      <c r="G18" s="244">
        <v>0</v>
      </c>
      <c r="H18" s="244">
        <v>0</v>
      </c>
      <c r="I18" s="244">
        <v>0</v>
      </c>
      <c r="J18" s="245"/>
      <c r="K18" s="245"/>
      <c r="L18" s="245"/>
      <c r="M18" s="245"/>
      <c r="O18" s="246"/>
      <c r="P18" s="246"/>
      <c r="Q18" s="246"/>
      <c r="R18" s="246"/>
      <c r="S18" s="246"/>
      <c r="X18" s="246"/>
      <c r="Y18" s="246"/>
      <c r="Z18" s="246"/>
      <c r="AA18" s="246"/>
      <c r="AB18" s="246"/>
      <c r="AC18" s="246"/>
      <c r="AD18" s="246"/>
      <c r="AE18" s="246"/>
    </row>
    <row r="19" spans="1:31" ht="14.5">
      <c r="A19" s="23" t="str">
        <f>HLOOKUP(INDICE!$F$2,Nombres!$C$3:$D$636,174,FALSE)</f>
        <v>Cost of deposits</v>
      </c>
      <c r="B19" s="244">
        <v>-0.36299999999999999</v>
      </c>
      <c r="C19" s="244">
        <v>-0.36530000000000001</v>
      </c>
      <c r="D19" s="244">
        <v>-0.3553</v>
      </c>
      <c r="E19" s="244">
        <v>-0.33229999999999998</v>
      </c>
      <c r="F19" s="244">
        <v>-0.31700937654990136</v>
      </c>
      <c r="G19" s="244">
        <v>0</v>
      </c>
      <c r="H19" s="244">
        <v>0</v>
      </c>
      <c r="I19" s="244">
        <v>0</v>
      </c>
      <c r="J19" s="245"/>
      <c r="K19" s="245"/>
      <c r="L19" s="245"/>
      <c r="M19" s="245"/>
      <c r="O19" s="246"/>
      <c r="P19" s="246"/>
      <c r="Q19" s="246"/>
      <c r="R19" s="246"/>
      <c r="S19" s="246"/>
      <c r="X19" s="246"/>
      <c r="Y19" s="246"/>
      <c r="Z19" s="246"/>
      <c r="AA19" s="246"/>
      <c r="AB19" s="246"/>
      <c r="AC19" s="246"/>
      <c r="AD19" s="246"/>
      <c r="AE19" s="246"/>
    </row>
    <row r="20" spans="1:31" ht="14.5">
      <c r="A20" s="24" t="str">
        <f>HLOOKUP(INDICE!$F$2,Nombres!$C$3:$D$636,179,FALSE)</f>
        <v>Turkey TRY</v>
      </c>
      <c r="B20" s="247">
        <v>1.46E-2</v>
      </c>
      <c r="C20" s="247">
        <v>1.04E-2</v>
      </c>
      <c r="D20" s="247">
        <v>0.01</v>
      </c>
      <c r="E20" s="247">
        <v>1.6799999999999999E-2</v>
      </c>
      <c r="F20" s="247">
        <v>2.0163557334851756E-2</v>
      </c>
      <c r="G20" s="247">
        <v>0</v>
      </c>
      <c r="H20" s="247">
        <v>0</v>
      </c>
      <c r="I20" s="247">
        <v>0</v>
      </c>
      <c r="J20" s="245"/>
      <c r="K20" s="245"/>
      <c r="L20" s="245"/>
      <c r="M20" s="245"/>
      <c r="O20" s="246"/>
      <c r="P20" s="246"/>
      <c r="Q20" s="246"/>
      <c r="R20" s="246"/>
      <c r="S20" s="246"/>
      <c r="X20" s="246"/>
      <c r="Y20" s="246"/>
      <c r="Z20" s="246"/>
      <c r="AA20" s="246"/>
      <c r="AB20" s="246"/>
      <c r="AC20" s="246"/>
      <c r="AD20" s="246"/>
      <c r="AE20" s="246"/>
    </row>
    <row r="21" spans="1:31" ht="14.5">
      <c r="A21" s="24"/>
      <c r="B21" s="247"/>
      <c r="C21" s="247"/>
      <c r="D21" s="247"/>
      <c r="E21" s="247"/>
      <c r="F21" s="247"/>
      <c r="G21" s="247"/>
      <c r="H21" s="247"/>
      <c r="I21" s="247"/>
      <c r="J21" s="245"/>
      <c r="K21" s="245"/>
      <c r="L21" s="245"/>
      <c r="M21" s="245"/>
      <c r="O21" s="246"/>
      <c r="P21" s="246"/>
      <c r="Q21" s="246"/>
      <c r="R21" s="246"/>
      <c r="S21" s="246"/>
      <c r="X21" s="246"/>
      <c r="Y21" s="246"/>
      <c r="Z21" s="246"/>
      <c r="AA21" s="246"/>
      <c r="AB21" s="246"/>
      <c r="AC21" s="246"/>
      <c r="AD21" s="246"/>
      <c r="AE21" s="246"/>
    </row>
    <row r="22" spans="1:31" ht="14.5">
      <c r="A22" s="23" t="str">
        <f>HLOOKUP(INDICE!$F$2,Nombres!$C$3:$D$636,173,FALSE)</f>
        <v>Lending Yield</v>
      </c>
      <c r="B22" s="250">
        <v>8.1299999999999997E-2</v>
      </c>
      <c r="C22" s="250">
        <v>8.3099999999999993E-2</v>
      </c>
      <c r="D22" s="250">
        <v>8.2299999999999998E-2</v>
      </c>
      <c r="E22" s="250">
        <v>7.8299999999999995E-2</v>
      </c>
      <c r="F22" s="250">
        <v>7.5733400226251898E-2</v>
      </c>
      <c r="G22" s="250">
        <v>0</v>
      </c>
      <c r="H22" s="250">
        <v>0</v>
      </c>
      <c r="I22" s="250">
        <v>0</v>
      </c>
      <c r="J22" s="245"/>
      <c r="K22" s="245"/>
      <c r="L22" s="245"/>
      <c r="M22" s="245"/>
      <c r="O22" s="246"/>
      <c r="P22" s="246"/>
      <c r="Q22" s="246"/>
      <c r="R22" s="246"/>
      <c r="S22" s="246"/>
      <c r="X22" s="246"/>
      <c r="Y22" s="246"/>
      <c r="Z22" s="246"/>
      <c r="AA22" s="246"/>
      <c r="AB22" s="246"/>
      <c r="AC22" s="246"/>
      <c r="AD22" s="246"/>
      <c r="AE22" s="246"/>
    </row>
    <row r="23" spans="1:31" ht="14.5">
      <c r="A23" s="23" t="str">
        <f>HLOOKUP(INDICE!$F$2,Nombres!$C$3:$D$636,174,FALSE)</f>
        <v>Cost of deposits</v>
      </c>
      <c r="B23" s="250">
        <v>-2.8E-3</v>
      </c>
      <c r="C23" s="250">
        <v>-4.1000000000000003E-3</v>
      </c>
      <c r="D23" s="250">
        <v>-3.5000000000000001E-3</v>
      </c>
      <c r="E23" s="250">
        <v>-2.7000000000000001E-3</v>
      </c>
      <c r="F23" s="250">
        <v>-2.2449676376633744E-3</v>
      </c>
      <c r="G23" s="250">
        <v>0</v>
      </c>
      <c r="H23" s="250">
        <v>0</v>
      </c>
      <c r="I23" s="250">
        <v>0</v>
      </c>
      <c r="J23" s="245"/>
      <c r="K23" s="245"/>
      <c r="L23" s="245"/>
      <c r="M23" s="245"/>
      <c r="O23" s="246"/>
      <c r="P23" s="246"/>
      <c r="Q23" s="246"/>
      <c r="R23" s="246"/>
      <c r="S23" s="246"/>
      <c r="X23" s="246"/>
      <c r="Y23" s="246"/>
      <c r="Z23" s="246"/>
      <c r="AA23" s="246"/>
      <c r="AB23" s="246"/>
      <c r="AC23" s="246"/>
      <c r="AD23" s="246"/>
      <c r="AE23" s="246"/>
    </row>
    <row r="24" spans="1:31" ht="14.5">
      <c r="A24" s="24" t="str">
        <f>HLOOKUP(INDICE!$F$2,Nombres!$C$3:$D$636,180,FALSE)</f>
        <v>Turkey FC (Foreing currency)</v>
      </c>
      <c r="B24" s="247">
        <v>7.85E-2</v>
      </c>
      <c r="C24" s="247">
        <v>7.9000000000000001E-2</v>
      </c>
      <c r="D24" s="247">
        <v>7.8799999999999995E-2</v>
      </c>
      <c r="E24" s="247">
        <v>7.5700000000000003E-2</v>
      </c>
      <c r="F24" s="247">
        <v>7.3488432588588518E-2</v>
      </c>
      <c r="G24" s="247">
        <v>0</v>
      </c>
      <c r="H24" s="247">
        <v>0</v>
      </c>
      <c r="I24" s="247">
        <v>0</v>
      </c>
      <c r="J24" s="245"/>
      <c r="K24" s="245"/>
      <c r="L24" s="245"/>
      <c r="M24" s="245"/>
      <c r="O24" s="246"/>
      <c r="P24" s="246"/>
      <c r="Q24" s="246"/>
      <c r="R24" s="246"/>
      <c r="S24" s="246"/>
      <c r="X24" s="246"/>
      <c r="Y24" s="246"/>
      <c r="Z24" s="246"/>
      <c r="AA24" s="246"/>
      <c r="AB24" s="246"/>
      <c r="AC24" s="246"/>
      <c r="AD24" s="246"/>
      <c r="AE24" s="246"/>
    </row>
    <row r="25" spans="1:31">
      <c r="A25" s="188"/>
      <c r="B25" s="248"/>
      <c r="C25" s="248"/>
      <c r="D25" s="248"/>
      <c r="E25" s="248"/>
      <c r="F25" s="248"/>
      <c r="G25" s="248"/>
      <c r="H25" s="248"/>
      <c r="I25" s="248"/>
      <c r="O25" s="246"/>
      <c r="P25" s="246"/>
      <c r="Q25" s="246"/>
      <c r="R25" s="246"/>
      <c r="S25" s="246"/>
      <c r="X25" s="246"/>
      <c r="Y25" s="246"/>
      <c r="Z25" s="246"/>
      <c r="AA25" s="246"/>
      <c r="AB25" s="246"/>
      <c r="AC25" s="246"/>
      <c r="AD25" s="246"/>
      <c r="AE25" s="246"/>
    </row>
    <row r="26" spans="1:31" ht="14.5">
      <c r="A26" s="23" t="str">
        <f>HLOOKUP(INDICE!$F$2,Nombres!$C$3:$D$636,173,FALSE)</f>
        <v>Lending Yield</v>
      </c>
      <c r="B26" s="244">
        <v>0.29959999999999998</v>
      </c>
      <c r="C26" s="244">
        <v>0.30980000000000002</v>
      </c>
      <c r="D26" s="244">
        <v>0.32369999999999999</v>
      </c>
      <c r="E26" s="244">
        <v>0.34570000000000001</v>
      </c>
      <c r="F26" s="244">
        <v>0.30395123505946203</v>
      </c>
      <c r="G26" s="244">
        <v>0</v>
      </c>
      <c r="H26" s="244">
        <v>0</v>
      </c>
      <c r="I26" s="244">
        <v>0</v>
      </c>
      <c r="J26" s="245"/>
      <c r="K26" s="245"/>
      <c r="L26" s="245"/>
      <c r="M26" s="245"/>
      <c r="O26" s="246"/>
      <c r="P26" s="246"/>
      <c r="Q26" s="246"/>
      <c r="R26" s="246"/>
      <c r="S26" s="246"/>
      <c r="X26" s="246"/>
      <c r="Y26" s="246"/>
      <c r="Z26" s="246"/>
      <c r="AA26" s="246"/>
      <c r="AB26" s="246"/>
      <c r="AC26" s="246"/>
      <c r="AD26" s="246"/>
      <c r="AE26" s="246"/>
    </row>
    <row r="27" spans="1:31" ht="14.5">
      <c r="A27" s="23" t="str">
        <f>HLOOKUP(INDICE!$F$2,Nombres!$C$3:$D$636,174,FALSE)</f>
        <v>Cost of deposits</v>
      </c>
      <c r="B27" s="244">
        <v>-0.12820000000000001</v>
      </c>
      <c r="C27" s="244">
        <v>-0.14249999999999999</v>
      </c>
      <c r="D27" s="244">
        <v>-0.1835</v>
      </c>
      <c r="E27" s="244">
        <v>-0.17330000000000001</v>
      </c>
      <c r="F27" s="244">
        <v>-0.12980653720960619</v>
      </c>
      <c r="G27" s="244">
        <v>0</v>
      </c>
      <c r="H27" s="244">
        <v>0</v>
      </c>
      <c r="I27" s="244">
        <v>0</v>
      </c>
      <c r="J27" s="245"/>
      <c r="K27" s="245"/>
      <c r="L27" s="245"/>
      <c r="M27" s="245"/>
      <c r="O27" s="246"/>
      <c r="P27" s="246"/>
      <c r="Q27" s="246"/>
      <c r="R27" s="246"/>
      <c r="S27" s="246"/>
      <c r="X27" s="246"/>
      <c r="Y27" s="246"/>
      <c r="Z27" s="246"/>
      <c r="AA27" s="246"/>
      <c r="AB27" s="246"/>
      <c r="AC27" s="246"/>
      <c r="AD27" s="246"/>
      <c r="AE27" s="246"/>
    </row>
    <row r="28" spans="1:31" ht="14.5">
      <c r="A28" s="24" t="str">
        <f>HLOOKUP(INDICE!$F$2,Nombres!$C$3:$D$636,181,FALSE)</f>
        <v>Argentina</v>
      </c>
      <c r="B28" s="251">
        <v>0.17130000000000001</v>
      </c>
      <c r="C28" s="251">
        <v>0.1673</v>
      </c>
      <c r="D28" s="251">
        <v>0.14019999999999999</v>
      </c>
      <c r="E28" s="251">
        <v>0.1724</v>
      </c>
      <c r="F28" s="251">
        <v>0.17414469784985584</v>
      </c>
      <c r="G28" s="251">
        <v>0</v>
      </c>
      <c r="H28" s="251">
        <v>0</v>
      </c>
      <c r="I28" s="251">
        <v>0</v>
      </c>
      <c r="J28" s="245"/>
      <c r="K28" s="245"/>
      <c r="L28" s="245"/>
      <c r="M28" s="245"/>
      <c r="O28" s="246"/>
      <c r="P28" s="246"/>
      <c r="Q28" s="246"/>
      <c r="R28" s="246"/>
      <c r="S28" s="246"/>
      <c r="X28" s="246"/>
      <c r="Y28" s="246"/>
      <c r="Z28" s="246"/>
      <c r="AA28" s="246"/>
      <c r="AB28" s="246"/>
      <c r="AC28" s="246"/>
      <c r="AD28" s="246"/>
      <c r="AE28" s="246"/>
    </row>
    <row r="29" spans="1:31">
      <c r="A29" s="188"/>
      <c r="B29" s="248"/>
      <c r="C29" s="248"/>
      <c r="D29" s="248"/>
      <c r="E29" s="248"/>
      <c r="F29" s="248"/>
      <c r="G29" s="248"/>
      <c r="H29" s="248"/>
      <c r="I29" s="248"/>
      <c r="O29" s="246"/>
      <c r="P29" s="246"/>
      <c r="Q29" s="246"/>
      <c r="R29" s="246"/>
      <c r="S29" s="246"/>
      <c r="X29" s="246"/>
      <c r="Y29" s="246"/>
      <c r="Z29" s="246"/>
      <c r="AA29" s="246"/>
      <c r="AB29" s="246"/>
      <c r="AC29" s="246"/>
      <c r="AD29" s="246"/>
      <c r="AE29" s="246"/>
    </row>
    <row r="30" spans="1:31" ht="14.5">
      <c r="A30" s="23" t="str">
        <f>HLOOKUP(INDICE!$F$2,Nombres!$C$3:$D$636,173,FALSE)</f>
        <v>Lending Yield</v>
      </c>
      <c r="B30" s="244">
        <v>0.1225</v>
      </c>
      <c r="C30" s="244">
        <v>0.1226</v>
      </c>
      <c r="D30" s="244">
        <v>0.12230000000000001</v>
      </c>
      <c r="E30" s="244">
        <v>0.123</v>
      </c>
      <c r="F30" s="244">
        <v>0.12489478040844321</v>
      </c>
      <c r="G30" s="244">
        <v>0</v>
      </c>
      <c r="H30" s="244">
        <v>0</v>
      </c>
      <c r="I30" s="244">
        <v>0</v>
      </c>
      <c r="J30" s="245"/>
      <c r="K30" s="245"/>
      <c r="L30" s="245"/>
      <c r="M30" s="245"/>
      <c r="O30" s="246"/>
      <c r="P30" s="246"/>
      <c r="Q30" s="246"/>
      <c r="R30" s="246"/>
      <c r="S30" s="246"/>
      <c r="X30" s="246"/>
      <c r="Y30" s="246"/>
      <c r="Z30" s="246"/>
      <c r="AA30" s="246"/>
      <c r="AB30" s="246"/>
      <c r="AC30" s="246"/>
      <c r="AD30" s="246"/>
      <c r="AE30" s="246"/>
    </row>
    <row r="31" spans="1:31" ht="14.5">
      <c r="A31" s="23" t="str">
        <f>HLOOKUP(INDICE!$F$2,Nombres!$C$3:$D$636,174,FALSE)</f>
        <v>Cost of deposits</v>
      </c>
      <c r="B31" s="244">
        <v>-6.93E-2</v>
      </c>
      <c r="C31" s="244">
        <v>-6.6199999999999995E-2</v>
      </c>
      <c r="D31" s="244">
        <v>-6.4199999999999993E-2</v>
      </c>
      <c r="E31" s="244">
        <v>-6.1899999999999997E-2</v>
      </c>
      <c r="F31" s="244">
        <v>-6.4706411025104923E-2</v>
      </c>
      <c r="G31" s="244">
        <v>0</v>
      </c>
      <c r="H31" s="244">
        <v>0</v>
      </c>
      <c r="I31" s="244">
        <v>0</v>
      </c>
      <c r="J31" s="245"/>
      <c r="K31" s="245"/>
      <c r="L31" s="245"/>
      <c r="M31" s="245"/>
      <c r="O31" s="246"/>
      <c r="P31" s="246"/>
      <c r="Q31" s="246"/>
      <c r="R31" s="246"/>
      <c r="S31" s="246"/>
      <c r="X31" s="246"/>
      <c r="Y31" s="246"/>
      <c r="Z31" s="246"/>
      <c r="AA31" s="246"/>
      <c r="AB31" s="246"/>
      <c r="AC31" s="246"/>
      <c r="AD31" s="246"/>
      <c r="AE31" s="246"/>
    </row>
    <row r="32" spans="1:31" ht="14.5">
      <c r="A32" s="24" t="str">
        <f>HLOOKUP(INDICE!$F$2,Nombres!$C$3:$D$636,182,FALSE)</f>
        <v>Colombia</v>
      </c>
      <c r="B32" s="247">
        <v>5.3100000000000001E-2</v>
      </c>
      <c r="C32" s="247">
        <v>5.6399999999999999E-2</v>
      </c>
      <c r="D32" s="247">
        <v>5.8099999999999999E-2</v>
      </c>
      <c r="E32" s="247">
        <v>6.1100000000000002E-2</v>
      </c>
      <c r="F32" s="247">
        <v>6.0188369383338283E-2</v>
      </c>
      <c r="G32" s="247">
        <v>0</v>
      </c>
      <c r="H32" s="247">
        <v>0</v>
      </c>
      <c r="I32" s="247">
        <v>0</v>
      </c>
      <c r="J32" s="245"/>
      <c r="K32" s="245"/>
      <c r="L32" s="245"/>
      <c r="M32" s="245"/>
      <c r="O32" s="246"/>
      <c r="P32" s="246"/>
      <c r="Q32" s="246"/>
      <c r="R32" s="246"/>
      <c r="S32" s="246"/>
      <c r="X32" s="246"/>
      <c r="Y32" s="246"/>
      <c r="Z32" s="246"/>
      <c r="AA32" s="246"/>
      <c r="AB32" s="246"/>
      <c r="AC32" s="246"/>
      <c r="AD32" s="246"/>
      <c r="AE32" s="246"/>
    </row>
    <row r="33" spans="1:31">
      <c r="A33" s="188"/>
      <c r="B33" s="248"/>
      <c r="C33" s="248"/>
      <c r="D33" s="248"/>
      <c r="E33" s="248"/>
      <c r="F33" s="248"/>
      <c r="G33" s="248"/>
      <c r="H33" s="248"/>
      <c r="I33" s="248"/>
      <c r="O33" s="246"/>
      <c r="P33" s="246"/>
      <c r="Q33" s="246"/>
      <c r="R33" s="246"/>
      <c r="S33" s="246"/>
      <c r="X33" s="246"/>
      <c r="Y33" s="246"/>
      <c r="Z33" s="246"/>
      <c r="AA33" s="246"/>
      <c r="AB33" s="246"/>
      <c r="AC33" s="246"/>
      <c r="AD33" s="246"/>
      <c r="AE33" s="246"/>
    </row>
    <row r="34" spans="1:31" ht="14.5">
      <c r="A34" s="23" t="str">
        <f>HLOOKUP(INDICE!$F$2,Nombres!$C$3:$D$636,173,FALSE)</f>
        <v>Lending Yield</v>
      </c>
      <c r="B34" s="244">
        <v>9.0399999999999994E-2</v>
      </c>
      <c r="C34" s="244">
        <v>9.0200000000000002E-2</v>
      </c>
      <c r="D34" s="244">
        <v>9.0200000000000002E-2</v>
      </c>
      <c r="E34" s="244">
        <v>9.1700000000000004E-2</v>
      </c>
      <c r="F34" s="244">
        <v>9.2766799602715402E-2</v>
      </c>
      <c r="G34" s="244">
        <v>0</v>
      </c>
      <c r="H34" s="244">
        <v>0</v>
      </c>
      <c r="I34" s="244">
        <v>0</v>
      </c>
      <c r="J34" s="245"/>
      <c r="K34" s="245"/>
      <c r="L34" s="245"/>
      <c r="M34" s="245"/>
      <c r="O34" s="246"/>
      <c r="P34" s="246"/>
      <c r="Q34" s="246"/>
      <c r="R34" s="246"/>
      <c r="S34" s="246"/>
      <c r="X34" s="246"/>
      <c r="Y34" s="246"/>
      <c r="Z34" s="246"/>
      <c r="AA34" s="246"/>
      <c r="AB34" s="246"/>
      <c r="AC34" s="246"/>
      <c r="AD34" s="246"/>
      <c r="AE34" s="246"/>
    </row>
    <row r="35" spans="1:31" ht="14.5">
      <c r="A35" s="23" t="str">
        <f>HLOOKUP(INDICE!$F$2,Nombres!$C$3:$D$636,174,FALSE)</f>
        <v>Cost of deposits</v>
      </c>
      <c r="B35" s="244">
        <v>-1.7999999999999999E-2</v>
      </c>
      <c r="C35" s="244">
        <v>-1.7999999999999999E-2</v>
      </c>
      <c r="D35" s="244">
        <v>-1.7600000000000001E-2</v>
      </c>
      <c r="E35" s="244">
        <v>-1.7600000000000001E-2</v>
      </c>
      <c r="F35" s="244">
        <v>-1.6526553919041367E-2</v>
      </c>
      <c r="G35" s="244">
        <v>0</v>
      </c>
      <c r="H35" s="244">
        <v>0</v>
      </c>
      <c r="I35" s="244">
        <v>0</v>
      </c>
      <c r="J35" s="245"/>
      <c r="K35" s="245"/>
      <c r="L35" s="245"/>
      <c r="M35" s="245"/>
      <c r="O35" s="246"/>
      <c r="P35" s="246"/>
      <c r="Q35" s="246"/>
      <c r="R35" s="246"/>
      <c r="S35" s="246"/>
      <c r="X35" s="246"/>
      <c r="Y35" s="246"/>
      <c r="Z35" s="246"/>
      <c r="AA35" s="246"/>
      <c r="AB35" s="246"/>
      <c r="AC35" s="246"/>
      <c r="AD35" s="246"/>
      <c r="AE35" s="246"/>
    </row>
    <row r="36" spans="1:31" ht="14.5">
      <c r="A36" s="24" t="str">
        <f>HLOOKUP(INDICE!$F$2,Nombres!$C$3:$D$636,183,FALSE)</f>
        <v>Peru</v>
      </c>
      <c r="B36" s="247">
        <v>7.2400000000000006E-2</v>
      </c>
      <c r="C36" s="247">
        <v>7.22E-2</v>
      </c>
      <c r="D36" s="247">
        <v>7.2599999999999998E-2</v>
      </c>
      <c r="E36" s="247">
        <v>7.4200000000000002E-2</v>
      </c>
      <c r="F36" s="247">
        <v>7.6240245683674032E-2</v>
      </c>
      <c r="G36" s="247">
        <v>0</v>
      </c>
      <c r="H36" s="247">
        <v>0</v>
      </c>
      <c r="I36" s="247">
        <v>0</v>
      </c>
      <c r="J36" s="245"/>
      <c r="K36" s="245"/>
      <c r="L36" s="245"/>
      <c r="M36" s="245"/>
      <c r="O36" s="246"/>
      <c r="P36" s="246"/>
      <c r="Q36" s="246"/>
      <c r="R36" s="246"/>
      <c r="S36" s="246"/>
      <c r="X36" s="246"/>
      <c r="Y36" s="246"/>
      <c r="Z36" s="246"/>
      <c r="AA36" s="246"/>
      <c r="AB36" s="246"/>
      <c r="AC36" s="246"/>
      <c r="AD36" s="246"/>
      <c r="AE36" s="246"/>
    </row>
    <row r="37" spans="1:31">
      <c r="A37" s="188"/>
      <c r="B37" s="248"/>
      <c r="C37" s="248"/>
      <c r="D37" s="248"/>
      <c r="E37" s="248"/>
      <c r="F37" s="248"/>
      <c r="G37" s="248"/>
      <c r="H37" s="248"/>
      <c r="I37" s="248"/>
      <c r="O37" s="246"/>
      <c r="P37" s="246"/>
      <c r="Q37" s="246"/>
      <c r="R37" s="246"/>
      <c r="S37" s="246"/>
    </row>
    <row r="38" spans="1:31" ht="13">
      <c r="A38" s="252" t="str">
        <f>HLOOKUP(INDICE!$F$2,Nombres!$C$3:$D$636,184,FALSE)</f>
        <v>(*) Difference between lending yield on loans and cost of deposits from customers.</v>
      </c>
      <c r="B38" s="242"/>
      <c r="C38" s="242"/>
      <c r="D38" s="242"/>
      <c r="E38" s="242"/>
      <c r="F38" s="306"/>
      <c r="G38" s="306"/>
      <c r="H38" s="242"/>
      <c r="I38" s="242"/>
    </row>
    <row r="39" spans="1:31">
      <c r="A39" s="252"/>
      <c r="B39" s="242"/>
      <c r="C39" s="242"/>
      <c r="D39" s="242"/>
      <c r="E39" s="242"/>
      <c r="F39" s="242"/>
      <c r="G39" s="253"/>
      <c r="H39" s="242"/>
      <c r="I39" s="242"/>
    </row>
    <row r="40" spans="1:31">
      <c r="A40" s="252"/>
    </row>
    <row r="996" spans="1:1" ht="14.5">
      <c r="A996" t="s">
        <v>555</v>
      </c>
    </row>
  </sheetData>
  <mergeCells count="3">
    <mergeCell ref="B3:E3"/>
    <mergeCell ref="F3:I3"/>
    <mergeCell ref="F38:G38"/>
  </mergeCells>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sheetPr>
  <dimension ref="A1:L1005"/>
  <sheetViews>
    <sheetView showGridLines="0" workbookViewId="0">
      <selection activeCell="Q13" sqref="Q13"/>
    </sheetView>
  </sheetViews>
  <sheetFormatPr baseColWidth="10" defaultColWidth="11.453125" defaultRowHeight="14.5"/>
  <cols>
    <col min="1" max="1" width="40.26953125" customWidth="1"/>
    <col min="2" max="2" width="15.81640625" customWidth="1"/>
    <col min="3" max="3" width="14.1796875" customWidth="1"/>
    <col min="4" max="4" width="14.54296875" customWidth="1"/>
    <col min="5" max="5" width="13.453125" customWidth="1"/>
    <col min="6" max="6" width="12.81640625" customWidth="1"/>
    <col min="7" max="9" width="11.453125" hidden="1" customWidth="1"/>
    <col min="10" max="10" width="11.453125" customWidth="1"/>
    <col min="11" max="12" width="14.7265625" bestFit="1" customWidth="1"/>
    <col min="257" max="257" width="40.26953125" customWidth="1"/>
    <col min="258" max="258" width="15.81640625" customWidth="1"/>
    <col min="259" max="259" width="14.1796875" customWidth="1"/>
    <col min="260" max="260" width="14.54296875" customWidth="1"/>
    <col min="261" max="261" width="13.453125" customWidth="1"/>
    <col min="262" max="262" width="12.81640625" customWidth="1"/>
    <col min="263" max="266" width="11.453125" customWidth="1"/>
    <col min="267" max="268" width="14.7265625" bestFit="1" customWidth="1"/>
    <col min="513" max="513" width="40.26953125" customWidth="1"/>
    <col min="514" max="514" width="15.81640625" customWidth="1"/>
    <col min="515" max="515" width="14.1796875" customWidth="1"/>
    <col min="516" max="516" width="14.54296875" customWidth="1"/>
    <col min="517" max="517" width="13.453125" customWidth="1"/>
    <col min="518" max="518" width="12.81640625" customWidth="1"/>
    <col min="519" max="522" width="11.453125" customWidth="1"/>
    <col min="523" max="524" width="14.7265625" bestFit="1" customWidth="1"/>
    <col min="769" max="769" width="40.26953125" customWidth="1"/>
    <col min="770" max="770" width="15.81640625" customWidth="1"/>
    <col min="771" max="771" width="14.1796875" customWidth="1"/>
    <col min="772" max="772" width="14.54296875" customWidth="1"/>
    <col min="773" max="773" width="13.453125" customWidth="1"/>
    <col min="774" max="774" width="12.81640625" customWidth="1"/>
    <col min="775" max="778" width="11.453125" customWidth="1"/>
    <col min="779" max="780" width="14.7265625" bestFit="1" customWidth="1"/>
    <col min="1025" max="1025" width="40.26953125" customWidth="1"/>
    <col min="1026" max="1026" width="15.81640625" customWidth="1"/>
    <col min="1027" max="1027" width="14.1796875" customWidth="1"/>
    <col min="1028" max="1028" width="14.54296875" customWidth="1"/>
    <col min="1029" max="1029" width="13.453125" customWidth="1"/>
    <col min="1030" max="1030" width="12.81640625" customWidth="1"/>
    <col min="1031" max="1034" width="11.453125" customWidth="1"/>
    <col min="1035" max="1036" width="14.7265625" bestFit="1" customWidth="1"/>
    <col min="1281" max="1281" width="40.26953125" customWidth="1"/>
    <col min="1282" max="1282" width="15.81640625" customWidth="1"/>
    <col min="1283" max="1283" width="14.1796875" customWidth="1"/>
    <col min="1284" max="1284" width="14.54296875" customWidth="1"/>
    <col min="1285" max="1285" width="13.453125" customWidth="1"/>
    <col min="1286" max="1286" width="12.81640625" customWidth="1"/>
    <col min="1287" max="1290" width="11.453125" customWidth="1"/>
    <col min="1291" max="1292" width="14.7265625" bestFit="1" customWidth="1"/>
    <col min="1537" max="1537" width="40.26953125" customWidth="1"/>
    <col min="1538" max="1538" width="15.81640625" customWidth="1"/>
    <col min="1539" max="1539" width="14.1796875" customWidth="1"/>
    <col min="1540" max="1540" width="14.54296875" customWidth="1"/>
    <col min="1541" max="1541" width="13.453125" customWidth="1"/>
    <col min="1542" max="1542" width="12.81640625" customWidth="1"/>
    <col min="1543" max="1546" width="11.453125" customWidth="1"/>
    <col min="1547" max="1548" width="14.7265625" bestFit="1" customWidth="1"/>
    <col min="1793" max="1793" width="40.26953125" customWidth="1"/>
    <col min="1794" max="1794" width="15.81640625" customWidth="1"/>
    <col min="1795" max="1795" width="14.1796875" customWidth="1"/>
    <col min="1796" max="1796" width="14.54296875" customWidth="1"/>
    <col min="1797" max="1797" width="13.453125" customWidth="1"/>
    <col min="1798" max="1798" width="12.81640625" customWidth="1"/>
    <col min="1799" max="1802" width="11.453125" customWidth="1"/>
    <col min="1803" max="1804" width="14.7265625" bestFit="1" customWidth="1"/>
    <col min="2049" max="2049" width="40.26953125" customWidth="1"/>
    <col min="2050" max="2050" width="15.81640625" customWidth="1"/>
    <col min="2051" max="2051" width="14.1796875" customWidth="1"/>
    <col min="2052" max="2052" width="14.54296875" customWidth="1"/>
    <col min="2053" max="2053" width="13.453125" customWidth="1"/>
    <col min="2054" max="2054" width="12.81640625" customWidth="1"/>
    <col min="2055" max="2058" width="11.453125" customWidth="1"/>
    <col min="2059" max="2060" width="14.7265625" bestFit="1" customWidth="1"/>
    <col min="2305" max="2305" width="40.26953125" customWidth="1"/>
    <col min="2306" max="2306" width="15.81640625" customWidth="1"/>
    <col min="2307" max="2307" width="14.1796875" customWidth="1"/>
    <col min="2308" max="2308" width="14.54296875" customWidth="1"/>
    <col min="2309" max="2309" width="13.453125" customWidth="1"/>
    <col min="2310" max="2310" width="12.81640625" customWidth="1"/>
    <col min="2311" max="2314" width="11.453125" customWidth="1"/>
    <col min="2315" max="2316" width="14.7265625" bestFit="1" customWidth="1"/>
    <col min="2561" max="2561" width="40.26953125" customWidth="1"/>
    <col min="2562" max="2562" width="15.81640625" customWidth="1"/>
    <col min="2563" max="2563" width="14.1796875" customWidth="1"/>
    <col min="2564" max="2564" width="14.54296875" customWidth="1"/>
    <col min="2565" max="2565" width="13.453125" customWidth="1"/>
    <col min="2566" max="2566" width="12.81640625" customWidth="1"/>
    <col min="2567" max="2570" width="11.453125" customWidth="1"/>
    <col min="2571" max="2572" width="14.7265625" bestFit="1" customWidth="1"/>
    <col min="2817" max="2817" width="40.26953125" customWidth="1"/>
    <col min="2818" max="2818" width="15.81640625" customWidth="1"/>
    <col min="2819" max="2819" width="14.1796875" customWidth="1"/>
    <col min="2820" max="2820" width="14.54296875" customWidth="1"/>
    <col min="2821" max="2821" width="13.453125" customWidth="1"/>
    <col min="2822" max="2822" width="12.81640625" customWidth="1"/>
    <col min="2823" max="2826" width="11.453125" customWidth="1"/>
    <col min="2827" max="2828" width="14.7265625" bestFit="1" customWidth="1"/>
    <col min="3073" max="3073" width="40.26953125" customWidth="1"/>
    <col min="3074" max="3074" width="15.81640625" customWidth="1"/>
    <col min="3075" max="3075" width="14.1796875" customWidth="1"/>
    <col min="3076" max="3076" width="14.54296875" customWidth="1"/>
    <col min="3077" max="3077" width="13.453125" customWidth="1"/>
    <col min="3078" max="3078" width="12.81640625" customWidth="1"/>
    <col min="3079" max="3082" width="11.453125" customWidth="1"/>
    <col min="3083" max="3084" width="14.7265625" bestFit="1" customWidth="1"/>
    <col min="3329" max="3329" width="40.26953125" customWidth="1"/>
    <col min="3330" max="3330" width="15.81640625" customWidth="1"/>
    <col min="3331" max="3331" width="14.1796875" customWidth="1"/>
    <col min="3332" max="3332" width="14.54296875" customWidth="1"/>
    <col min="3333" max="3333" width="13.453125" customWidth="1"/>
    <col min="3334" max="3334" width="12.81640625" customWidth="1"/>
    <col min="3335" max="3338" width="11.453125" customWidth="1"/>
    <col min="3339" max="3340" width="14.7265625" bestFit="1" customWidth="1"/>
    <col min="3585" max="3585" width="40.26953125" customWidth="1"/>
    <col min="3586" max="3586" width="15.81640625" customWidth="1"/>
    <col min="3587" max="3587" width="14.1796875" customWidth="1"/>
    <col min="3588" max="3588" width="14.54296875" customWidth="1"/>
    <col min="3589" max="3589" width="13.453125" customWidth="1"/>
    <col min="3590" max="3590" width="12.81640625" customWidth="1"/>
    <col min="3591" max="3594" width="11.453125" customWidth="1"/>
    <col min="3595" max="3596" width="14.7265625" bestFit="1" customWidth="1"/>
    <col min="3841" max="3841" width="40.26953125" customWidth="1"/>
    <col min="3842" max="3842" width="15.81640625" customWidth="1"/>
    <col min="3843" max="3843" width="14.1796875" customWidth="1"/>
    <col min="3844" max="3844" width="14.54296875" customWidth="1"/>
    <col min="3845" max="3845" width="13.453125" customWidth="1"/>
    <col min="3846" max="3846" width="12.81640625" customWidth="1"/>
    <col min="3847" max="3850" width="11.453125" customWidth="1"/>
    <col min="3851" max="3852" width="14.7265625" bestFit="1" customWidth="1"/>
    <col min="4097" max="4097" width="40.26953125" customWidth="1"/>
    <col min="4098" max="4098" width="15.81640625" customWidth="1"/>
    <col min="4099" max="4099" width="14.1796875" customWidth="1"/>
    <col min="4100" max="4100" width="14.54296875" customWidth="1"/>
    <col min="4101" max="4101" width="13.453125" customWidth="1"/>
    <col min="4102" max="4102" width="12.81640625" customWidth="1"/>
    <col min="4103" max="4106" width="11.453125" customWidth="1"/>
    <col min="4107" max="4108" width="14.7265625" bestFit="1" customWidth="1"/>
    <col min="4353" max="4353" width="40.26953125" customWidth="1"/>
    <col min="4354" max="4354" width="15.81640625" customWidth="1"/>
    <col min="4355" max="4355" width="14.1796875" customWidth="1"/>
    <col min="4356" max="4356" width="14.54296875" customWidth="1"/>
    <col min="4357" max="4357" width="13.453125" customWidth="1"/>
    <col min="4358" max="4358" width="12.81640625" customWidth="1"/>
    <col min="4359" max="4362" width="11.453125" customWidth="1"/>
    <col min="4363" max="4364" width="14.7265625" bestFit="1" customWidth="1"/>
    <col min="4609" max="4609" width="40.26953125" customWidth="1"/>
    <col min="4610" max="4610" width="15.81640625" customWidth="1"/>
    <col min="4611" max="4611" width="14.1796875" customWidth="1"/>
    <col min="4612" max="4612" width="14.54296875" customWidth="1"/>
    <col min="4613" max="4613" width="13.453125" customWidth="1"/>
    <col min="4614" max="4614" width="12.81640625" customWidth="1"/>
    <col min="4615" max="4618" width="11.453125" customWidth="1"/>
    <col min="4619" max="4620" width="14.7265625" bestFit="1" customWidth="1"/>
    <col min="4865" max="4865" width="40.26953125" customWidth="1"/>
    <col min="4866" max="4866" width="15.81640625" customWidth="1"/>
    <col min="4867" max="4867" width="14.1796875" customWidth="1"/>
    <col min="4868" max="4868" width="14.54296875" customWidth="1"/>
    <col min="4869" max="4869" width="13.453125" customWidth="1"/>
    <col min="4870" max="4870" width="12.81640625" customWidth="1"/>
    <col min="4871" max="4874" width="11.453125" customWidth="1"/>
    <col min="4875" max="4876" width="14.7265625" bestFit="1" customWidth="1"/>
    <col min="5121" max="5121" width="40.26953125" customWidth="1"/>
    <col min="5122" max="5122" width="15.81640625" customWidth="1"/>
    <col min="5123" max="5123" width="14.1796875" customWidth="1"/>
    <col min="5124" max="5124" width="14.54296875" customWidth="1"/>
    <col min="5125" max="5125" width="13.453125" customWidth="1"/>
    <col min="5126" max="5126" width="12.81640625" customWidth="1"/>
    <col min="5127" max="5130" width="11.453125" customWidth="1"/>
    <col min="5131" max="5132" width="14.7265625" bestFit="1" customWidth="1"/>
    <col min="5377" max="5377" width="40.26953125" customWidth="1"/>
    <col min="5378" max="5378" width="15.81640625" customWidth="1"/>
    <col min="5379" max="5379" width="14.1796875" customWidth="1"/>
    <col min="5380" max="5380" width="14.54296875" customWidth="1"/>
    <col min="5381" max="5381" width="13.453125" customWidth="1"/>
    <col min="5382" max="5382" width="12.81640625" customWidth="1"/>
    <col min="5383" max="5386" width="11.453125" customWidth="1"/>
    <col min="5387" max="5388" width="14.7265625" bestFit="1" customWidth="1"/>
    <col min="5633" max="5633" width="40.26953125" customWidth="1"/>
    <col min="5634" max="5634" width="15.81640625" customWidth="1"/>
    <col min="5635" max="5635" width="14.1796875" customWidth="1"/>
    <col min="5636" max="5636" width="14.54296875" customWidth="1"/>
    <col min="5637" max="5637" width="13.453125" customWidth="1"/>
    <col min="5638" max="5638" width="12.81640625" customWidth="1"/>
    <col min="5639" max="5642" width="11.453125" customWidth="1"/>
    <col min="5643" max="5644" width="14.7265625" bestFit="1" customWidth="1"/>
    <col min="5889" max="5889" width="40.26953125" customWidth="1"/>
    <col min="5890" max="5890" width="15.81640625" customWidth="1"/>
    <col min="5891" max="5891" width="14.1796875" customWidth="1"/>
    <col min="5892" max="5892" width="14.54296875" customWidth="1"/>
    <col min="5893" max="5893" width="13.453125" customWidth="1"/>
    <col min="5894" max="5894" width="12.81640625" customWidth="1"/>
    <col min="5895" max="5898" width="11.453125" customWidth="1"/>
    <col min="5899" max="5900" width="14.7265625" bestFit="1" customWidth="1"/>
    <col min="6145" max="6145" width="40.26953125" customWidth="1"/>
    <col min="6146" max="6146" width="15.81640625" customWidth="1"/>
    <col min="6147" max="6147" width="14.1796875" customWidth="1"/>
    <col min="6148" max="6148" width="14.54296875" customWidth="1"/>
    <col min="6149" max="6149" width="13.453125" customWidth="1"/>
    <col min="6150" max="6150" width="12.81640625" customWidth="1"/>
    <col min="6151" max="6154" width="11.453125" customWidth="1"/>
    <col min="6155" max="6156" width="14.7265625" bestFit="1" customWidth="1"/>
    <col min="6401" max="6401" width="40.26953125" customWidth="1"/>
    <col min="6402" max="6402" width="15.81640625" customWidth="1"/>
    <col min="6403" max="6403" width="14.1796875" customWidth="1"/>
    <col min="6404" max="6404" width="14.54296875" customWidth="1"/>
    <col min="6405" max="6405" width="13.453125" customWidth="1"/>
    <col min="6406" max="6406" width="12.81640625" customWidth="1"/>
    <col min="6407" max="6410" width="11.453125" customWidth="1"/>
    <col min="6411" max="6412" width="14.7265625" bestFit="1" customWidth="1"/>
    <col min="6657" max="6657" width="40.26953125" customWidth="1"/>
    <col min="6658" max="6658" width="15.81640625" customWidth="1"/>
    <col min="6659" max="6659" width="14.1796875" customWidth="1"/>
    <col min="6660" max="6660" width="14.54296875" customWidth="1"/>
    <col min="6661" max="6661" width="13.453125" customWidth="1"/>
    <col min="6662" max="6662" width="12.81640625" customWidth="1"/>
    <col min="6663" max="6666" width="11.453125" customWidth="1"/>
    <col min="6667" max="6668" width="14.7265625" bestFit="1" customWidth="1"/>
    <col min="6913" max="6913" width="40.26953125" customWidth="1"/>
    <col min="6914" max="6914" width="15.81640625" customWidth="1"/>
    <col min="6915" max="6915" width="14.1796875" customWidth="1"/>
    <col min="6916" max="6916" width="14.54296875" customWidth="1"/>
    <col min="6917" max="6917" width="13.453125" customWidth="1"/>
    <col min="6918" max="6918" width="12.81640625" customWidth="1"/>
    <col min="6919" max="6922" width="11.453125" customWidth="1"/>
    <col min="6923" max="6924" width="14.7265625" bestFit="1" customWidth="1"/>
    <col min="7169" max="7169" width="40.26953125" customWidth="1"/>
    <col min="7170" max="7170" width="15.81640625" customWidth="1"/>
    <col min="7171" max="7171" width="14.1796875" customWidth="1"/>
    <col min="7172" max="7172" width="14.54296875" customWidth="1"/>
    <col min="7173" max="7173" width="13.453125" customWidth="1"/>
    <col min="7174" max="7174" width="12.81640625" customWidth="1"/>
    <col min="7175" max="7178" width="11.453125" customWidth="1"/>
    <col min="7179" max="7180" width="14.7265625" bestFit="1" customWidth="1"/>
    <col min="7425" max="7425" width="40.26953125" customWidth="1"/>
    <col min="7426" max="7426" width="15.81640625" customWidth="1"/>
    <col min="7427" max="7427" width="14.1796875" customWidth="1"/>
    <col min="7428" max="7428" width="14.54296875" customWidth="1"/>
    <col min="7429" max="7429" width="13.453125" customWidth="1"/>
    <col min="7430" max="7430" width="12.81640625" customWidth="1"/>
    <col min="7431" max="7434" width="11.453125" customWidth="1"/>
    <col min="7435" max="7436" width="14.7265625" bestFit="1" customWidth="1"/>
    <col min="7681" max="7681" width="40.26953125" customWidth="1"/>
    <col min="7682" max="7682" width="15.81640625" customWidth="1"/>
    <col min="7683" max="7683" width="14.1796875" customWidth="1"/>
    <col min="7684" max="7684" width="14.54296875" customWidth="1"/>
    <col min="7685" max="7685" width="13.453125" customWidth="1"/>
    <col min="7686" max="7686" width="12.81640625" customWidth="1"/>
    <col min="7687" max="7690" width="11.453125" customWidth="1"/>
    <col min="7691" max="7692" width="14.7265625" bestFit="1" customWidth="1"/>
    <col min="7937" max="7937" width="40.26953125" customWidth="1"/>
    <col min="7938" max="7938" width="15.81640625" customWidth="1"/>
    <col min="7939" max="7939" width="14.1796875" customWidth="1"/>
    <col min="7940" max="7940" width="14.54296875" customWidth="1"/>
    <col min="7941" max="7941" width="13.453125" customWidth="1"/>
    <col min="7942" max="7942" width="12.81640625" customWidth="1"/>
    <col min="7943" max="7946" width="11.453125" customWidth="1"/>
    <col min="7947" max="7948" width="14.7265625" bestFit="1" customWidth="1"/>
    <col min="8193" max="8193" width="40.26953125" customWidth="1"/>
    <col min="8194" max="8194" width="15.81640625" customWidth="1"/>
    <col min="8195" max="8195" width="14.1796875" customWidth="1"/>
    <col min="8196" max="8196" width="14.54296875" customWidth="1"/>
    <col min="8197" max="8197" width="13.453125" customWidth="1"/>
    <col min="8198" max="8198" width="12.81640625" customWidth="1"/>
    <col min="8199" max="8202" width="11.453125" customWidth="1"/>
    <col min="8203" max="8204" width="14.7265625" bestFit="1" customWidth="1"/>
    <col min="8449" max="8449" width="40.26953125" customWidth="1"/>
    <col min="8450" max="8450" width="15.81640625" customWidth="1"/>
    <col min="8451" max="8451" width="14.1796875" customWidth="1"/>
    <col min="8452" max="8452" width="14.54296875" customWidth="1"/>
    <col min="8453" max="8453" width="13.453125" customWidth="1"/>
    <col min="8454" max="8454" width="12.81640625" customWidth="1"/>
    <col min="8455" max="8458" width="11.453125" customWidth="1"/>
    <col min="8459" max="8460" width="14.7265625" bestFit="1" customWidth="1"/>
    <col min="8705" max="8705" width="40.26953125" customWidth="1"/>
    <col min="8706" max="8706" width="15.81640625" customWidth="1"/>
    <col min="8707" max="8707" width="14.1796875" customWidth="1"/>
    <col min="8708" max="8708" width="14.54296875" customWidth="1"/>
    <col min="8709" max="8709" width="13.453125" customWidth="1"/>
    <col min="8710" max="8710" width="12.81640625" customWidth="1"/>
    <col min="8711" max="8714" width="11.453125" customWidth="1"/>
    <col min="8715" max="8716" width="14.7265625" bestFit="1" customWidth="1"/>
    <col min="8961" max="8961" width="40.26953125" customWidth="1"/>
    <col min="8962" max="8962" width="15.81640625" customWidth="1"/>
    <col min="8963" max="8963" width="14.1796875" customWidth="1"/>
    <col min="8964" max="8964" width="14.54296875" customWidth="1"/>
    <col min="8965" max="8965" width="13.453125" customWidth="1"/>
    <col min="8966" max="8966" width="12.81640625" customWidth="1"/>
    <col min="8967" max="8970" width="11.453125" customWidth="1"/>
    <col min="8971" max="8972" width="14.7265625" bestFit="1" customWidth="1"/>
    <col min="9217" max="9217" width="40.26953125" customWidth="1"/>
    <col min="9218" max="9218" width="15.81640625" customWidth="1"/>
    <col min="9219" max="9219" width="14.1796875" customWidth="1"/>
    <col min="9220" max="9220" width="14.54296875" customWidth="1"/>
    <col min="9221" max="9221" width="13.453125" customWidth="1"/>
    <col min="9222" max="9222" width="12.81640625" customWidth="1"/>
    <col min="9223" max="9226" width="11.453125" customWidth="1"/>
    <col min="9227" max="9228" width="14.7265625" bestFit="1" customWidth="1"/>
    <col min="9473" max="9473" width="40.26953125" customWidth="1"/>
    <col min="9474" max="9474" width="15.81640625" customWidth="1"/>
    <col min="9475" max="9475" width="14.1796875" customWidth="1"/>
    <col min="9476" max="9476" width="14.54296875" customWidth="1"/>
    <col min="9477" max="9477" width="13.453125" customWidth="1"/>
    <col min="9478" max="9478" width="12.81640625" customWidth="1"/>
    <col min="9479" max="9482" width="11.453125" customWidth="1"/>
    <col min="9483" max="9484" width="14.7265625" bestFit="1" customWidth="1"/>
    <col min="9729" max="9729" width="40.26953125" customWidth="1"/>
    <col min="9730" max="9730" width="15.81640625" customWidth="1"/>
    <col min="9731" max="9731" width="14.1796875" customWidth="1"/>
    <col min="9732" max="9732" width="14.54296875" customWidth="1"/>
    <col min="9733" max="9733" width="13.453125" customWidth="1"/>
    <col min="9734" max="9734" width="12.81640625" customWidth="1"/>
    <col min="9735" max="9738" width="11.453125" customWidth="1"/>
    <col min="9739" max="9740" width="14.7265625" bestFit="1" customWidth="1"/>
    <col min="9985" max="9985" width="40.26953125" customWidth="1"/>
    <col min="9986" max="9986" width="15.81640625" customWidth="1"/>
    <col min="9987" max="9987" width="14.1796875" customWidth="1"/>
    <col min="9988" max="9988" width="14.54296875" customWidth="1"/>
    <col min="9989" max="9989" width="13.453125" customWidth="1"/>
    <col min="9990" max="9990" width="12.81640625" customWidth="1"/>
    <col min="9991" max="9994" width="11.453125" customWidth="1"/>
    <col min="9995" max="9996" width="14.7265625" bestFit="1" customWidth="1"/>
    <col min="10241" max="10241" width="40.26953125" customWidth="1"/>
    <col min="10242" max="10242" width="15.81640625" customWidth="1"/>
    <col min="10243" max="10243" width="14.1796875" customWidth="1"/>
    <col min="10244" max="10244" width="14.54296875" customWidth="1"/>
    <col min="10245" max="10245" width="13.453125" customWidth="1"/>
    <col min="10246" max="10246" width="12.81640625" customWidth="1"/>
    <col min="10247" max="10250" width="11.453125" customWidth="1"/>
    <col min="10251" max="10252" width="14.7265625" bestFit="1" customWidth="1"/>
    <col min="10497" max="10497" width="40.26953125" customWidth="1"/>
    <col min="10498" max="10498" width="15.81640625" customWidth="1"/>
    <col min="10499" max="10499" width="14.1796875" customWidth="1"/>
    <col min="10500" max="10500" width="14.54296875" customWidth="1"/>
    <col min="10501" max="10501" width="13.453125" customWidth="1"/>
    <col min="10502" max="10502" width="12.81640625" customWidth="1"/>
    <col min="10503" max="10506" width="11.453125" customWidth="1"/>
    <col min="10507" max="10508" width="14.7265625" bestFit="1" customWidth="1"/>
    <col min="10753" max="10753" width="40.26953125" customWidth="1"/>
    <col min="10754" max="10754" width="15.81640625" customWidth="1"/>
    <col min="10755" max="10755" width="14.1796875" customWidth="1"/>
    <col min="10756" max="10756" width="14.54296875" customWidth="1"/>
    <col min="10757" max="10757" width="13.453125" customWidth="1"/>
    <col min="10758" max="10758" width="12.81640625" customWidth="1"/>
    <col min="10759" max="10762" width="11.453125" customWidth="1"/>
    <col min="10763" max="10764" width="14.7265625" bestFit="1" customWidth="1"/>
    <col min="11009" max="11009" width="40.26953125" customWidth="1"/>
    <col min="11010" max="11010" width="15.81640625" customWidth="1"/>
    <col min="11011" max="11011" width="14.1796875" customWidth="1"/>
    <col min="11012" max="11012" width="14.54296875" customWidth="1"/>
    <col min="11013" max="11013" width="13.453125" customWidth="1"/>
    <col min="11014" max="11014" width="12.81640625" customWidth="1"/>
    <col min="11015" max="11018" width="11.453125" customWidth="1"/>
    <col min="11019" max="11020" width="14.7265625" bestFit="1" customWidth="1"/>
    <col min="11265" max="11265" width="40.26953125" customWidth="1"/>
    <col min="11266" max="11266" width="15.81640625" customWidth="1"/>
    <col min="11267" max="11267" width="14.1796875" customWidth="1"/>
    <col min="11268" max="11268" width="14.54296875" customWidth="1"/>
    <col min="11269" max="11269" width="13.453125" customWidth="1"/>
    <col min="11270" max="11270" width="12.81640625" customWidth="1"/>
    <col min="11271" max="11274" width="11.453125" customWidth="1"/>
    <col min="11275" max="11276" width="14.7265625" bestFit="1" customWidth="1"/>
    <col min="11521" max="11521" width="40.26953125" customWidth="1"/>
    <col min="11522" max="11522" width="15.81640625" customWidth="1"/>
    <col min="11523" max="11523" width="14.1796875" customWidth="1"/>
    <col min="11524" max="11524" width="14.54296875" customWidth="1"/>
    <col min="11525" max="11525" width="13.453125" customWidth="1"/>
    <col min="11526" max="11526" width="12.81640625" customWidth="1"/>
    <col min="11527" max="11530" width="11.453125" customWidth="1"/>
    <col min="11531" max="11532" width="14.7265625" bestFit="1" customWidth="1"/>
    <col min="11777" max="11777" width="40.26953125" customWidth="1"/>
    <col min="11778" max="11778" width="15.81640625" customWidth="1"/>
    <col min="11779" max="11779" width="14.1796875" customWidth="1"/>
    <col min="11780" max="11780" width="14.54296875" customWidth="1"/>
    <col min="11781" max="11781" width="13.453125" customWidth="1"/>
    <col min="11782" max="11782" width="12.81640625" customWidth="1"/>
    <col min="11783" max="11786" width="11.453125" customWidth="1"/>
    <col min="11787" max="11788" width="14.7265625" bestFit="1" customWidth="1"/>
    <col min="12033" max="12033" width="40.26953125" customWidth="1"/>
    <col min="12034" max="12034" width="15.81640625" customWidth="1"/>
    <col min="12035" max="12035" width="14.1796875" customWidth="1"/>
    <col min="12036" max="12036" width="14.54296875" customWidth="1"/>
    <col min="12037" max="12037" width="13.453125" customWidth="1"/>
    <col min="12038" max="12038" width="12.81640625" customWidth="1"/>
    <col min="12039" max="12042" width="11.453125" customWidth="1"/>
    <col min="12043" max="12044" width="14.7265625" bestFit="1" customWidth="1"/>
    <col min="12289" max="12289" width="40.26953125" customWidth="1"/>
    <col min="12290" max="12290" width="15.81640625" customWidth="1"/>
    <col min="12291" max="12291" width="14.1796875" customWidth="1"/>
    <col min="12292" max="12292" width="14.54296875" customWidth="1"/>
    <col min="12293" max="12293" width="13.453125" customWidth="1"/>
    <col min="12294" max="12294" width="12.81640625" customWidth="1"/>
    <col min="12295" max="12298" width="11.453125" customWidth="1"/>
    <col min="12299" max="12300" width="14.7265625" bestFit="1" customWidth="1"/>
    <col min="12545" max="12545" width="40.26953125" customWidth="1"/>
    <col min="12546" max="12546" width="15.81640625" customWidth="1"/>
    <col min="12547" max="12547" width="14.1796875" customWidth="1"/>
    <col min="12548" max="12548" width="14.54296875" customWidth="1"/>
    <col min="12549" max="12549" width="13.453125" customWidth="1"/>
    <col min="12550" max="12550" width="12.81640625" customWidth="1"/>
    <col min="12551" max="12554" width="11.453125" customWidth="1"/>
    <col min="12555" max="12556" width="14.7265625" bestFit="1" customWidth="1"/>
    <col min="12801" max="12801" width="40.26953125" customWidth="1"/>
    <col min="12802" max="12802" width="15.81640625" customWidth="1"/>
    <col min="12803" max="12803" width="14.1796875" customWidth="1"/>
    <col min="12804" max="12804" width="14.54296875" customWidth="1"/>
    <col min="12805" max="12805" width="13.453125" customWidth="1"/>
    <col min="12806" max="12806" width="12.81640625" customWidth="1"/>
    <col min="12807" max="12810" width="11.453125" customWidth="1"/>
    <col min="12811" max="12812" width="14.7265625" bestFit="1" customWidth="1"/>
    <col min="13057" max="13057" width="40.26953125" customWidth="1"/>
    <col min="13058" max="13058" width="15.81640625" customWidth="1"/>
    <col min="13059" max="13059" width="14.1796875" customWidth="1"/>
    <col min="13060" max="13060" width="14.54296875" customWidth="1"/>
    <col min="13061" max="13061" width="13.453125" customWidth="1"/>
    <col min="13062" max="13062" width="12.81640625" customWidth="1"/>
    <col min="13063" max="13066" width="11.453125" customWidth="1"/>
    <col min="13067" max="13068" width="14.7265625" bestFit="1" customWidth="1"/>
    <col min="13313" max="13313" width="40.26953125" customWidth="1"/>
    <col min="13314" max="13314" width="15.81640625" customWidth="1"/>
    <col min="13315" max="13315" width="14.1796875" customWidth="1"/>
    <col min="13316" max="13316" width="14.54296875" customWidth="1"/>
    <col min="13317" max="13317" width="13.453125" customWidth="1"/>
    <col min="13318" max="13318" width="12.81640625" customWidth="1"/>
    <col min="13319" max="13322" width="11.453125" customWidth="1"/>
    <col min="13323" max="13324" width="14.7265625" bestFit="1" customWidth="1"/>
    <col min="13569" max="13569" width="40.26953125" customWidth="1"/>
    <col min="13570" max="13570" width="15.81640625" customWidth="1"/>
    <col min="13571" max="13571" width="14.1796875" customWidth="1"/>
    <col min="13572" max="13572" width="14.54296875" customWidth="1"/>
    <col min="13573" max="13573" width="13.453125" customWidth="1"/>
    <col min="13574" max="13574" width="12.81640625" customWidth="1"/>
    <col min="13575" max="13578" width="11.453125" customWidth="1"/>
    <col min="13579" max="13580" width="14.7265625" bestFit="1" customWidth="1"/>
    <col min="13825" max="13825" width="40.26953125" customWidth="1"/>
    <col min="13826" max="13826" width="15.81640625" customWidth="1"/>
    <col min="13827" max="13827" width="14.1796875" customWidth="1"/>
    <col min="13828" max="13828" width="14.54296875" customWidth="1"/>
    <col min="13829" max="13829" width="13.453125" customWidth="1"/>
    <col min="13830" max="13830" width="12.81640625" customWidth="1"/>
    <col min="13831" max="13834" width="11.453125" customWidth="1"/>
    <col min="13835" max="13836" width="14.7265625" bestFit="1" customWidth="1"/>
    <col min="14081" max="14081" width="40.26953125" customWidth="1"/>
    <col min="14082" max="14082" width="15.81640625" customWidth="1"/>
    <col min="14083" max="14083" width="14.1796875" customWidth="1"/>
    <col min="14084" max="14084" width="14.54296875" customWidth="1"/>
    <col min="14085" max="14085" width="13.453125" customWidth="1"/>
    <col min="14086" max="14086" width="12.81640625" customWidth="1"/>
    <col min="14087" max="14090" width="11.453125" customWidth="1"/>
    <col min="14091" max="14092" width="14.7265625" bestFit="1" customWidth="1"/>
    <col min="14337" max="14337" width="40.26953125" customWidth="1"/>
    <col min="14338" max="14338" width="15.81640625" customWidth="1"/>
    <col min="14339" max="14339" width="14.1796875" customWidth="1"/>
    <col min="14340" max="14340" width="14.54296875" customWidth="1"/>
    <col min="14341" max="14341" width="13.453125" customWidth="1"/>
    <col min="14342" max="14342" width="12.81640625" customWidth="1"/>
    <col min="14343" max="14346" width="11.453125" customWidth="1"/>
    <col min="14347" max="14348" width="14.7265625" bestFit="1" customWidth="1"/>
    <col min="14593" max="14593" width="40.26953125" customWidth="1"/>
    <col min="14594" max="14594" width="15.81640625" customWidth="1"/>
    <col min="14595" max="14595" width="14.1796875" customWidth="1"/>
    <col min="14596" max="14596" width="14.54296875" customWidth="1"/>
    <col min="14597" max="14597" width="13.453125" customWidth="1"/>
    <col min="14598" max="14598" width="12.81640625" customWidth="1"/>
    <col min="14599" max="14602" width="11.453125" customWidth="1"/>
    <col min="14603" max="14604" width="14.7265625" bestFit="1" customWidth="1"/>
    <col min="14849" max="14849" width="40.26953125" customWidth="1"/>
    <col min="14850" max="14850" width="15.81640625" customWidth="1"/>
    <col min="14851" max="14851" width="14.1796875" customWidth="1"/>
    <col min="14852" max="14852" width="14.54296875" customWidth="1"/>
    <col min="14853" max="14853" width="13.453125" customWidth="1"/>
    <col min="14854" max="14854" width="12.81640625" customWidth="1"/>
    <col min="14855" max="14858" width="11.453125" customWidth="1"/>
    <col min="14859" max="14860" width="14.7265625" bestFit="1" customWidth="1"/>
    <col min="15105" max="15105" width="40.26953125" customWidth="1"/>
    <col min="15106" max="15106" width="15.81640625" customWidth="1"/>
    <col min="15107" max="15107" width="14.1796875" customWidth="1"/>
    <col min="15108" max="15108" width="14.54296875" customWidth="1"/>
    <col min="15109" max="15109" width="13.453125" customWidth="1"/>
    <col min="15110" max="15110" width="12.81640625" customWidth="1"/>
    <col min="15111" max="15114" width="11.453125" customWidth="1"/>
    <col min="15115" max="15116" width="14.7265625" bestFit="1" customWidth="1"/>
    <col min="15361" max="15361" width="40.26953125" customWidth="1"/>
    <col min="15362" max="15362" width="15.81640625" customWidth="1"/>
    <col min="15363" max="15363" width="14.1796875" customWidth="1"/>
    <col min="15364" max="15364" width="14.54296875" customWidth="1"/>
    <col min="15365" max="15365" width="13.453125" customWidth="1"/>
    <col min="15366" max="15366" width="12.81640625" customWidth="1"/>
    <col min="15367" max="15370" width="11.453125" customWidth="1"/>
    <col min="15371" max="15372" width="14.7265625" bestFit="1" customWidth="1"/>
    <col min="15617" max="15617" width="40.26953125" customWidth="1"/>
    <col min="15618" max="15618" width="15.81640625" customWidth="1"/>
    <col min="15619" max="15619" width="14.1796875" customWidth="1"/>
    <col min="15620" max="15620" width="14.54296875" customWidth="1"/>
    <col min="15621" max="15621" width="13.453125" customWidth="1"/>
    <col min="15622" max="15622" width="12.81640625" customWidth="1"/>
    <col min="15623" max="15626" width="11.453125" customWidth="1"/>
    <col min="15627" max="15628" width="14.7265625" bestFit="1" customWidth="1"/>
    <col min="15873" max="15873" width="40.26953125" customWidth="1"/>
    <col min="15874" max="15874" width="15.81640625" customWidth="1"/>
    <col min="15875" max="15875" width="14.1796875" customWidth="1"/>
    <col min="15876" max="15876" width="14.54296875" customWidth="1"/>
    <col min="15877" max="15877" width="13.453125" customWidth="1"/>
    <col min="15878" max="15878" width="12.81640625" customWidth="1"/>
    <col min="15879" max="15882" width="11.453125" customWidth="1"/>
    <col min="15883" max="15884" width="14.7265625" bestFit="1" customWidth="1"/>
    <col min="16129" max="16129" width="40.26953125" customWidth="1"/>
    <col min="16130" max="16130" width="15.81640625" customWidth="1"/>
    <col min="16131" max="16131" width="14.1796875" customWidth="1"/>
    <col min="16132" max="16132" width="14.54296875" customWidth="1"/>
    <col min="16133" max="16133" width="13.453125" customWidth="1"/>
    <col min="16134" max="16134" width="12.81640625" customWidth="1"/>
    <col min="16135" max="16138" width="11.453125" customWidth="1"/>
    <col min="16139" max="16140" width="14.7265625" bestFit="1" customWidth="1"/>
  </cols>
  <sheetData>
    <row r="1" spans="1:12" ht="17">
      <c r="A1" s="133" t="str">
        <f>HLOOKUP(INDICE!$F$2,Nombres!$C$3:$D$636,88,FALSE)</f>
        <v>Risk-weighted assets. Breakdown by business areas and main countries</v>
      </c>
      <c r="B1" s="204"/>
      <c r="C1" s="204"/>
      <c r="D1" s="205"/>
      <c r="E1" s="205"/>
      <c r="F1" s="205"/>
      <c r="G1" s="205"/>
      <c r="H1" s="205"/>
      <c r="I1" s="205"/>
    </row>
    <row r="2" spans="1:12">
      <c r="A2" s="9" t="str">
        <f>HLOOKUP(INDICE!$F$2,Nombres!$C$3:$D$636,32,FALSE)</f>
        <v>(Million euros)</v>
      </c>
      <c r="B2" s="86"/>
      <c r="C2" s="86"/>
      <c r="D2" s="254"/>
      <c r="E2" s="254"/>
      <c r="F2" s="254"/>
      <c r="G2" s="254"/>
      <c r="H2" s="254"/>
      <c r="I2" s="254"/>
    </row>
    <row r="3" spans="1:12" ht="15">
      <c r="A3" s="255"/>
      <c r="B3" s="86"/>
      <c r="C3" s="86"/>
      <c r="D3" s="212"/>
      <c r="E3" s="212"/>
      <c r="F3" s="212"/>
      <c r="G3" s="212"/>
      <c r="H3" s="212"/>
      <c r="I3" s="212"/>
    </row>
    <row r="4" spans="1:12" ht="15.75" customHeight="1">
      <c r="A4" s="256"/>
      <c r="B4" s="307" t="str">
        <f>HLOOKUP(INDICE!$F$2,Nombres!$C$3:$D$636,321,FALSE)</f>
        <v>CRD IV</v>
      </c>
      <c r="C4" s="307"/>
      <c r="D4" s="307"/>
      <c r="E4" s="307"/>
      <c r="F4" s="307"/>
      <c r="G4" s="307"/>
      <c r="H4" s="307"/>
      <c r="I4" s="307"/>
    </row>
    <row r="5" spans="1:12">
      <c r="A5" s="256"/>
      <c r="B5" s="257">
        <f>+España!B32</f>
        <v>45747</v>
      </c>
      <c r="C5" s="257">
        <f>+España!C32</f>
        <v>45838</v>
      </c>
      <c r="D5" s="257">
        <f>+España!D32</f>
        <v>45930</v>
      </c>
      <c r="E5" s="257">
        <f>+España!E32</f>
        <v>46022</v>
      </c>
      <c r="F5" s="257">
        <f>+España!F32</f>
        <v>46112</v>
      </c>
      <c r="G5" s="257">
        <f>+España!G32</f>
        <v>46203</v>
      </c>
      <c r="H5" s="257">
        <f>+España!H32</f>
        <v>46295</v>
      </c>
      <c r="I5" s="257">
        <f>+España!I32</f>
        <v>46387</v>
      </c>
      <c r="K5" s="258"/>
    </row>
    <row r="6" spans="1:12">
      <c r="A6" s="18" t="str">
        <f>HLOOKUP(INDICE!$F$2,Nombres!$C$3:$D$636,3,FALSE)</f>
        <v>BBVA Group</v>
      </c>
      <c r="B6" s="259">
        <v>395352.04800000001</v>
      </c>
      <c r="C6" s="259">
        <v>387050.68900000001</v>
      </c>
      <c r="D6" s="259">
        <v>395270.67</v>
      </c>
      <c r="E6" s="259">
        <v>397240.527</v>
      </c>
      <c r="F6" s="259">
        <v>408854.40979663434</v>
      </c>
      <c r="G6" s="259">
        <v>0</v>
      </c>
      <c r="H6" s="259">
        <v>0</v>
      </c>
      <c r="I6" s="259">
        <v>0</v>
      </c>
      <c r="K6" s="260"/>
      <c r="L6" s="261"/>
    </row>
    <row r="7" spans="1:12">
      <c r="A7" s="7" t="str">
        <f>HLOOKUP(INDICE!$F$2,Nombres!$C$3:$D$636,7,FALSE)</f>
        <v>Spain</v>
      </c>
      <c r="B7" s="77">
        <v>121215.42226994033</v>
      </c>
      <c r="C7" s="77">
        <v>120209.05817599638</v>
      </c>
      <c r="D7" s="77">
        <v>122021.77465133418</v>
      </c>
      <c r="E7" s="77">
        <v>119734.25952466656</v>
      </c>
      <c r="F7" s="77">
        <v>117751.86206595173</v>
      </c>
      <c r="G7" s="77">
        <v>0</v>
      </c>
      <c r="H7" s="77">
        <v>0</v>
      </c>
      <c r="I7" s="77">
        <v>0</v>
      </c>
      <c r="K7" s="260"/>
      <c r="L7" s="261"/>
    </row>
    <row r="8" spans="1:12">
      <c r="A8" s="7" t="str">
        <f>HLOOKUP(INDICE!$F$2,Nombres!$C$3:$D$636,11,FALSE)</f>
        <v>Mexico</v>
      </c>
      <c r="B8" s="77">
        <v>87157.892995930015</v>
      </c>
      <c r="C8" s="77">
        <v>88043.225723109994</v>
      </c>
      <c r="D8" s="77">
        <v>91559.656679858002</v>
      </c>
      <c r="E8" s="77">
        <v>82745.524858749006</v>
      </c>
      <c r="F8" s="77">
        <v>83745.291797775106</v>
      </c>
      <c r="G8" s="77">
        <v>0</v>
      </c>
      <c r="H8" s="77">
        <v>0</v>
      </c>
      <c r="I8" s="77">
        <v>0</v>
      </c>
      <c r="K8" s="260"/>
      <c r="L8" s="261"/>
    </row>
    <row r="9" spans="1:12">
      <c r="A9" s="7" t="str">
        <f>HLOOKUP(INDICE!$F$2,Nombres!$C$3:$D$636,12,FALSE)</f>
        <v xml:space="preserve">Turkey </v>
      </c>
      <c r="B9" s="77">
        <v>65982.115000000005</v>
      </c>
      <c r="C9" s="77">
        <v>66655.733999999997</v>
      </c>
      <c r="D9" s="77">
        <v>69983.151300063008</v>
      </c>
      <c r="E9" s="77">
        <v>71550.920060589997</v>
      </c>
      <c r="F9" s="77">
        <v>74170.974435334007</v>
      </c>
      <c r="G9" s="77">
        <v>0</v>
      </c>
      <c r="H9" s="77">
        <v>0</v>
      </c>
      <c r="I9" s="77">
        <v>0</v>
      </c>
      <c r="K9" s="260"/>
      <c r="L9" s="261"/>
    </row>
    <row r="10" spans="1:12">
      <c r="A10" s="7" t="str">
        <f>HLOOKUP(INDICE!$F$2,Nombres!$C$3:$D$636,13,FALSE)</f>
        <v>South America</v>
      </c>
      <c r="B10" s="77">
        <f t="shared" ref="B10:F10" si="0">+B11+B12+B13+B14+B15</f>
        <v>54978.741977998434</v>
      </c>
      <c r="C10" s="77">
        <f t="shared" si="0"/>
        <v>52735.491564597673</v>
      </c>
      <c r="D10" s="77">
        <f t="shared" si="0"/>
        <v>53543.78662791333</v>
      </c>
      <c r="E10" s="77">
        <f t="shared" si="0"/>
        <v>55912.07033645481</v>
      </c>
      <c r="F10" s="77">
        <f t="shared" si="0"/>
        <v>59234.796048286793</v>
      </c>
      <c r="G10" s="77">
        <f t="shared" ref="G10:I10" si="1">+G11+G12+G13+G14+G15</f>
        <v>0</v>
      </c>
      <c r="H10" s="77">
        <f t="shared" si="1"/>
        <v>0</v>
      </c>
      <c r="I10" s="77">
        <f t="shared" si="1"/>
        <v>0</v>
      </c>
      <c r="K10" s="260"/>
      <c r="L10" s="261"/>
    </row>
    <row r="11" spans="1:12">
      <c r="A11" s="262" t="str">
        <f>HLOOKUP(INDICE!$F$2,Nombres!$C$3:$D$636,14,FALSE)</f>
        <v>Argentina</v>
      </c>
      <c r="B11" s="77">
        <v>11097.963</v>
      </c>
      <c r="C11" s="77">
        <v>11351.744001999999</v>
      </c>
      <c r="D11" s="77">
        <v>11068.213943058299</v>
      </c>
      <c r="E11" s="77">
        <v>10500.604627709001</v>
      </c>
      <c r="F11" s="77">
        <v>12114.738307142999</v>
      </c>
      <c r="G11" s="77">
        <v>0</v>
      </c>
      <c r="H11" s="77">
        <v>0</v>
      </c>
      <c r="I11" s="77">
        <v>0</v>
      </c>
      <c r="K11" s="260"/>
      <c r="L11" s="261"/>
    </row>
    <row r="12" spans="1:12">
      <c r="A12" s="262" t="str">
        <f>HLOOKUP(INDICE!$F$2,Nombres!$C$3:$D$636,15,FALSE)</f>
        <v>Chile</v>
      </c>
      <c r="B12" s="77">
        <v>2136.7779999999998</v>
      </c>
      <c r="C12" s="77">
        <v>2022.6510000000001</v>
      </c>
      <c r="D12" s="77">
        <v>2028.7976652509999</v>
      </c>
      <c r="E12" s="77">
        <v>2220.5752423220001</v>
      </c>
      <c r="F12" s="77">
        <v>2225.9343973489999</v>
      </c>
      <c r="G12" s="77">
        <v>0</v>
      </c>
      <c r="H12" s="77">
        <v>0</v>
      </c>
      <c r="I12" s="77">
        <v>0</v>
      </c>
      <c r="K12" s="260"/>
      <c r="L12" s="261"/>
    </row>
    <row r="13" spans="1:12">
      <c r="A13" s="262" t="str">
        <f>HLOOKUP(INDICE!$F$2,Nombres!$C$3:$D$636,16,FALSE)</f>
        <v>Colombia</v>
      </c>
      <c r="B13" s="77">
        <v>18788.112995</v>
      </c>
      <c r="C13" s="77">
        <v>17428.376235400003</v>
      </c>
      <c r="D13" s="77">
        <v>18053.509943264005</v>
      </c>
      <c r="E13" s="77">
        <v>19171.351147872007</v>
      </c>
      <c r="F13" s="77">
        <v>20111.796371042597</v>
      </c>
      <c r="G13" s="77">
        <v>0</v>
      </c>
      <c r="H13" s="77">
        <v>0</v>
      </c>
      <c r="I13" s="77">
        <v>0</v>
      </c>
      <c r="K13" s="260"/>
      <c r="L13" s="261"/>
    </row>
    <row r="14" spans="1:12">
      <c r="A14" s="262" t="str">
        <f>HLOOKUP(INDICE!$F$2,Nombres!$C$3:$D$636,17,FALSE)</f>
        <v>Peru</v>
      </c>
      <c r="B14" s="77">
        <v>19269.773982998435</v>
      </c>
      <c r="C14" s="77">
        <v>18265.917327197665</v>
      </c>
      <c r="D14" s="77">
        <v>18675.809580758025</v>
      </c>
      <c r="E14" s="77">
        <v>19855.531475888805</v>
      </c>
      <c r="F14" s="77">
        <v>20201.711267369203</v>
      </c>
      <c r="G14" s="77">
        <v>0</v>
      </c>
      <c r="H14" s="77">
        <v>0</v>
      </c>
      <c r="I14" s="77">
        <v>0</v>
      </c>
      <c r="K14" s="260"/>
      <c r="L14" s="261"/>
    </row>
    <row r="15" spans="1:12">
      <c r="A15" s="262" t="str">
        <f>HLOOKUP(INDICE!$F$2,Nombres!$C$3:$D$636,89,FALSE)</f>
        <v>Resto of South América</v>
      </c>
      <c r="B15" s="77">
        <v>3686.114</v>
      </c>
      <c r="C15" s="77">
        <v>3666.8029999999999</v>
      </c>
      <c r="D15" s="77">
        <v>3717.4554955819995</v>
      </c>
      <c r="E15" s="77">
        <v>4164.0078426630007</v>
      </c>
      <c r="F15" s="77">
        <v>4580.6157053829993</v>
      </c>
      <c r="G15" s="77">
        <v>0</v>
      </c>
      <c r="H15" s="77">
        <v>0</v>
      </c>
      <c r="I15" s="77">
        <v>0</v>
      </c>
      <c r="K15" s="260"/>
      <c r="L15" s="261"/>
    </row>
    <row r="16" spans="1:12">
      <c r="A16" s="263" t="str">
        <f>HLOOKUP(INDICE!$F$2,Nombres!$C$3:$D$636,263,FALSE)</f>
        <v>Rest of Business</v>
      </c>
      <c r="B16" s="77">
        <v>36801.948364137825</v>
      </c>
      <c r="C16" s="77">
        <v>38655.853019232847</v>
      </c>
      <c r="D16" s="77">
        <v>41433.385707989743</v>
      </c>
      <c r="E16" s="77">
        <v>46853.231897185709</v>
      </c>
      <c r="F16" s="77">
        <v>49627.113407185097</v>
      </c>
      <c r="G16" s="77">
        <v>0</v>
      </c>
      <c r="H16" s="77">
        <v>0</v>
      </c>
      <c r="I16" s="77">
        <v>0</v>
      </c>
      <c r="K16" s="260"/>
      <c r="L16" s="261"/>
    </row>
    <row r="17" spans="1:12">
      <c r="A17" s="7" t="str">
        <f>HLOOKUP(INDICE!$F$2,Nombres!$C$3:$D$636,272,FALSE)</f>
        <v>Corporate Center (1)</v>
      </c>
      <c r="B17" s="77">
        <f>+B6-B7-B8-B9-B11-B12-B13-B14-B15-B16</f>
        <v>29215.927391993398</v>
      </c>
      <c r="C17" s="77">
        <f>+C6-C7-C8-C9-C11-C12-C13-C14-C15-C16</f>
        <v>20751.326517063106</v>
      </c>
      <c r="D17" s="77">
        <f t="shared" ref="D17:F17" si="2">+D6-D7-D8-D9-D11-D12-D13-D14-D15-D16</f>
        <v>16728.915032841709</v>
      </c>
      <c r="E17" s="77">
        <f>+E6-E7-E8-E9-E11-E12-E13-E14-E15-E16</f>
        <v>20444.520322353892</v>
      </c>
      <c r="F17" s="77">
        <f t="shared" si="2"/>
        <v>24324.37204210159</v>
      </c>
      <c r="G17" s="77">
        <f t="shared" ref="G17:I17" si="3">+G6-G7-G8-G9-G11-G12-G13-G14-G15-G16</f>
        <v>0</v>
      </c>
      <c r="H17" s="77">
        <f t="shared" si="3"/>
        <v>0</v>
      </c>
      <c r="I17" s="77">
        <f t="shared" si="3"/>
        <v>0</v>
      </c>
      <c r="K17" s="260"/>
      <c r="L17" s="261"/>
    </row>
    <row r="18" spans="1:12">
      <c r="A18" s="7"/>
      <c r="B18" s="77"/>
      <c r="C18" s="77"/>
      <c r="D18" s="77"/>
      <c r="E18" s="77"/>
      <c r="F18" s="77"/>
      <c r="G18" s="77"/>
      <c r="H18" s="77"/>
      <c r="I18" s="77"/>
      <c r="K18" s="260"/>
      <c r="L18" s="261"/>
    </row>
    <row r="19" spans="1:12">
      <c r="A19" s="7"/>
      <c r="B19" s="77"/>
      <c r="C19" s="77"/>
      <c r="D19" s="77"/>
      <c r="E19" s="77"/>
      <c r="F19" s="77"/>
      <c r="G19" s="77"/>
      <c r="H19" s="77"/>
      <c r="I19" s="77"/>
      <c r="K19" s="260"/>
      <c r="L19" s="261"/>
    </row>
    <row r="20" spans="1:12">
      <c r="A20" s="7"/>
      <c r="C20" s="77"/>
      <c r="D20" s="77"/>
      <c r="E20" s="77"/>
      <c r="F20" s="77"/>
      <c r="G20" s="77"/>
      <c r="H20" s="77"/>
      <c r="I20" s="77"/>
      <c r="K20" s="260"/>
      <c r="L20" s="261"/>
    </row>
    <row r="21" spans="1:12">
      <c r="A21" s="7" t="str">
        <f>HLOOKUP(INDICE!$F$2,Nombres!$C$3:$D$636,320,FALSE)</f>
        <v>(*)The data for the current quarter is provisional</v>
      </c>
      <c r="K21" s="260"/>
      <c r="L21" s="261"/>
    </row>
    <row r="22" spans="1:12">
      <c r="A22" s="264"/>
      <c r="C22" s="77"/>
      <c r="D22" s="77"/>
      <c r="E22" s="77"/>
      <c r="F22" s="77"/>
      <c r="G22" s="77"/>
      <c r="H22" s="77"/>
      <c r="I22" s="89"/>
      <c r="K22" s="260"/>
      <c r="L22" s="261"/>
    </row>
    <row r="23" spans="1:12">
      <c r="A23" s="265"/>
      <c r="B23" s="266">
        <v>0</v>
      </c>
      <c r="C23" s="266">
        <v>0</v>
      </c>
      <c r="D23" s="266">
        <v>0</v>
      </c>
      <c r="E23" s="266">
        <v>0</v>
      </c>
      <c r="F23" s="266">
        <v>0</v>
      </c>
      <c r="G23" s="266">
        <v>0</v>
      </c>
      <c r="H23" s="266">
        <v>0</v>
      </c>
      <c r="I23" s="266">
        <v>0</v>
      </c>
      <c r="K23" s="260"/>
      <c r="L23" s="261"/>
    </row>
    <row r="24" spans="1:12">
      <c r="A24" s="7"/>
      <c r="B24" s="77"/>
      <c r="C24" s="77"/>
      <c r="D24" s="77"/>
      <c r="E24" s="77"/>
      <c r="F24" s="77"/>
      <c r="G24" s="77"/>
      <c r="H24" s="77"/>
      <c r="I24" s="77"/>
      <c r="K24" s="260"/>
      <c r="L24" s="261"/>
    </row>
    <row r="25" spans="1:12">
      <c r="A25" s="212"/>
      <c r="B25" s="212"/>
      <c r="C25" s="212"/>
      <c r="D25" s="212"/>
      <c r="E25" s="212"/>
      <c r="F25" s="212"/>
    </row>
    <row r="26" spans="1:12">
      <c r="A26" s="267"/>
      <c r="B26" s="266">
        <f t="shared" ref="B26:I26" si="4">+B6-SUM(B7:B9,B11:B17)</f>
        <v>0</v>
      </c>
      <c r="C26" s="266">
        <f t="shared" si="4"/>
        <v>0</v>
      </c>
      <c r="D26" s="266">
        <f t="shared" si="4"/>
        <v>0</v>
      </c>
      <c r="E26" s="266">
        <f t="shared" si="4"/>
        <v>0</v>
      </c>
      <c r="F26" s="266">
        <f t="shared" si="4"/>
        <v>0</v>
      </c>
      <c r="G26" s="266">
        <f t="shared" si="4"/>
        <v>0</v>
      </c>
      <c r="H26" s="266">
        <f t="shared" si="4"/>
        <v>0</v>
      </c>
      <c r="I26" s="266">
        <f t="shared" si="4"/>
        <v>0</v>
      </c>
    </row>
    <row r="27" spans="1:12">
      <c r="B27" s="145"/>
      <c r="F27" s="63"/>
    </row>
    <row r="1005" spans="1:1">
      <c r="A1005" t="s">
        <v>555</v>
      </c>
    </row>
  </sheetData>
  <mergeCells count="1">
    <mergeCell ref="B4:I4"/>
  </mergeCells>
  <conditionalFormatting sqref="B23:I23">
    <cfRule type="cellIs" dxfId="12" priority="2" operator="notEqual">
      <formula>0</formula>
    </cfRule>
  </conditionalFormatting>
  <conditionalFormatting sqref="B26:I26">
    <cfRule type="cellIs" dxfId="11" priority="1" operator="notEqual">
      <formula>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N995"/>
  <sheetViews>
    <sheetView showGridLines="0" zoomScale="85" zoomScaleNormal="85" workbookViewId="0">
      <pane xSplit="1" ySplit="5" topLeftCell="B6" activePane="bottomRight" state="frozen"/>
      <selection pane="topRight"/>
      <selection pane="bottomLeft"/>
      <selection pane="bottomRight"/>
    </sheetView>
  </sheetViews>
  <sheetFormatPr baseColWidth="10" defaultColWidth="11.453125" defaultRowHeight="14.5"/>
  <cols>
    <col min="1" max="1" width="42.453125" style="270" customWidth="1"/>
    <col min="2" max="2" width="13.54296875" style="270" bestFit="1" customWidth="1"/>
    <col min="3" max="4" width="11.453125" style="270"/>
    <col min="5" max="5" width="11.7265625" style="270" bestFit="1" customWidth="1"/>
    <col min="6" max="6" width="11.453125" style="270"/>
    <col min="7" max="9" width="11.453125" style="270" hidden="1" customWidth="1"/>
    <col min="10" max="10" width="4.7265625" style="269" customWidth="1"/>
    <col min="11" max="11" width="11.453125" style="270"/>
    <col min="12" max="12" width="11.7265625" style="270" bestFit="1" customWidth="1"/>
    <col min="13" max="13" width="15" style="270" bestFit="1" customWidth="1"/>
    <col min="14" max="16384" width="11.453125" style="270"/>
  </cols>
  <sheetData>
    <row r="1" spans="1:14" ht="17">
      <c r="A1" s="16" t="str">
        <f>HLOOKUP(INDICE!$F$2,Nombres!$C$3:$D$636,113,FALSE)</f>
        <v>Breakdown of performing loans under management</v>
      </c>
      <c r="B1" s="268"/>
      <c r="C1" s="268"/>
      <c r="D1" s="268"/>
      <c r="E1" s="268"/>
      <c r="F1" s="268"/>
      <c r="G1" s="268"/>
      <c r="H1" s="268"/>
      <c r="I1" s="268"/>
      <c r="L1" s="14"/>
    </row>
    <row r="2" spans="1:14">
      <c r="A2" s="271" t="str">
        <f>HLOOKUP(INDICE!$F$2,Nombres!$C$3:$D$636,73,FALSE)</f>
        <v xml:space="preserve">(Constant million euros)    </v>
      </c>
      <c r="B2" s="14"/>
      <c r="C2" s="14"/>
      <c r="D2" s="14"/>
      <c r="E2" s="14"/>
      <c r="F2" s="14"/>
      <c r="L2" s="14"/>
    </row>
    <row r="3" spans="1:14">
      <c r="A3" s="272"/>
      <c r="B3" s="14"/>
      <c r="C3" s="14"/>
      <c r="D3" s="14"/>
      <c r="E3" s="14"/>
      <c r="F3" s="14"/>
      <c r="L3" s="14"/>
    </row>
    <row r="4" spans="1:14" ht="15.75" customHeight="1">
      <c r="A4" s="273"/>
      <c r="B4" s="308" t="str">
        <f>HLOOKUP(INDICE!$F$2,Nombres!$C$3:$D$636,7,FALSE)</f>
        <v>Spain</v>
      </c>
      <c r="C4" s="308"/>
      <c r="D4" s="308"/>
      <c r="E4" s="308"/>
      <c r="F4" s="308"/>
      <c r="G4" s="308"/>
      <c r="H4" s="308"/>
      <c r="I4" s="308"/>
    </row>
    <row r="5" spans="1:14">
      <c r="A5" s="274"/>
      <c r="B5" s="159">
        <f>+España!B32</f>
        <v>45747</v>
      </c>
      <c r="C5" s="159">
        <f>+España!C32</f>
        <v>45838</v>
      </c>
      <c r="D5" s="159">
        <f>+España!D32</f>
        <v>45930</v>
      </c>
      <c r="E5" s="159">
        <f>+España!E32</f>
        <v>46022</v>
      </c>
      <c r="F5" s="159">
        <f>+España!F32</f>
        <v>46112</v>
      </c>
      <c r="G5" s="159">
        <f>+España!G32</f>
        <v>46203</v>
      </c>
      <c r="H5" s="159">
        <f>+España!H32</f>
        <v>46295</v>
      </c>
      <c r="I5" s="159">
        <f>+España!I32</f>
        <v>46387</v>
      </c>
      <c r="L5" s="159"/>
    </row>
    <row r="6" spans="1:14">
      <c r="A6" s="12" t="str">
        <f>HLOOKUP(INDICE!$F$2,Nombres!$C$3:$D$636,209,FALSE)</f>
        <v>Mortages</v>
      </c>
      <c r="B6" s="275">
        <v>67145.177230649933</v>
      </c>
      <c r="C6" s="275">
        <v>67441.072754540131</v>
      </c>
      <c r="D6" s="275">
        <v>67748.890139540003</v>
      </c>
      <c r="E6" s="275">
        <v>68613.016050579899</v>
      </c>
      <c r="F6" s="275">
        <v>69038.561829719954</v>
      </c>
      <c r="G6" s="275">
        <v>0</v>
      </c>
      <c r="H6" s="275">
        <v>0</v>
      </c>
      <c r="I6" s="275">
        <v>0</v>
      </c>
      <c r="J6" s="275"/>
      <c r="L6" s="275"/>
      <c r="N6" s="276"/>
    </row>
    <row r="7" spans="1:14">
      <c r="A7" s="12" t="str">
        <f>HLOOKUP(INDICE!$F$2,Nombres!$C$3:$D$636,210,FALSE)</f>
        <v>Consumer &amp; Credit Cards</v>
      </c>
      <c r="B7" s="275">
        <v>18895.046143110016</v>
      </c>
      <c r="C7" s="275">
        <v>19301.463996740014</v>
      </c>
      <c r="D7" s="275">
        <v>19725.939056029998</v>
      </c>
      <c r="E7" s="275">
        <v>20393.354765970042</v>
      </c>
      <c r="F7" s="275">
        <v>20663.327006689968</v>
      </c>
      <c r="G7" s="275">
        <v>0</v>
      </c>
      <c r="H7" s="275">
        <v>0</v>
      </c>
      <c r="I7" s="275">
        <v>0</v>
      </c>
      <c r="J7" s="275"/>
      <c r="L7" s="275"/>
      <c r="N7" s="276"/>
    </row>
    <row r="8" spans="1:14">
      <c r="A8" s="12" t="str">
        <f>HLOOKUP(INDICE!$F$2,Nombres!$C$3:$D$636,211,FALSE)</f>
        <v>Very small business</v>
      </c>
      <c r="B8" s="275">
        <v>15519.514838600016</v>
      </c>
      <c r="C8" s="275">
        <v>15326.717194949983</v>
      </c>
      <c r="D8" s="275">
        <v>15218.60303142999</v>
      </c>
      <c r="E8" s="275">
        <v>15473.120805090004</v>
      </c>
      <c r="F8" s="275">
        <v>15558.336809970022</v>
      </c>
      <c r="G8" s="275">
        <v>0</v>
      </c>
      <c r="H8" s="275">
        <v>0</v>
      </c>
      <c r="I8" s="275">
        <v>0</v>
      </c>
      <c r="J8" s="275"/>
      <c r="L8" s="275"/>
      <c r="N8" s="276"/>
    </row>
    <row r="9" spans="1:14">
      <c r="A9" s="12" t="str">
        <f>HLOOKUP(INDICE!$F$2,Nombres!$C$3:$D$636,212,FALSE)</f>
        <v>Mid-size companies</v>
      </c>
      <c r="B9" s="275">
        <v>20475.511131020005</v>
      </c>
      <c r="C9" s="275">
        <v>20909.076254580021</v>
      </c>
      <c r="D9" s="275">
        <v>20964.553068330009</v>
      </c>
      <c r="E9" s="275">
        <v>21434.948945159991</v>
      </c>
      <c r="F9" s="275">
        <v>22022.716724080001</v>
      </c>
      <c r="G9" s="275">
        <v>0</v>
      </c>
      <c r="H9" s="275">
        <v>0</v>
      </c>
      <c r="I9" s="275">
        <v>0</v>
      </c>
      <c r="J9" s="275"/>
      <c r="L9" s="275"/>
      <c r="N9" s="276"/>
    </row>
    <row r="10" spans="1:14">
      <c r="A10" s="12" t="str">
        <f>HLOOKUP(INDICE!$F$2,Nombres!$C$3:$D$636,213,FALSE)</f>
        <v>Corporates + CIB</v>
      </c>
      <c r="B10" s="275">
        <v>33615.407692250003</v>
      </c>
      <c r="C10" s="275">
        <v>33817.052511759997</v>
      </c>
      <c r="D10" s="275">
        <v>35508.358328840004</v>
      </c>
      <c r="E10" s="275">
        <v>37179.358201369992</v>
      </c>
      <c r="F10" s="275">
        <v>37307.241487320003</v>
      </c>
      <c r="G10" s="275">
        <v>0</v>
      </c>
      <c r="H10" s="275">
        <v>0</v>
      </c>
      <c r="I10" s="275">
        <v>0</v>
      </c>
      <c r="J10" s="275"/>
      <c r="L10" s="275"/>
      <c r="N10" s="276"/>
    </row>
    <row r="11" spans="1:14">
      <c r="A11" s="12" t="str">
        <f>HLOOKUP(INDICE!$F$2,Nombres!$C$3:$D$636,214,FALSE)</f>
        <v>Public Sector</v>
      </c>
      <c r="B11" s="275">
        <v>15379.403540930001</v>
      </c>
      <c r="C11" s="275">
        <v>18982.262072380003</v>
      </c>
      <c r="D11" s="275">
        <v>16461.745352650003</v>
      </c>
      <c r="E11" s="275">
        <v>16874.862885939998</v>
      </c>
      <c r="F11" s="275">
        <v>16912.048332579998</v>
      </c>
      <c r="G11" s="275">
        <v>0</v>
      </c>
      <c r="H11" s="275">
        <v>0</v>
      </c>
      <c r="I11" s="275">
        <v>0</v>
      </c>
      <c r="J11" s="275"/>
      <c r="L11" s="275"/>
      <c r="N11" s="276"/>
    </row>
    <row r="12" spans="1:14">
      <c r="A12" s="12" t="str">
        <f>HLOOKUP(INDICE!$F$2,Nombres!$C$3:$D$636,215,FALSE)</f>
        <v>Other</v>
      </c>
      <c r="B12" s="275">
        <v>10819.832564009983</v>
      </c>
      <c r="C12" s="275">
        <v>10052.107211279996</v>
      </c>
      <c r="D12" s="275">
        <v>10725.033307510026</v>
      </c>
      <c r="E12" s="275">
        <v>10974.526019609979</v>
      </c>
      <c r="F12" s="275">
        <v>11750.287173120021</v>
      </c>
      <c r="G12" s="275">
        <v>0</v>
      </c>
      <c r="H12" s="275">
        <v>0</v>
      </c>
      <c r="I12" s="275">
        <v>0</v>
      </c>
      <c r="J12" s="275"/>
      <c r="L12" s="275"/>
      <c r="N12" s="276"/>
    </row>
    <row r="13" spans="1:14">
      <c r="A13" s="13" t="str">
        <f>HLOOKUP(INDICE!$F$2,Nombres!$C$3:$D$636,112,FALSE)</f>
        <v>Performing Loans under management (*)</v>
      </c>
      <c r="B13" s="277">
        <v>181849.89314056997</v>
      </c>
      <c r="C13" s="277">
        <v>185829.75199623016</v>
      </c>
      <c r="D13" s="277">
        <v>186353.12228433002</v>
      </c>
      <c r="E13" s="277">
        <v>190943.18767371992</v>
      </c>
      <c r="F13" s="277">
        <v>193252.51936347995</v>
      </c>
      <c r="G13" s="277">
        <v>0</v>
      </c>
      <c r="H13" s="277">
        <v>0</v>
      </c>
      <c r="I13" s="277">
        <v>0</v>
      </c>
      <c r="J13" s="277"/>
      <c r="L13" s="13"/>
      <c r="M13" s="276"/>
      <c r="N13" s="276"/>
    </row>
    <row r="14" spans="1:14">
      <c r="A14" s="14"/>
      <c r="B14" s="278" t="e">
        <f>+SUM(#REF!)-#REF!</f>
        <v>#REF!</v>
      </c>
      <c r="C14" s="278" t="e">
        <f>+SUM(#REF!)-#REF!</f>
        <v>#REF!</v>
      </c>
      <c r="D14" s="278" t="e">
        <f>+SUM(#REF!)-#REF!</f>
        <v>#REF!</v>
      </c>
      <c r="E14" s="278" t="e">
        <f>+SUM(#REF!)-#REF!</f>
        <v>#REF!</v>
      </c>
      <c r="F14" s="278">
        <f>+SUM(B6:B12)-B13</f>
        <v>0</v>
      </c>
      <c r="G14" s="278">
        <f>+SUM(D6:D12)-D13</f>
        <v>0</v>
      </c>
      <c r="H14" s="278">
        <f>+SUM(E6:E12)-E13</f>
        <v>0</v>
      </c>
      <c r="I14" s="278">
        <f>+SUM(F6:F12)-F13</f>
        <v>0</v>
      </c>
      <c r="L14" s="279"/>
      <c r="M14" s="276"/>
      <c r="N14" s="276"/>
    </row>
    <row r="15" spans="1:14">
      <c r="A15" s="280"/>
      <c r="B15" s="275"/>
      <c r="C15" s="275"/>
      <c r="D15" s="275"/>
      <c r="E15" s="275"/>
      <c r="F15" s="275"/>
      <c r="G15" s="275"/>
      <c r="H15" s="275"/>
      <c r="I15" s="275"/>
      <c r="L15" s="275"/>
      <c r="N15" s="276"/>
    </row>
    <row r="16" spans="1:14">
      <c r="A16" s="14"/>
      <c r="B16" s="281"/>
      <c r="C16" s="281"/>
      <c r="D16" s="281"/>
      <c r="E16" s="281"/>
      <c r="F16" s="281"/>
      <c r="L16" s="281"/>
    </row>
    <row r="17" spans="1:14">
      <c r="A17" s="273"/>
      <c r="B17" s="308" t="str">
        <f>HLOOKUP(INDICE!$F$2,Nombres!$C$3:$D$636,204,FALSE)</f>
        <v>Mexico (***)</v>
      </c>
      <c r="C17" s="308"/>
      <c r="D17" s="308"/>
      <c r="E17" s="308"/>
      <c r="F17" s="308"/>
      <c r="G17" s="308"/>
      <c r="H17" s="308"/>
      <c r="I17" s="308"/>
      <c r="L17" s="282"/>
    </row>
    <row r="18" spans="1:14">
      <c r="A18" s="274"/>
      <c r="B18" s="159">
        <f>+B$5</f>
        <v>45747</v>
      </c>
      <c r="C18" s="159">
        <f t="shared" ref="C18:I18" si="0">+C$5</f>
        <v>45838</v>
      </c>
      <c r="D18" s="159">
        <f t="shared" si="0"/>
        <v>45930</v>
      </c>
      <c r="E18" s="159">
        <f t="shared" si="0"/>
        <v>46022</v>
      </c>
      <c r="F18" s="159">
        <f t="shared" si="0"/>
        <v>46112</v>
      </c>
      <c r="G18" s="159">
        <f t="shared" si="0"/>
        <v>46203</v>
      </c>
      <c r="H18" s="159">
        <f t="shared" si="0"/>
        <v>46295</v>
      </c>
      <c r="I18" s="159">
        <f t="shared" si="0"/>
        <v>46387</v>
      </c>
      <c r="L18" s="87"/>
    </row>
    <row r="19" spans="1:14">
      <c r="A19" s="12" t="str">
        <f>HLOOKUP(INDICE!$F$2,Nombres!$C$3:$D$636,105,FALSE)</f>
        <v>Mortages</v>
      </c>
      <c r="B19" s="275">
        <v>17679.236325286642</v>
      </c>
      <c r="C19" s="275">
        <v>17989.927812611299</v>
      </c>
      <c r="D19" s="275">
        <v>18325.993789096945</v>
      </c>
      <c r="E19" s="275">
        <v>18797.687122271032</v>
      </c>
      <c r="F19" s="275">
        <v>19062.060125908014</v>
      </c>
      <c r="G19" s="275">
        <v>0</v>
      </c>
      <c r="H19" s="275">
        <v>0</v>
      </c>
      <c r="I19" s="275">
        <v>0</v>
      </c>
      <c r="L19" s="275"/>
      <c r="N19" s="276"/>
    </row>
    <row r="20" spans="1:14">
      <c r="A20" s="12" t="str">
        <f>HLOOKUP(INDICE!$F$2,Nombres!$C$3:$D$636,106,FALSE)</f>
        <v>Consumer</v>
      </c>
      <c r="B20" s="275">
        <v>14625.119298814136</v>
      </c>
      <c r="C20" s="275">
        <v>15147.616554033655</v>
      </c>
      <c r="D20" s="275">
        <v>15822.484356319597</v>
      </c>
      <c r="E20" s="275">
        <v>16057.502639432292</v>
      </c>
      <c r="F20" s="275">
        <v>16557.995142370477</v>
      </c>
      <c r="G20" s="275">
        <v>0</v>
      </c>
      <c r="H20" s="275">
        <v>0</v>
      </c>
      <c r="I20" s="275">
        <v>0</v>
      </c>
      <c r="L20" s="275"/>
      <c r="N20" s="276"/>
    </row>
    <row r="21" spans="1:14">
      <c r="A21" s="12" t="str">
        <f>HLOOKUP(INDICE!$F$2,Nombres!$C$3:$D$636,107,FALSE)</f>
        <v>Credit Cards</v>
      </c>
      <c r="B21" s="275">
        <v>9505.9870878833972</v>
      </c>
      <c r="C21" s="275">
        <v>9879.151422527837</v>
      </c>
      <c r="D21" s="275">
        <v>10161.735844105817</v>
      </c>
      <c r="E21" s="275">
        <v>10842.539832153227</v>
      </c>
      <c r="F21" s="275">
        <v>10672.816756952479</v>
      </c>
      <c r="G21" s="275">
        <v>0</v>
      </c>
      <c r="H21" s="275">
        <v>0</v>
      </c>
      <c r="I21" s="275">
        <v>0</v>
      </c>
      <c r="L21" s="275"/>
      <c r="N21" s="276"/>
    </row>
    <row r="22" spans="1:14">
      <c r="A22" s="12" t="str">
        <f>HLOOKUP(INDICE!$F$2,Nombres!$C$3:$D$636,110,FALSE)</f>
        <v>SMEs</v>
      </c>
      <c r="B22" s="275">
        <v>6879.9120392669784</v>
      </c>
      <c r="C22" s="275">
        <v>7108.3686454121598</v>
      </c>
      <c r="D22" s="275">
        <v>7424.3737880469671</v>
      </c>
      <c r="E22" s="275">
        <v>7484.2160593765184</v>
      </c>
      <c r="F22" s="275">
        <v>7807.2469620405827</v>
      </c>
      <c r="G22" s="275">
        <v>0</v>
      </c>
      <c r="H22" s="275">
        <v>0</v>
      </c>
      <c r="I22" s="275">
        <v>0</v>
      </c>
      <c r="L22" s="275"/>
      <c r="N22" s="276"/>
    </row>
    <row r="23" spans="1:14">
      <c r="A23" s="12" t="str">
        <f>HLOOKUP(INDICE!$F$2,Nombres!$C$3:$D$636,216,FALSE)</f>
        <v>Other Retail</v>
      </c>
      <c r="B23" s="275">
        <v>173.33149428951603</v>
      </c>
      <c r="C23" s="275">
        <v>173.24123411934366</v>
      </c>
      <c r="D23" s="275">
        <v>172.56378127411423</v>
      </c>
      <c r="E23" s="275">
        <v>188.29488698338827</v>
      </c>
      <c r="F23" s="275">
        <v>187.51584491213933</v>
      </c>
      <c r="G23" s="275">
        <v>0</v>
      </c>
      <c r="H23" s="275">
        <v>0</v>
      </c>
      <c r="I23" s="275">
        <v>0</v>
      </c>
      <c r="L23" s="275"/>
      <c r="N23" s="276"/>
    </row>
    <row r="24" spans="1:14">
      <c r="A24" s="12" t="str">
        <f>HLOOKUP(INDICE!$F$2,Nombres!$C$3:$D$636,217,FALSE)</f>
        <v>Other Commercial</v>
      </c>
      <c r="B24" s="275">
        <v>38561.059560828726</v>
      </c>
      <c r="C24" s="275">
        <v>37774.135634931095</v>
      </c>
      <c r="D24" s="275">
        <v>37056.094264153464</v>
      </c>
      <c r="E24" s="275">
        <v>39136.567574890083</v>
      </c>
      <c r="F24" s="275">
        <v>40678.788562225607</v>
      </c>
      <c r="G24" s="275">
        <v>0</v>
      </c>
      <c r="H24" s="275">
        <v>0</v>
      </c>
      <c r="I24" s="275">
        <v>0</v>
      </c>
      <c r="L24" s="275"/>
      <c r="N24" s="276"/>
    </row>
    <row r="25" spans="1:14">
      <c r="A25" s="12" t="str">
        <f>HLOOKUP(INDICE!$F$2,Nombres!$C$3:$D$636,108,FALSE)</f>
        <v>Public Sector</v>
      </c>
      <c r="B25" s="275">
        <v>7052.0027375711725</v>
      </c>
      <c r="C25" s="275">
        <v>7086.4262214591809</v>
      </c>
      <c r="D25" s="275">
        <v>7240.1131369456216</v>
      </c>
      <c r="E25" s="275">
        <v>7303.2405654552949</v>
      </c>
      <c r="F25" s="275">
        <v>7428.1539240758002</v>
      </c>
      <c r="G25" s="275">
        <v>0</v>
      </c>
      <c r="H25" s="275">
        <v>0</v>
      </c>
      <c r="I25" s="275">
        <v>0</v>
      </c>
      <c r="L25" s="275"/>
      <c r="N25" s="276"/>
    </row>
    <row r="26" spans="1:14">
      <c r="A26" s="13" t="str">
        <f>HLOOKUP(INDICE!$F$2,Nombres!$C$3:$D$636,112,FALSE)</f>
        <v>Performing Loans under management (*)</v>
      </c>
      <c r="B26" s="277">
        <v>94476.648543940566</v>
      </c>
      <c r="C26" s="277">
        <v>95158.867525094567</v>
      </c>
      <c r="D26" s="277">
        <v>96203.358959942532</v>
      </c>
      <c r="E26" s="277">
        <v>99810.048680561842</v>
      </c>
      <c r="F26" s="277">
        <v>102394.5773184851</v>
      </c>
      <c r="G26" s="277">
        <v>0</v>
      </c>
      <c r="H26" s="277">
        <v>0</v>
      </c>
      <c r="I26" s="277">
        <v>0</v>
      </c>
      <c r="J26" s="283"/>
      <c r="L26" s="284"/>
      <c r="N26" s="276"/>
    </row>
    <row r="27" spans="1:14">
      <c r="A27" s="285" t="str">
        <f>HLOOKUP(INDICE!$F$2,Nombres!$C$3:$D$636,205,FALSE)</f>
        <v xml:space="preserve">According to Local GAAP(***) </v>
      </c>
      <c r="B27" s="278">
        <f>+SUM(B19:B25)-B26</f>
        <v>0</v>
      </c>
      <c r="C27" s="278">
        <f t="shared" ref="C27:I27" si="1">+SUM(C19:C25)-C26</f>
        <v>0</v>
      </c>
      <c r="D27" s="278">
        <f t="shared" si="1"/>
        <v>0</v>
      </c>
      <c r="E27" s="278">
        <f t="shared" si="1"/>
        <v>0</v>
      </c>
      <c r="F27" s="278">
        <f t="shared" si="1"/>
        <v>0</v>
      </c>
      <c r="G27" s="278">
        <f t="shared" si="1"/>
        <v>0</v>
      </c>
      <c r="H27" s="278">
        <f t="shared" si="1"/>
        <v>0</v>
      </c>
      <c r="I27" s="278">
        <f t="shared" si="1"/>
        <v>0</v>
      </c>
      <c r="L27" s="286"/>
    </row>
    <row r="28" spans="1:14">
      <c r="A28" s="280"/>
      <c r="B28" s="275"/>
      <c r="C28" s="275"/>
      <c r="D28" s="275"/>
      <c r="E28" s="275"/>
      <c r="F28" s="275"/>
      <c r="G28" s="275"/>
      <c r="H28" s="275"/>
      <c r="I28" s="275"/>
      <c r="L28" s="275"/>
    </row>
    <row r="29" spans="1:14">
      <c r="B29" s="281"/>
      <c r="C29" s="281"/>
      <c r="D29" s="281"/>
      <c r="E29" s="281"/>
      <c r="F29" s="281"/>
      <c r="L29" s="281"/>
    </row>
    <row r="30" spans="1:14">
      <c r="A30" s="273"/>
      <c r="B30" s="308" t="str">
        <f>HLOOKUP(INDICE!$F$2,Nombres!$C$3:$D$636,12,FALSE)</f>
        <v xml:space="preserve">Turkey </v>
      </c>
      <c r="C30" s="308"/>
      <c r="D30" s="308"/>
      <c r="E30" s="308"/>
      <c r="F30" s="308"/>
      <c r="G30" s="308"/>
      <c r="H30" s="308"/>
      <c r="I30" s="308"/>
      <c r="L30" s="287"/>
      <c r="M30" s="287"/>
    </row>
    <row r="31" spans="1:14">
      <c r="A31" s="274"/>
      <c r="B31" s="159">
        <f>+B$5</f>
        <v>45747</v>
      </c>
      <c r="C31" s="159">
        <f t="shared" ref="C31:I31" si="2">+C$5</f>
        <v>45838</v>
      </c>
      <c r="D31" s="159">
        <f t="shared" si="2"/>
        <v>45930</v>
      </c>
      <c r="E31" s="159">
        <f t="shared" si="2"/>
        <v>46022</v>
      </c>
      <c r="F31" s="159">
        <f t="shared" si="2"/>
        <v>46112</v>
      </c>
      <c r="G31" s="159">
        <f t="shared" si="2"/>
        <v>46203</v>
      </c>
      <c r="H31" s="159">
        <f t="shared" si="2"/>
        <v>46295</v>
      </c>
      <c r="I31" s="159">
        <f t="shared" si="2"/>
        <v>46387</v>
      </c>
      <c r="L31" s="87"/>
      <c r="M31" s="287"/>
    </row>
    <row r="32" spans="1:14">
      <c r="A32" s="12" t="str">
        <f>HLOOKUP(INDICE!$F$2,Nombres!$C$3:$D$636,105,FALSE)</f>
        <v>Mortages</v>
      </c>
      <c r="B32" s="275">
        <v>1347.2673881675491</v>
      </c>
      <c r="C32" s="275">
        <v>1479.6641276951689</v>
      </c>
      <c r="D32" s="275">
        <v>1645.534607292019</v>
      </c>
      <c r="E32" s="275">
        <v>1870.4201844416411</v>
      </c>
      <c r="F32" s="275">
        <v>2092.4940252407091</v>
      </c>
      <c r="G32" s="275">
        <v>0</v>
      </c>
      <c r="H32" s="275">
        <v>0</v>
      </c>
      <c r="I32" s="275">
        <v>0</v>
      </c>
      <c r="L32" s="275"/>
      <c r="M32" s="287"/>
      <c r="N32" s="276"/>
    </row>
    <row r="33" spans="1:14">
      <c r="A33" s="12" t="str">
        <f>HLOOKUP(INDICE!$F$2,Nombres!$C$3:$D$636,106,FALSE)</f>
        <v>Consumer</v>
      </c>
      <c r="B33" s="275">
        <v>5174.133432181864</v>
      </c>
      <c r="C33" s="275">
        <v>5770.0769933879183</v>
      </c>
      <c r="D33" s="275">
        <v>6796.7706564139062</v>
      </c>
      <c r="E33" s="275">
        <v>7833.8025846075161</v>
      </c>
      <c r="F33" s="275">
        <v>8160.9497164382083</v>
      </c>
      <c r="G33" s="275">
        <v>0</v>
      </c>
      <c r="H33" s="275">
        <v>0</v>
      </c>
      <c r="I33" s="275">
        <v>0</v>
      </c>
      <c r="L33" s="275"/>
      <c r="M33" s="287"/>
      <c r="N33" s="276"/>
    </row>
    <row r="34" spans="1:14">
      <c r="A34" s="12" t="str">
        <f>HLOOKUP(INDICE!$F$2,Nombres!$C$3:$D$636,107,FALSE)</f>
        <v>Credit Cards</v>
      </c>
      <c r="B34" s="275">
        <v>7608.1299310728373</v>
      </c>
      <c r="C34" s="275">
        <v>8544.6116332416204</v>
      </c>
      <c r="D34" s="275">
        <v>9888.7536607340426</v>
      </c>
      <c r="E34" s="275">
        <v>10891.621821635938</v>
      </c>
      <c r="F34" s="275">
        <v>11746.736999999888</v>
      </c>
      <c r="G34" s="275">
        <v>0</v>
      </c>
      <c r="H34" s="275">
        <v>0</v>
      </c>
      <c r="I34" s="275">
        <v>0</v>
      </c>
      <c r="L34" s="275"/>
      <c r="M34" s="287"/>
      <c r="N34" s="276"/>
    </row>
    <row r="35" spans="1:14">
      <c r="A35" s="12" t="str">
        <f>HLOOKUP(INDICE!$F$2,Nombres!$C$3:$D$636,108,FALSE)</f>
        <v>Public Sector</v>
      </c>
      <c r="B35" s="275">
        <v>186.52141667823832</v>
      </c>
      <c r="C35" s="275">
        <v>307.00240852127774</v>
      </c>
      <c r="D35" s="275">
        <v>284.46808097303756</v>
      </c>
      <c r="E35" s="275">
        <v>267.66313692796695</v>
      </c>
      <c r="F35" s="275">
        <v>243.95899999999818</v>
      </c>
      <c r="G35" s="275">
        <v>0</v>
      </c>
      <c r="H35" s="275">
        <v>0</v>
      </c>
      <c r="I35" s="275">
        <v>0</v>
      </c>
      <c r="L35" s="275"/>
      <c r="M35" s="287"/>
      <c r="N35" s="276"/>
    </row>
    <row r="36" spans="1:14">
      <c r="A36" s="12" t="str">
        <f>HLOOKUP(INDICE!$F$2,Nombres!$C$3:$D$636,109,FALSE)</f>
        <v>Financial and Non Financial Companies</v>
      </c>
      <c r="B36" s="275">
        <v>23442.111121451326</v>
      </c>
      <c r="C36" s="275">
        <v>25868.141639829602</v>
      </c>
      <c r="D36" s="275">
        <v>27045.868644876617</v>
      </c>
      <c r="E36" s="275">
        <v>28748.753795215209</v>
      </c>
      <c r="F36" s="275">
        <v>30522.600000395283</v>
      </c>
      <c r="G36" s="275">
        <v>0</v>
      </c>
      <c r="H36" s="275">
        <v>0</v>
      </c>
      <c r="I36" s="275">
        <v>0</v>
      </c>
      <c r="L36" s="12"/>
      <c r="M36" s="287"/>
      <c r="N36" s="276"/>
    </row>
    <row r="37" spans="1:14">
      <c r="A37" s="12" t="str">
        <f>HLOOKUP(INDICE!$F$2,Nombres!$C$3:$D$636,111,FALSE)</f>
        <v>Others</v>
      </c>
      <c r="B37" s="275">
        <v>1802.4163918524832</v>
      </c>
      <c r="C37" s="275">
        <v>2144.961867977433</v>
      </c>
      <c r="D37" s="275">
        <v>2510.3067316490988</v>
      </c>
      <c r="E37" s="275">
        <v>2890.7106216576121</v>
      </c>
      <c r="F37" s="275">
        <v>3348.5562583209708</v>
      </c>
      <c r="G37" s="275">
        <v>0</v>
      </c>
      <c r="H37" s="275">
        <v>0</v>
      </c>
      <c r="I37" s="275">
        <v>0</v>
      </c>
      <c r="L37" s="12"/>
      <c r="M37" s="287"/>
      <c r="N37" s="276"/>
    </row>
    <row r="38" spans="1:14">
      <c r="A38" s="13" t="str">
        <f>HLOOKUP(INDICE!$F$2,Nombres!$C$3:$D$636,112,FALSE)</f>
        <v>Performing Loans under management (*)</v>
      </c>
      <c r="B38" s="277">
        <v>39560.579681404299</v>
      </c>
      <c r="C38" s="277">
        <v>44114.458670653024</v>
      </c>
      <c r="D38" s="277">
        <v>48171.702381938718</v>
      </c>
      <c r="E38" s="277">
        <v>52502.972144485888</v>
      </c>
      <c r="F38" s="277">
        <v>56115.29600039505</v>
      </c>
      <c r="G38" s="277">
        <v>0</v>
      </c>
      <c r="H38" s="277">
        <v>0</v>
      </c>
      <c r="I38" s="277">
        <v>0</v>
      </c>
      <c r="L38" s="12"/>
      <c r="M38" s="287"/>
      <c r="N38" s="276"/>
    </row>
    <row r="39" spans="1:14">
      <c r="A39" s="13"/>
      <c r="B39" s="277"/>
      <c r="C39" s="277"/>
      <c r="D39" s="277"/>
      <c r="E39" s="277"/>
      <c r="F39" s="277"/>
      <c r="G39" s="277"/>
      <c r="H39" s="277"/>
      <c r="I39" s="277"/>
      <c r="L39" s="12"/>
      <c r="M39" s="287"/>
      <c r="N39" s="276"/>
    </row>
    <row r="40" spans="1:14">
      <c r="A40" s="13"/>
      <c r="B40" s="277"/>
      <c r="C40" s="277"/>
      <c r="D40" s="277"/>
      <c r="E40" s="277"/>
      <c r="F40" s="277"/>
      <c r="G40" s="277"/>
      <c r="H40" s="277"/>
      <c r="I40" s="277"/>
      <c r="L40" s="12"/>
      <c r="M40" s="287"/>
      <c r="N40" s="276"/>
    </row>
    <row r="41" spans="1:14">
      <c r="A41" s="13"/>
      <c r="B41" s="277"/>
      <c r="C41" s="277"/>
      <c r="D41" s="277"/>
      <c r="E41" s="277"/>
      <c r="F41" s="277"/>
      <c r="G41" s="277"/>
      <c r="H41" s="277"/>
      <c r="I41" s="277"/>
      <c r="L41" s="12"/>
      <c r="M41" s="287"/>
      <c r="N41" s="276"/>
    </row>
    <row r="42" spans="1:14">
      <c r="A42" s="273"/>
      <c r="B42" s="308" t="str">
        <f>HLOOKUP(INDICE!$F$2,Nombres!$C$3:$D$636,296,FALSE)</f>
        <v>Turkey Bank only</v>
      </c>
      <c r="C42" s="308"/>
      <c r="D42" s="308"/>
      <c r="E42" s="308"/>
      <c r="F42" s="308"/>
      <c r="G42" s="308"/>
      <c r="H42" s="308"/>
      <c r="I42" s="308"/>
      <c r="L42" s="287"/>
      <c r="M42" s="287"/>
    </row>
    <row r="43" spans="1:14">
      <c r="A43" s="274"/>
      <c r="B43" s="159">
        <f>+B$5</f>
        <v>45747</v>
      </c>
      <c r="C43" s="159">
        <f t="shared" ref="C43:I43" si="3">+C$5</f>
        <v>45838</v>
      </c>
      <c r="D43" s="159">
        <f t="shared" si="3"/>
        <v>45930</v>
      </c>
      <c r="E43" s="159">
        <f t="shared" si="3"/>
        <v>46022</v>
      </c>
      <c r="F43" s="159">
        <f t="shared" si="3"/>
        <v>46112</v>
      </c>
      <c r="G43" s="159">
        <f t="shared" si="3"/>
        <v>46203</v>
      </c>
      <c r="H43" s="159">
        <f t="shared" si="3"/>
        <v>46295</v>
      </c>
      <c r="I43" s="159">
        <f t="shared" si="3"/>
        <v>46387</v>
      </c>
      <c r="L43" s="87"/>
      <c r="M43" s="287"/>
    </row>
    <row r="44" spans="1:14">
      <c r="A44" s="12" t="str">
        <f>HLOOKUP(INDICE!$F$2,Nombres!$C$3:$D$636,285,FALSE)</f>
        <v>Retail Loans TL</v>
      </c>
      <c r="B44" s="275">
        <v>15216.139414998208</v>
      </c>
      <c r="C44" s="275">
        <v>16972.935245059387</v>
      </c>
      <c r="D44" s="275">
        <v>19089.475496634535</v>
      </c>
      <c r="E44" s="275">
        <v>21637.64385326815</v>
      </c>
      <c r="F44" s="275">
        <v>22978.878204352</v>
      </c>
      <c r="G44" s="275">
        <v>0</v>
      </c>
      <c r="H44" s="275">
        <v>0</v>
      </c>
      <c r="I44" s="275">
        <v>0</v>
      </c>
      <c r="L44" s="275"/>
      <c r="M44" s="287"/>
      <c r="N44" s="276"/>
    </row>
    <row r="45" spans="1:14">
      <c r="A45" s="12" t="str">
        <f>HLOOKUP(INDICE!$F$2,Nombres!$C$3:$D$636,286,FALSE)</f>
        <v>Commercial Loans TL</v>
      </c>
      <c r="B45" s="275">
        <v>7605.0328293030616</v>
      </c>
      <c r="C45" s="275">
        <v>8259.9232795154785</v>
      </c>
      <c r="D45" s="275">
        <v>8833.1211305856632</v>
      </c>
      <c r="E45" s="275">
        <v>9338.4526290736467</v>
      </c>
      <c r="F45" s="275">
        <v>10185.45034163982</v>
      </c>
      <c r="G45" s="275">
        <v>0</v>
      </c>
      <c r="H45" s="275">
        <v>0</v>
      </c>
      <c r="I45" s="275">
        <v>0</v>
      </c>
      <c r="L45" s="275"/>
      <c r="M45" s="287"/>
      <c r="N45" s="276"/>
    </row>
    <row r="46" spans="1:14">
      <c r="A46" s="13" t="str">
        <f>HLOOKUP(INDICE!$F$2,Nombres!$C$3:$D$636,287,FALSE)</f>
        <v>Total Loans TL</v>
      </c>
      <c r="B46" s="277">
        <v>22821.17224430127</v>
      </c>
      <c r="C46" s="277">
        <v>25232.858524574862</v>
      </c>
      <c r="D46" s="277">
        <v>27922.596627220199</v>
      </c>
      <c r="E46" s="277">
        <v>30976.0964823418</v>
      </c>
      <c r="F46" s="277">
        <v>33164.328545991819</v>
      </c>
      <c r="G46" s="277">
        <v>0</v>
      </c>
      <c r="H46" s="277">
        <v>0</v>
      </c>
      <c r="I46" s="277">
        <v>0</v>
      </c>
      <c r="L46" s="275"/>
      <c r="M46" s="287"/>
      <c r="N46" s="276"/>
    </row>
    <row r="47" spans="1:14">
      <c r="A47" s="13" t="str">
        <f>HLOOKUP(INDICE!$F$2,Nombres!$C$3:$D$636,288,FALSE)</f>
        <v>Total Loans FC</v>
      </c>
      <c r="B47" s="277">
        <v>10291.310326617277</v>
      </c>
      <c r="C47" s="277">
        <v>10906.162871799328</v>
      </c>
      <c r="D47" s="277">
        <v>11220.549644105999</v>
      </c>
      <c r="E47" s="277">
        <v>11518.429616495985</v>
      </c>
      <c r="F47" s="277">
        <v>11546.218098237334</v>
      </c>
      <c r="G47" s="277">
        <v>0</v>
      </c>
      <c r="H47" s="277">
        <v>0</v>
      </c>
      <c r="I47" s="277">
        <v>0</v>
      </c>
      <c r="L47" s="12"/>
      <c r="M47" s="287"/>
      <c r="N47" s="276"/>
    </row>
    <row r="48" spans="1:14">
      <c r="A48" s="285" t="str">
        <f>HLOOKUP(INDICE!$F$2,Nombres!$C$3:$D$636,295,FALSE)</f>
        <v>(TL Turkish Lira FC Foreign Currency)</v>
      </c>
      <c r="B48" s="278">
        <f>+SUM(B32:B37)-B38</f>
        <v>0</v>
      </c>
      <c r="C48" s="278">
        <f t="shared" ref="C48:I48" si="4">+SUM(C32:C37)-C38</f>
        <v>0</v>
      </c>
      <c r="D48" s="278">
        <f t="shared" si="4"/>
        <v>0</v>
      </c>
      <c r="E48" s="278">
        <f t="shared" si="4"/>
        <v>0</v>
      </c>
      <c r="F48" s="278">
        <f t="shared" si="4"/>
        <v>0</v>
      </c>
      <c r="G48" s="278">
        <f t="shared" si="4"/>
        <v>0</v>
      </c>
      <c r="H48" s="278">
        <f t="shared" si="4"/>
        <v>0</v>
      </c>
      <c r="I48" s="278">
        <f t="shared" si="4"/>
        <v>0</v>
      </c>
      <c r="L48" s="13"/>
      <c r="M48" s="287"/>
      <c r="N48" s="276"/>
    </row>
    <row r="49" spans="1:14">
      <c r="A49" s="14"/>
      <c r="B49" s="279"/>
      <c r="C49" s="279"/>
      <c r="D49" s="279"/>
      <c r="E49" s="279"/>
      <c r="F49" s="279"/>
      <c r="G49" s="279"/>
      <c r="H49" s="279"/>
      <c r="I49" s="279"/>
      <c r="L49" s="279"/>
      <c r="M49" s="287"/>
    </row>
    <row r="50" spans="1:14">
      <c r="A50" s="14"/>
      <c r="B50" s="279"/>
      <c r="C50" s="279"/>
      <c r="D50" s="279"/>
      <c r="E50" s="279"/>
      <c r="F50" s="279"/>
      <c r="G50" s="279"/>
      <c r="H50" s="279"/>
      <c r="I50" s="279"/>
      <c r="L50" s="279"/>
    </row>
    <row r="51" spans="1:14" ht="15.75" customHeight="1">
      <c r="A51" s="273"/>
      <c r="B51" s="308" t="str">
        <f>HLOOKUP(INDICE!$F$2,Nombres!$C$3:$D$636,283,FALSE)</f>
        <v xml:space="preserve">South America </v>
      </c>
      <c r="C51" s="308"/>
      <c r="D51" s="308"/>
      <c r="E51" s="308"/>
      <c r="F51" s="308"/>
      <c r="G51" s="308"/>
      <c r="H51" s="308"/>
      <c r="I51" s="308"/>
    </row>
    <row r="52" spans="1:14">
      <c r="A52" s="274"/>
      <c r="B52" s="159">
        <f>+B$5</f>
        <v>45747</v>
      </c>
      <c r="C52" s="159">
        <f t="shared" ref="C52:I52" si="5">+C$5</f>
        <v>45838</v>
      </c>
      <c r="D52" s="159">
        <f t="shared" si="5"/>
        <v>45930</v>
      </c>
      <c r="E52" s="159">
        <f t="shared" si="5"/>
        <v>46022</v>
      </c>
      <c r="F52" s="159">
        <f t="shared" si="5"/>
        <v>46112</v>
      </c>
      <c r="G52" s="159">
        <f t="shared" si="5"/>
        <v>46203</v>
      </c>
      <c r="H52" s="159">
        <f t="shared" si="5"/>
        <v>46295</v>
      </c>
      <c r="I52" s="159">
        <f t="shared" si="5"/>
        <v>46387</v>
      </c>
    </row>
    <row r="53" spans="1:14">
      <c r="A53" s="12" t="s">
        <v>29</v>
      </c>
      <c r="B53" s="275">
        <v>5642.5336553414436</v>
      </c>
      <c r="C53" s="275">
        <v>6828.2959128652546</v>
      </c>
      <c r="D53" s="275">
        <v>7519.2376752740374</v>
      </c>
      <c r="E53" s="275">
        <v>8723.0573001287958</v>
      </c>
      <c r="F53" s="275">
        <v>9142.240000003987</v>
      </c>
      <c r="G53" s="275">
        <v>0</v>
      </c>
      <c r="H53" s="275">
        <v>0</v>
      </c>
      <c r="I53" s="275">
        <v>0</v>
      </c>
      <c r="L53" s="275"/>
      <c r="M53" s="288"/>
      <c r="N53" s="276"/>
    </row>
    <row r="54" spans="1:14">
      <c r="A54" s="12" t="s">
        <v>30</v>
      </c>
      <c r="B54" s="275">
        <v>2016.018233051547</v>
      </c>
      <c r="C54" s="275">
        <v>2040.9106544190061</v>
      </c>
      <c r="D54" s="275">
        <v>2138.9357021611436</v>
      </c>
      <c r="E54" s="275">
        <v>2211.8263801632465</v>
      </c>
      <c r="F54" s="275">
        <v>2150.6949999999997</v>
      </c>
      <c r="G54" s="275">
        <v>0</v>
      </c>
      <c r="H54" s="275">
        <v>0</v>
      </c>
      <c r="I54" s="275">
        <v>0</v>
      </c>
      <c r="L54" s="275"/>
      <c r="M54" s="276"/>
      <c r="N54" s="276"/>
    </row>
    <row r="55" spans="1:14">
      <c r="A55" s="12" t="s">
        <v>31</v>
      </c>
      <c r="B55" s="275">
        <v>17283.484952214778</v>
      </c>
      <c r="C55" s="275">
        <v>17615.963884481574</v>
      </c>
      <c r="D55" s="275">
        <v>17970.735419561042</v>
      </c>
      <c r="E55" s="275">
        <v>18145.793865560132</v>
      </c>
      <c r="F55" s="275">
        <v>18473.342999999244</v>
      </c>
      <c r="G55" s="275">
        <v>0</v>
      </c>
      <c r="H55" s="275">
        <v>0</v>
      </c>
      <c r="I55" s="275">
        <v>0</v>
      </c>
      <c r="L55" s="275"/>
      <c r="M55" s="288"/>
      <c r="N55" s="276"/>
    </row>
    <row r="56" spans="1:14" ht="15" customHeight="1">
      <c r="A56" s="12" t="s">
        <v>32</v>
      </c>
      <c r="B56" s="275">
        <v>18358.763020762904</v>
      </c>
      <c r="C56" s="275">
        <v>18691.594664911881</v>
      </c>
      <c r="D56" s="275">
        <v>19001.79946410692</v>
      </c>
      <c r="E56" s="275">
        <v>19425.614689183767</v>
      </c>
      <c r="F56" s="275">
        <v>19859.592999999048</v>
      </c>
      <c r="G56" s="275">
        <v>0</v>
      </c>
      <c r="H56" s="275">
        <v>0</v>
      </c>
      <c r="I56" s="275">
        <v>0</v>
      </c>
      <c r="L56" s="275"/>
      <c r="M56" s="288"/>
      <c r="N56" s="276"/>
    </row>
    <row r="57" spans="1:14" ht="15" customHeight="1">
      <c r="A57" s="12" t="s">
        <v>214</v>
      </c>
      <c r="B57" s="275">
        <v>2651.9651781622101</v>
      </c>
      <c r="C57" s="275">
        <v>2791.6831452376823</v>
      </c>
      <c r="D57" s="275">
        <v>2849.8527570697684</v>
      </c>
      <c r="E57" s="275">
        <v>3009.9979365310146</v>
      </c>
      <c r="F57" s="275">
        <v>3231.2739999999671</v>
      </c>
      <c r="G57" s="275">
        <v>0</v>
      </c>
      <c r="H57" s="275">
        <v>0</v>
      </c>
      <c r="I57" s="275">
        <v>0</v>
      </c>
      <c r="L57" s="275"/>
      <c r="N57" s="276"/>
    </row>
    <row r="58" spans="1:14" ht="15" customHeight="1">
      <c r="A58" s="13" t="str">
        <f>HLOOKUP(INDICE!$F$2,Nombres!$C$3:$D$636,112,FALSE)</f>
        <v>Performing Loans under management (*)</v>
      </c>
      <c r="B58" s="277">
        <v>45952.765039532889</v>
      </c>
      <c r="C58" s="277">
        <v>47968.448261915393</v>
      </c>
      <c r="D58" s="277">
        <v>49480.561018172913</v>
      </c>
      <c r="E58" s="277">
        <v>51516.290171566943</v>
      </c>
      <c r="F58" s="277">
        <v>52857.145000002252</v>
      </c>
      <c r="G58" s="277">
        <v>0</v>
      </c>
      <c r="H58" s="277">
        <v>0</v>
      </c>
      <c r="I58" s="277">
        <v>0</v>
      </c>
      <c r="L58" s="13"/>
      <c r="M58" s="288"/>
      <c r="N58" s="276"/>
    </row>
    <row r="59" spans="1:14">
      <c r="A59" s="14"/>
      <c r="B59" s="14"/>
      <c r="C59" s="14"/>
      <c r="D59" s="14"/>
      <c r="E59" s="14"/>
      <c r="F59" s="14"/>
      <c r="L59" s="14"/>
    </row>
    <row r="60" spans="1:14">
      <c r="A60" s="15"/>
      <c r="B60" s="14"/>
      <c r="C60" s="14"/>
      <c r="D60" s="14"/>
      <c r="E60" s="14"/>
      <c r="F60" s="14"/>
      <c r="L60" s="14"/>
    </row>
    <row r="61" spans="1:14">
      <c r="A61" s="15"/>
      <c r="B61" s="14"/>
      <c r="C61" s="14"/>
      <c r="D61" s="14"/>
      <c r="E61" s="14"/>
      <c r="F61" s="14"/>
      <c r="L61" s="14"/>
    </row>
    <row r="62" spans="1:14">
      <c r="A62" s="273"/>
      <c r="B62" s="308" t="str">
        <f>HLOOKUP(INDICE!$F$2,Nombres!$C$3:$D$636,263,FALSE)</f>
        <v>Rest of Business</v>
      </c>
      <c r="C62" s="308"/>
      <c r="D62" s="308"/>
      <c r="E62" s="308"/>
      <c r="F62" s="308"/>
      <c r="G62" s="308"/>
      <c r="H62" s="308"/>
      <c r="I62" s="308"/>
      <c r="L62" s="14"/>
    </row>
    <row r="63" spans="1:14">
      <c r="A63" s="274"/>
      <c r="B63" s="159">
        <f>+B$5</f>
        <v>45747</v>
      </c>
      <c r="C63" s="159">
        <f t="shared" ref="C63:I63" si="6">+C$5</f>
        <v>45838</v>
      </c>
      <c r="D63" s="159">
        <f t="shared" si="6"/>
        <v>45930</v>
      </c>
      <c r="E63" s="159">
        <f t="shared" si="6"/>
        <v>46022</v>
      </c>
      <c r="F63" s="159">
        <f t="shared" si="6"/>
        <v>46112</v>
      </c>
      <c r="G63" s="159">
        <f t="shared" si="6"/>
        <v>46203</v>
      </c>
      <c r="H63" s="159">
        <f t="shared" si="6"/>
        <v>46295</v>
      </c>
      <c r="I63" s="159">
        <f t="shared" si="6"/>
        <v>46387</v>
      </c>
      <c r="L63" s="14"/>
    </row>
    <row r="64" spans="1:14">
      <c r="A64" s="12" t="str">
        <f>HLOOKUP(INDICE!$F$2,Nombres!$C$3:$D$636,105,FALSE)</f>
        <v>Mortages</v>
      </c>
      <c r="B64" s="275">
        <v>698.53424508308024</v>
      </c>
      <c r="C64" s="275">
        <v>760.2800503176353</v>
      </c>
      <c r="D64" s="275">
        <v>813.0916838774898</v>
      </c>
      <c r="E64" s="275">
        <v>871.96485134166255</v>
      </c>
      <c r="F64" s="275">
        <v>882.17651853999791</v>
      </c>
      <c r="G64" s="275">
        <v>0</v>
      </c>
      <c r="H64" s="275">
        <v>0</v>
      </c>
      <c r="I64" s="275">
        <v>0</v>
      </c>
      <c r="L64" s="14"/>
    </row>
    <row r="65" spans="1:12">
      <c r="A65" s="12" t="str">
        <f>HLOOKUP(INDICE!$F$2,Nombres!$C$3:$D$636,106,FALSE)</f>
        <v>Consumer</v>
      </c>
      <c r="B65" s="275">
        <v>715.93226345301582</v>
      </c>
      <c r="C65" s="275">
        <v>743.41523149631939</v>
      </c>
      <c r="D65" s="275">
        <v>780.09980617174301</v>
      </c>
      <c r="E65" s="275">
        <v>815.22819654297257</v>
      </c>
      <c r="F65" s="275">
        <v>859.65361604999998</v>
      </c>
      <c r="G65" s="275">
        <v>0</v>
      </c>
      <c r="H65" s="275">
        <v>0</v>
      </c>
      <c r="I65" s="275">
        <v>0</v>
      </c>
      <c r="L65" s="14"/>
    </row>
    <row r="66" spans="1:12">
      <c r="A66" s="12" t="str">
        <f>HLOOKUP(INDICE!$F$2,Nombres!$C$3:$D$636,107,FALSE)</f>
        <v>Credit Cards</v>
      </c>
      <c r="B66" s="275">
        <v>19.419609530000006</v>
      </c>
      <c r="C66" s="275">
        <v>23.608631690000003</v>
      </c>
      <c r="D66" s="275">
        <v>23.431353569999999</v>
      </c>
      <c r="E66" s="275">
        <v>25.996339990000003</v>
      </c>
      <c r="F66" s="275">
        <v>25.83692121</v>
      </c>
      <c r="G66" s="275">
        <v>0</v>
      </c>
      <c r="H66" s="275">
        <v>0</v>
      </c>
      <c r="I66" s="275">
        <v>0</v>
      </c>
      <c r="L66" s="14"/>
    </row>
    <row r="67" spans="1:12">
      <c r="A67" s="12" t="str">
        <f>HLOOKUP(INDICE!$F$2,Nombres!$C$3:$D$636,108,FALSE)</f>
        <v>Public Sector</v>
      </c>
      <c r="B67" s="275">
        <v>723.83284317897812</v>
      </c>
      <c r="C67" s="275">
        <v>2119.8553445490743</v>
      </c>
      <c r="D67" s="275">
        <v>1265.748939564282</v>
      </c>
      <c r="E67" s="275">
        <v>822.32185141294622</v>
      </c>
      <c r="F67" s="275">
        <v>2426.7348348099899</v>
      </c>
      <c r="G67" s="275">
        <v>0</v>
      </c>
      <c r="H67" s="275">
        <v>0</v>
      </c>
      <c r="I67" s="275">
        <v>0</v>
      </c>
      <c r="L67" s="14"/>
    </row>
    <row r="68" spans="1:12">
      <c r="A68" s="12" t="str">
        <f>HLOOKUP(INDICE!$F$2,Nombres!$C$3:$D$636,109,FALSE)</f>
        <v>Financial and Non Financial Companies</v>
      </c>
      <c r="B68" s="275">
        <v>46536.694049763042</v>
      </c>
      <c r="C68" s="275">
        <v>52469.443064902909</v>
      </c>
      <c r="D68" s="275">
        <v>55690.656754709649</v>
      </c>
      <c r="E68" s="275">
        <v>64257.332714184617</v>
      </c>
      <c r="F68" s="275">
        <v>71065.165512768843</v>
      </c>
      <c r="G68" s="275">
        <v>0</v>
      </c>
      <c r="H68" s="275">
        <v>0</v>
      </c>
      <c r="I68" s="275">
        <v>0</v>
      </c>
      <c r="L68" s="14"/>
    </row>
    <row r="69" spans="1:12">
      <c r="A69" s="12" t="str">
        <f>HLOOKUP(INDICE!$F$2,Nombres!$C$3:$D$636,111,FALSE)</f>
        <v>Others</v>
      </c>
      <c r="B69" s="275">
        <v>192.58548454854329</v>
      </c>
      <c r="C69" s="275">
        <v>192.53927206364665</v>
      </c>
      <c r="D69" s="275">
        <v>220.23149787441193</v>
      </c>
      <c r="E69" s="275">
        <v>239.77728549093422</v>
      </c>
      <c r="F69" s="275">
        <v>247.33700185999538</v>
      </c>
      <c r="G69" s="275">
        <v>0</v>
      </c>
      <c r="H69" s="275">
        <v>0</v>
      </c>
      <c r="I69" s="275">
        <v>0</v>
      </c>
      <c r="L69" s="14"/>
    </row>
    <row r="70" spans="1:12">
      <c r="A70" s="13" t="str">
        <f>HLOOKUP(INDICE!$F$2,Nombres!$C$3:$D$636,112,FALSE)</f>
        <v>Performing Loans under management (*)</v>
      </c>
      <c r="B70" s="277">
        <v>48886.998495556654</v>
      </c>
      <c r="C70" s="277">
        <v>56309.141595019588</v>
      </c>
      <c r="D70" s="277">
        <v>58793.260035767576</v>
      </c>
      <c r="E70" s="277">
        <v>67032.62123896314</v>
      </c>
      <c r="F70" s="277">
        <v>75506.904405238834</v>
      </c>
      <c r="G70" s="277">
        <v>0</v>
      </c>
      <c r="H70" s="277">
        <v>0</v>
      </c>
      <c r="I70" s="277">
        <v>0</v>
      </c>
    </row>
    <row r="71" spans="1:12">
      <c r="A71" s="13"/>
      <c r="B71" s="277"/>
      <c r="C71" s="277"/>
      <c r="D71" s="277"/>
      <c r="E71" s="277"/>
      <c r="F71" s="277"/>
      <c r="G71" s="277"/>
      <c r="H71" s="277"/>
      <c r="I71" s="277"/>
    </row>
    <row r="73" spans="1:12">
      <c r="A73" s="15" t="str">
        <f>HLOOKUP(INDICE!$F$2,Nombres!$C$3:$D$636,71,FALSE)</f>
        <v xml:space="preserve">(*) Excluding repos. </v>
      </c>
    </row>
    <row r="995" spans="1:1">
      <c r="A995" s="270" t="s">
        <v>555</v>
      </c>
    </row>
  </sheetData>
  <mergeCells count="6">
    <mergeCell ref="B62:I62"/>
    <mergeCell ref="B4:I4"/>
    <mergeCell ref="B17:I17"/>
    <mergeCell ref="B30:I30"/>
    <mergeCell ref="B42:I42"/>
    <mergeCell ref="B51:I51"/>
  </mergeCells>
  <conditionalFormatting sqref="B14:I14">
    <cfRule type="cellIs" dxfId="10" priority="5" operator="notBetween">
      <formula>0.5</formula>
      <formula>-0.5</formula>
    </cfRule>
  </conditionalFormatting>
  <conditionalFormatting sqref="B27:I27">
    <cfRule type="cellIs" dxfId="9" priority="3" operator="notBetween">
      <formula>0.5</formula>
      <formula>-0.5</formula>
    </cfRule>
  </conditionalFormatting>
  <conditionalFormatting sqref="B48:I48">
    <cfRule type="cellIs" dxfId="8" priority="1" operator="notBetween">
      <formula>0.5</formula>
      <formula>-0.5</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L1010"/>
  <sheetViews>
    <sheetView showGridLines="0" zoomScale="85" zoomScaleNormal="85" workbookViewId="0">
      <pane xSplit="1" ySplit="4" topLeftCell="B5" activePane="bottomRight" state="frozen"/>
      <selection pane="topRight"/>
      <selection pane="bottomLeft"/>
      <selection pane="bottomRight"/>
    </sheetView>
  </sheetViews>
  <sheetFormatPr baseColWidth="10" defaultColWidth="11.453125" defaultRowHeight="14.5"/>
  <cols>
    <col min="1" max="1" width="35.7265625" style="270" customWidth="1"/>
    <col min="2" max="2" width="12.26953125" style="270" customWidth="1"/>
    <col min="3" max="6" width="11.453125" style="270"/>
    <col min="7" max="9" width="11.453125" style="270" hidden="1" customWidth="1"/>
    <col min="10" max="11" width="5.7265625" style="270" customWidth="1"/>
    <col min="12" max="12" width="19.54296875" style="270" customWidth="1"/>
    <col min="13" max="16384" width="11.453125" style="270"/>
  </cols>
  <sheetData>
    <row r="1" spans="1:12" ht="17">
      <c r="A1" s="16" t="str">
        <f>HLOOKUP(INDICE!$F$2,Nombres!$C$3:$D$636,120,FALSE)</f>
        <v>Breakdown of customer funds under management</v>
      </c>
      <c r="B1" s="268"/>
      <c r="C1" s="268"/>
      <c r="D1" s="268"/>
      <c r="E1" s="268"/>
      <c r="F1" s="268"/>
      <c r="G1" s="268"/>
      <c r="H1" s="268"/>
      <c r="I1" s="268"/>
    </row>
    <row r="2" spans="1:12">
      <c r="A2" s="271" t="str">
        <f>HLOOKUP(INDICE!$F$2,Nombres!$C$3:$D$636,73,FALSE)</f>
        <v xml:space="preserve">(Constant million euros)    </v>
      </c>
      <c r="B2" s="14"/>
      <c r="C2" s="14"/>
      <c r="D2" s="14"/>
      <c r="E2" s="14"/>
      <c r="F2" s="14"/>
    </row>
    <row r="3" spans="1:12" ht="15.75" customHeight="1">
      <c r="A3" s="273"/>
      <c r="B3" s="308" t="str">
        <f>HLOOKUP(INDICE!$F$2,Nombres!$C$3:$D$636,7,FALSE)</f>
        <v>Spain</v>
      </c>
      <c r="C3" s="308"/>
      <c r="D3" s="308"/>
      <c r="E3" s="308"/>
      <c r="F3" s="308"/>
      <c r="G3" s="308"/>
      <c r="H3" s="308"/>
      <c r="I3" s="308"/>
      <c r="L3" s="289"/>
    </row>
    <row r="4" spans="1:12">
      <c r="A4" s="274"/>
      <c r="B4" s="159">
        <f>+España!B32</f>
        <v>45747</v>
      </c>
      <c r="C4" s="159">
        <f>+España!C32</f>
        <v>45838</v>
      </c>
      <c r="D4" s="159">
        <f>+España!D32</f>
        <v>45930</v>
      </c>
      <c r="E4" s="159">
        <f>+España!E32</f>
        <v>46022</v>
      </c>
      <c r="F4" s="159">
        <f>+España!F32</f>
        <v>46112</v>
      </c>
      <c r="G4" s="159">
        <f>+España!G32</f>
        <v>46203</v>
      </c>
      <c r="H4" s="159">
        <f>+España!H32</f>
        <v>46295</v>
      </c>
      <c r="I4" s="159">
        <f>+España!I32</f>
        <v>46387</v>
      </c>
    </row>
    <row r="5" spans="1:12">
      <c r="A5" s="12" t="str">
        <f>HLOOKUP(INDICE!$F$2,Nombres!$C$3:$D$636,114,FALSE)</f>
        <v>Demand deposits</v>
      </c>
      <c r="B5" s="275">
        <v>186924.4033243302</v>
      </c>
      <c r="C5" s="275">
        <v>192063.46965543</v>
      </c>
      <c r="D5" s="275">
        <v>194462.76948304009</v>
      </c>
      <c r="E5" s="275">
        <v>198559.12843727021</v>
      </c>
      <c r="F5" s="275">
        <v>197385.43985551025</v>
      </c>
      <c r="G5" s="275">
        <v>0</v>
      </c>
      <c r="H5" s="275">
        <v>0</v>
      </c>
      <c r="I5" s="275">
        <v>0</v>
      </c>
      <c r="L5" s="12"/>
    </row>
    <row r="6" spans="1:12">
      <c r="A6" s="12" t="str">
        <f>HLOOKUP(INDICE!$F$2,Nombres!$C$3:$D$636,115,FALSE)</f>
        <v>Time deposits</v>
      </c>
      <c r="B6" s="275">
        <v>30223.225120350005</v>
      </c>
      <c r="C6" s="275">
        <v>28299.935668330003</v>
      </c>
      <c r="D6" s="275">
        <v>35352.078029039993</v>
      </c>
      <c r="E6" s="275">
        <v>39887.427593530017</v>
      </c>
      <c r="F6" s="275">
        <v>36819.550754240023</v>
      </c>
      <c r="G6" s="275">
        <v>0</v>
      </c>
      <c r="H6" s="275">
        <v>0</v>
      </c>
      <c r="I6" s="275">
        <v>0</v>
      </c>
      <c r="L6" s="12"/>
    </row>
    <row r="7" spans="1:12">
      <c r="A7" s="12" t="str">
        <f>HLOOKUP(INDICE!$F$2,Nombres!$C$3:$D$636,116,FALSE)</f>
        <v>Off balance sheet funds (*)</v>
      </c>
      <c r="B7" s="275">
        <v>110572.18854551029</v>
      </c>
      <c r="C7" s="275">
        <v>112680.49556722053</v>
      </c>
      <c r="D7" s="275">
        <v>116067.28841376968</v>
      </c>
      <c r="E7" s="275">
        <v>119534.55892089968</v>
      </c>
      <c r="F7" s="275">
        <v>118975.56070095119</v>
      </c>
      <c r="G7" s="275">
        <v>0</v>
      </c>
      <c r="H7" s="275">
        <v>0</v>
      </c>
      <c r="I7" s="275">
        <v>0</v>
      </c>
      <c r="L7" s="12"/>
    </row>
    <row r="8" spans="1:12">
      <c r="A8" s="13" t="str">
        <f>HLOOKUP(INDICE!$F$2,Nombres!$C$3:$D$636,208,FALSE)</f>
        <v>Customer funds under management (**)</v>
      </c>
      <c r="B8" s="13">
        <v>327719.81699019048</v>
      </c>
      <c r="C8" s="13">
        <v>333043.9008909805</v>
      </c>
      <c r="D8" s="13">
        <v>345882.13592584978</v>
      </c>
      <c r="E8" s="13">
        <v>357981.11495169991</v>
      </c>
      <c r="F8" s="13">
        <v>353180.55131070147</v>
      </c>
      <c r="G8" s="13">
        <v>0</v>
      </c>
      <c r="H8" s="13">
        <v>0</v>
      </c>
      <c r="I8" s="13">
        <v>0</v>
      </c>
      <c r="L8" s="13"/>
    </row>
    <row r="9" spans="1:12">
      <c r="A9" s="12" t="str">
        <f>HLOOKUP(INDICE!$F$2,Nombres!$C$3:$D$636,118,FALSE)</f>
        <v>Demand + Time deposits</v>
      </c>
      <c r="B9" s="275">
        <f>+B5+B6</f>
        <v>217147.62844468019</v>
      </c>
      <c r="C9" s="275">
        <f>+C5+C6</f>
        <v>220363.40532376</v>
      </c>
      <c r="D9" s="275">
        <f t="shared" ref="D9:I9" si="0">+D5+D6</f>
        <v>229814.84751208007</v>
      </c>
      <c r="E9" s="275">
        <f t="shared" si="0"/>
        <v>238446.55603080022</v>
      </c>
      <c r="F9" s="275">
        <f>+F5+F6</f>
        <v>234204.99060975027</v>
      </c>
      <c r="G9" s="275">
        <f t="shared" si="0"/>
        <v>0</v>
      </c>
      <c r="H9" s="275">
        <f t="shared" si="0"/>
        <v>0</v>
      </c>
      <c r="I9" s="275">
        <f t="shared" si="0"/>
        <v>0</v>
      </c>
      <c r="L9" s="14"/>
    </row>
    <row r="10" spans="1:12">
      <c r="A10" s="14"/>
      <c r="B10" s="278">
        <f t="shared" ref="B10:I10" si="1">+B5+B6+B7-B8</f>
        <v>0</v>
      </c>
      <c r="C10" s="278">
        <f t="shared" si="1"/>
        <v>0</v>
      </c>
      <c r="D10" s="278">
        <f t="shared" si="1"/>
        <v>0</v>
      </c>
      <c r="E10" s="278">
        <f t="shared" si="1"/>
        <v>0</v>
      </c>
      <c r="F10" s="278">
        <f>+B5+B6+B7-B8</f>
        <v>0</v>
      </c>
      <c r="G10" s="278">
        <f t="shared" si="1"/>
        <v>0</v>
      </c>
      <c r="H10" s="278">
        <f t="shared" si="1"/>
        <v>0</v>
      </c>
      <c r="I10" s="278">
        <f t="shared" si="1"/>
        <v>0</v>
      </c>
    </row>
    <row r="11" spans="1:12">
      <c r="A11" s="14"/>
      <c r="B11" s="278" t="e">
        <f>+#REF!-España!B54</f>
        <v>#REF!</v>
      </c>
      <c r="C11" s="278">
        <f>+C9-España!C54</f>
        <v>0</v>
      </c>
      <c r="D11" s="278">
        <f>+D9-España!D54</f>
        <v>0</v>
      </c>
      <c r="E11" s="278">
        <f>+E9-España!E54</f>
        <v>0</v>
      </c>
      <c r="F11" s="278">
        <f>+F9-España!F54</f>
        <v>0</v>
      </c>
      <c r="G11" s="278">
        <f>+G9-España!G54</f>
        <v>0</v>
      </c>
      <c r="H11" s="278">
        <f>+H9-España!H54</f>
        <v>0</v>
      </c>
      <c r="I11" s="278">
        <f>+I9-España!I54</f>
        <v>0</v>
      </c>
    </row>
    <row r="12" spans="1:12" ht="15.75" customHeight="1">
      <c r="A12" s="273"/>
      <c r="B12" s="308" t="str">
        <f>HLOOKUP(INDICE!$F$2,Nombres!$C$3:$D$636,204,FALSE)</f>
        <v>Mexico (***)</v>
      </c>
      <c r="C12" s="308"/>
      <c r="D12" s="308"/>
      <c r="E12" s="308"/>
      <c r="F12" s="308"/>
      <c r="G12" s="308"/>
      <c r="H12" s="308"/>
      <c r="I12" s="308"/>
      <c r="L12" s="289"/>
    </row>
    <row r="13" spans="1:12">
      <c r="A13" s="274"/>
      <c r="B13" s="159">
        <f>+B$4</f>
        <v>45747</v>
      </c>
      <c r="C13" s="159">
        <f t="shared" ref="C13:I13" si="2">+C$4</f>
        <v>45838</v>
      </c>
      <c r="D13" s="159">
        <f t="shared" si="2"/>
        <v>45930</v>
      </c>
      <c r="E13" s="159">
        <f t="shared" si="2"/>
        <v>46022</v>
      </c>
      <c r="F13" s="159">
        <f t="shared" si="2"/>
        <v>46112</v>
      </c>
      <c r="G13" s="159">
        <f t="shared" si="2"/>
        <v>46203</v>
      </c>
      <c r="H13" s="159">
        <f t="shared" si="2"/>
        <v>46295</v>
      </c>
      <c r="I13" s="159">
        <f t="shared" si="2"/>
        <v>46387</v>
      </c>
    </row>
    <row r="14" spans="1:12">
      <c r="A14" s="12" t="str">
        <f>HLOOKUP(INDICE!$F$2,Nombres!$C$3:$D$636,114,FALSE)</f>
        <v>Demand deposits</v>
      </c>
      <c r="B14" s="275">
        <v>77191.393505625922</v>
      </c>
      <c r="C14" s="275">
        <v>76751.553231317303</v>
      </c>
      <c r="D14" s="275">
        <v>76262.717388646532</v>
      </c>
      <c r="E14" s="275">
        <v>80603.989192407607</v>
      </c>
      <c r="F14" s="275">
        <v>81654.658732863056</v>
      </c>
      <c r="G14" s="275">
        <v>0</v>
      </c>
      <c r="H14" s="275">
        <v>0</v>
      </c>
      <c r="I14" s="275">
        <v>0</v>
      </c>
      <c r="J14" s="275"/>
      <c r="L14" s="12"/>
    </row>
    <row r="15" spans="1:12">
      <c r="A15" s="12" t="str">
        <f>HLOOKUP(INDICE!$F$2,Nombres!$C$3:$D$636,115,FALSE)</f>
        <v>Time deposits</v>
      </c>
      <c r="B15" s="275">
        <v>12933.894324777228</v>
      </c>
      <c r="C15" s="275">
        <v>13603.598940971824</v>
      </c>
      <c r="D15" s="275">
        <v>14601.69394671418</v>
      </c>
      <c r="E15" s="275">
        <v>15163.627099572483</v>
      </c>
      <c r="F15" s="275">
        <v>16243.846758802418</v>
      </c>
      <c r="G15" s="275">
        <v>0</v>
      </c>
      <c r="H15" s="275">
        <v>0</v>
      </c>
      <c r="I15" s="275">
        <v>0</v>
      </c>
      <c r="J15" s="275"/>
      <c r="L15" s="12"/>
    </row>
    <row r="16" spans="1:12">
      <c r="A16" s="12" t="str">
        <f>HLOOKUP(INDICE!$F$2,Nombres!$C$3:$D$636,116,FALSE)</f>
        <v>Off balance sheet funds (*)</v>
      </c>
      <c r="B16" s="275">
        <v>62486.057219766939</v>
      </c>
      <c r="C16" s="275">
        <v>65849.244451598672</v>
      </c>
      <c r="D16" s="275">
        <v>70273.244473602113</v>
      </c>
      <c r="E16" s="275">
        <v>70902.469040814205</v>
      </c>
      <c r="F16" s="275">
        <v>72169.213853930982</v>
      </c>
      <c r="G16" s="275">
        <v>0</v>
      </c>
      <c r="H16" s="275">
        <v>0</v>
      </c>
      <c r="I16" s="275">
        <v>0</v>
      </c>
      <c r="J16" s="275"/>
      <c r="L16" s="12"/>
    </row>
    <row r="17" spans="1:12">
      <c r="A17" s="13" t="str">
        <f>HLOOKUP(INDICE!$F$2,Nombres!$C$3:$D$636,208,FALSE)</f>
        <v>Customer funds under management (**)</v>
      </c>
      <c r="B17" s="13">
        <v>152611.34505017009</v>
      </c>
      <c r="C17" s="13">
        <v>156204.39662388779</v>
      </c>
      <c r="D17" s="13">
        <v>161137.65580896282</v>
      </c>
      <c r="E17" s="13">
        <v>166670.08533279429</v>
      </c>
      <c r="F17" s="13">
        <v>170067.71934559644</v>
      </c>
      <c r="G17" s="13">
        <v>0</v>
      </c>
      <c r="H17" s="13">
        <v>0</v>
      </c>
      <c r="I17" s="13">
        <v>0</v>
      </c>
      <c r="J17" s="275"/>
      <c r="L17" s="12"/>
    </row>
    <row r="18" spans="1:12">
      <c r="A18" s="12" t="str">
        <f>HLOOKUP(INDICE!$F$2,Nombres!$C$3:$D$636,118,FALSE)</f>
        <v>Demand + Time deposits</v>
      </c>
      <c r="B18" s="275">
        <f t="shared" ref="B18:I18" si="3">+B14+B15</f>
        <v>90125.287830403147</v>
      </c>
      <c r="C18" s="275">
        <f t="shared" si="3"/>
        <v>90355.152172289119</v>
      </c>
      <c r="D18" s="275">
        <f t="shared" si="3"/>
        <v>90864.41133536071</v>
      </c>
      <c r="E18" s="275">
        <f t="shared" si="3"/>
        <v>95767.616291980084</v>
      </c>
      <c r="F18" s="275">
        <f t="shared" si="3"/>
        <v>97898.505491665477</v>
      </c>
      <c r="G18" s="275">
        <f t="shared" si="3"/>
        <v>0</v>
      </c>
      <c r="H18" s="275">
        <f t="shared" si="3"/>
        <v>0</v>
      </c>
      <c r="I18" s="275">
        <f t="shared" si="3"/>
        <v>0</v>
      </c>
      <c r="J18" s="13"/>
      <c r="L18" s="13"/>
    </row>
    <row r="19" spans="1:12">
      <c r="A19" s="285" t="str">
        <f>HLOOKUP(INDICE!$F$2,Nombres!$C$3:$D$636,205,FALSE)</f>
        <v xml:space="preserve">According to Local GAAP(***) </v>
      </c>
      <c r="B19" s="278">
        <f>+B14+B15+B16-B17</f>
        <v>0</v>
      </c>
      <c r="C19" s="278">
        <f t="shared" ref="C19:I19" si="4">+C14+C15+C16-C17</f>
        <v>0</v>
      </c>
      <c r="D19" s="278">
        <f t="shared" si="4"/>
        <v>0</v>
      </c>
      <c r="E19" s="278">
        <f t="shared" si="4"/>
        <v>0</v>
      </c>
      <c r="F19" s="278">
        <f t="shared" si="4"/>
        <v>0</v>
      </c>
      <c r="G19" s="278">
        <f t="shared" si="4"/>
        <v>0</v>
      </c>
      <c r="H19" s="278">
        <f t="shared" si="4"/>
        <v>0</v>
      </c>
      <c r="I19" s="278">
        <f t="shared" si="4"/>
        <v>0</v>
      </c>
    </row>
    <row r="20" spans="1:12">
      <c r="A20" s="14"/>
      <c r="B20" s="290"/>
      <c r="C20" s="290"/>
      <c r="D20" s="290"/>
      <c r="E20" s="290"/>
      <c r="F20" s="290"/>
      <c r="G20" s="290">
        <f t="shared" ref="G20:I20" si="5">+G14+G15+G16-G17</f>
        <v>0</v>
      </c>
      <c r="H20" s="290">
        <f t="shared" si="5"/>
        <v>0</v>
      </c>
      <c r="I20" s="290">
        <f t="shared" si="5"/>
        <v>0</v>
      </c>
      <c r="K20" s="291"/>
      <c r="L20" s="289"/>
    </row>
    <row r="21" spans="1:12" ht="15.75" customHeight="1">
      <c r="A21" s="273"/>
      <c r="B21" s="308" t="str">
        <f>HLOOKUP(INDICE!$F$2,Nombres!$C$3:$D$636,12,FALSE)</f>
        <v xml:space="preserve">Turkey </v>
      </c>
      <c r="C21" s="308"/>
      <c r="D21" s="308"/>
      <c r="E21" s="308"/>
      <c r="F21" s="308"/>
      <c r="G21" s="308"/>
      <c r="H21" s="308"/>
      <c r="I21" s="308"/>
      <c r="L21" s="289"/>
    </row>
    <row r="22" spans="1:12">
      <c r="A22" s="274"/>
      <c r="B22" s="159">
        <f>+B$4</f>
        <v>45747</v>
      </c>
      <c r="C22" s="159">
        <f t="shared" ref="C22:I22" si="6">+C$4</f>
        <v>45838</v>
      </c>
      <c r="D22" s="159">
        <f t="shared" si="6"/>
        <v>45930</v>
      </c>
      <c r="E22" s="159">
        <f t="shared" si="6"/>
        <v>46022</v>
      </c>
      <c r="F22" s="159">
        <f t="shared" si="6"/>
        <v>46112</v>
      </c>
      <c r="G22" s="159">
        <f t="shared" si="6"/>
        <v>46203</v>
      </c>
      <c r="H22" s="159">
        <f t="shared" si="6"/>
        <v>46295</v>
      </c>
      <c r="I22" s="159">
        <f t="shared" si="6"/>
        <v>46387</v>
      </c>
    </row>
    <row r="23" spans="1:12">
      <c r="A23" s="12" t="str">
        <f>HLOOKUP(INDICE!$F$2,Nombres!$C$3:$D$636,114,FALSE)</f>
        <v>Demand deposits</v>
      </c>
      <c r="B23" s="275">
        <v>24186.615941978387</v>
      </c>
      <c r="C23" s="275">
        <v>26080.852859366463</v>
      </c>
      <c r="D23" s="275">
        <v>27410.389785306652</v>
      </c>
      <c r="E23" s="275">
        <v>30987.331181337409</v>
      </c>
      <c r="F23" s="275">
        <v>32389.566999999239</v>
      </c>
      <c r="G23" s="275">
        <v>0</v>
      </c>
      <c r="H23" s="275">
        <v>0</v>
      </c>
      <c r="I23" s="275">
        <v>0</v>
      </c>
      <c r="L23" s="12"/>
    </row>
    <row r="24" spans="1:12">
      <c r="A24" s="12" t="str">
        <f>HLOOKUP(INDICE!$F$2,Nombres!$C$3:$D$636,115,FALSE)</f>
        <v>Time deposits</v>
      </c>
      <c r="B24" s="275">
        <v>27671.702723550774</v>
      </c>
      <c r="C24" s="275">
        <v>26824.540306057992</v>
      </c>
      <c r="D24" s="275">
        <v>30079.365377356284</v>
      </c>
      <c r="E24" s="275">
        <v>30894.96749141363</v>
      </c>
      <c r="F24" s="275">
        <v>32966.586999995328</v>
      </c>
      <c r="G24" s="275">
        <v>0</v>
      </c>
      <c r="H24" s="275">
        <v>0</v>
      </c>
      <c r="I24" s="275">
        <v>0</v>
      </c>
      <c r="L24" s="12"/>
    </row>
    <row r="25" spans="1:12">
      <c r="A25" s="12" t="str">
        <f>HLOOKUP(INDICE!$F$2,Nombres!$C$3:$D$636,116,FALSE)</f>
        <v>Off balance sheet funds (*)</v>
      </c>
      <c r="B25" s="275">
        <v>14903.169132632584</v>
      </c>
      <c r="C25" s="275">
        <v>18505.035891607869</v>
      </c>
      <c r="D25" s="275">
        <v>22616.078359473195</v>
      </c>
      <c r="E25" s="275">
        <v>25951.437883293769</v>
      </c>
      <c r="F25" s="275">
        <v>26822.722999999743</v>
      </c>
      <c r="G25" s="275">
        <v>0</v>
      </c>
      <c r="H25" s="275">
        <v>0</v>
      </c>
      <c r="I25" s="275">
        <v>0</v>
      </c>
      <c r="L25" s="12"/>
    </row>
    <row r="26" spans="1:12">
      <c r="A26" s="13" t="str">
        <f>HLOOKUP(INDICE!$F$2,Nombres!$C$3:$D$636,208,FALSE)</f>
        <v>Customer funds under management (**)</v>
      </c>
      <c r="B26" s="13">
        <v>66761.487798161746</v>
      </c>
      <c r="C26" s="13">
        <v>71410.429057032321</v>
      </c>
      <c r="D26" s="13">
        <v>80105.833522136134</v>
      </c>
      <c r="E26" s="13">
        <v>87833.736556044809</v>
      </c>
      <c r="F26" s="13">
        <v>92178.876999994303</v>
      </c>
      <c r="G26" s="13">
        <v>0</v>
      </c>
      <c r="H26" s="13">
        <v>0</v>
      </c>
      <c r="I26" s="13">
        <v>0</v>
      </c>
      <c r="L26" s="13"/>
    </row>
    <row r="27" spans="1:12">
      <c r="A27" s="12" t="str">
        <f>HLOOKUP(INDICE!$F$2,Nombres!$C$3:$D$636,118,FALSE)</f>
        <v>Demand + Time deposits</v>
      </c>
      <c r="B27" s="275">
        <f t="shared" ref="B27:I27" si="7">+B23+B24</f>
        <v>51858.318665529165</v>
      </c>
      <c r="C27" s="275">
        <f t="shared" si="7"/>
        <v>52905.393165424452</v>
      </c>
      <c r="D27" s="275">
        <f t="shared" si="7"/>
        <v>57489.755162662936</v>
      </c>
      <c r="E27" s="275">
        <f t="shared" si="7"/>
        <v>61882.298672751043</v>
      </c>
      <c r="F27" s="275">
        <f t="shared" si="7"/>
        <v>65356.153999994567</v>
      </c>
      <c r="G27" s="275">
        <f t="shared" si="7"/>
        <v>0</v>
      </c>
      <c r="H27" s="275">
        <f t="shared" si="7"/>
        <v>0</v>
      </c>
      <c r="I27" s="275">
        <f t="shared" si="7"/>
        <v>0</v>
      </c>
    </row>
    <row r="28" spans="1:12">
      <c r="A28" s="14"/>
      <c r="B28" s="278">
        <f>+B23+B24+B25-B26</f>
        <v>0</v>
      </c>
      <c r="C28" s="278">
        <f t="shared" ref="C28:I28" si="8">+C23+C24+C25-C26</f>
        <v>0</v>
      </c>
      <c r="D28" s="278">
        <f t="shared" si="8"/>
        <v>0</v>
      </c>
      <c r="E28" s="278">
        <f t="shared" si="8"/>
        <v>0</v>
      </c>
      <c r="F28" s="278">
        <f t="shared" si="8"/>
        <v>0</v>
      </c>
      <c r="G28" s="278">
        <f t="shared" si="8"/>
        <v>0</v>
      </c>
      <c r="H28" s="278">
        <f t="shared" si="8"/>
        <v>0</v>
      </c>
      <c r="I28" s="278">
        <f t="shared" si="8"/>
        <v>0</v>
      </c>
    </row>
    <row r="29" spans="1:12">
      <c r="A29" s="13"/>
      <c r="B29" s="278">
        <f>+B26-Turquia!B108-Turquia!B109-Turquia!B110</f>
        <v>0</v>
      </c>
      <c r="C29" s="278">
        <f>+C26-Turquia!C108-Turquia!C109-Turquia!C110</f>
        <v>0</v>
      </c>
      <c r="D29" s="278">
        <f>+D26-Turquia!D108-Turquia!D109-Turquia!D110</f>
        <v>7.2759576141834259E-12</v>
      </c>
      <c r="E29" s="278">
        <f>+E26-Turquia!E108-Turquia!E109-Turquia!E110</f>
        <v>0</v>
      </c>
      <c r="F29" s="278">
        <f>+F26-Turquia!F108-Turquia!F109-Turquia!F110</f>
        <v>-1.0004441719502211E-11</v>
      </c>
      <c r="G29" s="278">
        <f>+G26-Turquia!G108-Turquia!G109-Turquia!G110</f>
        <v>0</v>
      </c>
      <c r="H29" s="278">
        <f>+H26-Turquia!H108-Turquia!H109-Turquia!H110</f>
        <v>0</v>
      </c>
      <c r="I29" s="278">
        <f>+I26-Turquia!I108-Turquia!I109-Turquia!I110</f>
        <v>0</v>
      </c>
    </row>
    <row r="30" spans="1:12" ht="15.75" customHeight="1">
      <c r="A30" s="273"/>
      <c r="B30" s="308" t="str">
        <f>HLOOKUP(INDICE!$F$2,Nombres!$C$3:$D$636,296,FALSE)</f>
        <v>Turkey Bank only</v>
      </c>
      <c r="C30" s="308"/>
      <c r="D30" s="308"/>
      <c r="E30" s="308"/>
      <c r="F30" s="308"/>
      <c r="G30" s="308"/>
      <c r="H30" s="308"/>
      <c r="I30" s="308"/>
      <c r="L30" s="289"/>
    </row>
    <row r="31" spans="1:12">
      <c r="A31" s="274"/>
      <c r="B31" s="159">
        <f>+B$4</f>
        <v>45747</v>
      </c>
      <c r="C31" s="159">
        <f t="shared" ref="C31:I31" si="9">+C$4</f>
        <v>45838</v>
      </c>
      <c r="D31" s="159">
        <f t="shared" si="9"/>
        <v>45930</v>
      </c>
      <c r="E31" s="159">
        <f t="shared" si="9"/>
        <v>46022</v>
      </c>
      <c r="F31" s="159">
        <f t="shared" si="9"/>
        <v>46112</v>
      </c>
      <c r="G31" s="159">
        <f t="shared" si="9"/>
        <v>46203</v>
      </c>
      <c r="H31" s="159">
        <f t="shared" si="9"/>
        <v>46295</v>
      </c>
      <c r="I31" s="159">
        <f t="shared" si="9"/>
        <v>46387</v>
      </c>
    </row>
    <row r="32" spans="1:12">
      <c r="A32" s="12" t="str">
        <f>HLOOKUP(INDICE!$F$2,Nombres!$C$3:$D$636,289,FALSE)</f>
        <v>Demand Deposits TL</v>
      </c>
      <c r="B32" s="275">
        <v>4985.2677528084178</v>
      </c>
      <c r="C32" s="275">
        <v>4774.0021606596192</v>
      </c>
      <c r="D32" s="275">
        <v>5276.0529326430196</v>
      </c>
      <c r="E32" s="275">
        <v>5500.7376266907122</v>
      </c>
      <c r="F32" s="275">
        <v>5312.3928782391131</v>
      </c>
      <c r="G32" s="275">
        <v>0</v>
      </c>
      <c r="H32" s="275">
        <v>0</v>
      </c>
      <c r="I32" s="275">
        <v>0</v>
      </c>
    </row>
    <row r="33" spans="1:12">
      <c r="A33" s="12" t="str">
        <f>HLOOKUP(INDICE!$F$2,Nombres!$C$3:$D$636,290,FALSE)</f>
        <v>Total Time Deposits TL</v>
      </c>
      <c r="B33" s="275">
        <v>21728.521665463624</v>
      </c>
      <c r="C33" s="275">
        <v>22928.426764089359</v>
      </c>
      <c r="D33" s="275">
        <v>22979.729065179636</v>
      </c>
      <c r="E33" s="275">
        <v>25345.884228769555</v>
      </c>
      <c r="F33" s="275">
        <v>26968.803450506581</v>
      </c>
      <c r="G33" s="275">
        <v>0</v>
      </c>
      <c r="H33" s="275">
        <v>0</v>
      </c>
      <c r="I33" s="275">
        <v>0</v>
      </c>
    </row>
    <row r="34" spans="1:12">
      <c r="A34" s="13" t="str">
        <f>HLOOKUP(INDICE!$F$2,Nombres!$C$3:$D$636,291,FALSE)</f>
        <v>Total Deposits TL</v>
      </c>
      <c r="B34" s="13">
        <v>26713.789418272041</v>
      </c>
      <c r="C34" s="13">
        <v>27702.428924748976</v>
      </c>
      <c r="D34" s="13">
        <v>28255.781997822654</v>
      </c>
      <c r="E34" s="13">
        <v>30846.621855460271</v>
      </c>
      <c r="F34" s="13">
        <v>32281.196328745693</v>
      </c>
      <c r="G34" s="13">
        <v>0</v>
      </c>
      <c r="H34" s="13">
        <v>0</v>
      </c>
      <c r="I34" s="13">
        <v>0</v>
      </c>
    </row>
    <row r="35" spans="1:12">
      <c r="A35" s="12" t="str">
        <f>HLOOKUP(INDICE!$F$2,Nombres!$C$3:$D$636,292,FALSE)</f>
        <v>Demand Deposits FC</v>
      </c>
      <c r="B35" s="275">
        <v>13480.589060589369</v>
      </c>
      <c r="C35" s="275">
        <v>14273.792708404377</v>
      </c>
      <c r="D35" s="275">
        <v>15171.974776858513</v>
      </c>
      <c r="E35" s="275">
        <v>16157.231673424285</v>
      </c>
      <c r="F35" s="275">
        <v>16463.034218762663</v>
      </c>
      <c r="G35" s="275">
        <v>0</v>
      </c>
      <c r="H35" s="275">
        <v>0</v>
      </c>
      <c r="I35" s="275">
        <v>0</v>
      </c>
    </row>
    <row r="36" spans="1:12">
      <c r="A36" s="12" t="str">
        <f>HLOOKUP(INDICE!$F$2,Nombres!$C$3:$D$636,293,FALSE)</f>
        <v>Total Time Deposits FC</v>
      </c>
      <c r="B36" s="275">
        <v>3632.6237100298936</v>
      </c>
      <c r="C36" s="275">
        <v>1863.7851375064236</v>
      </c>
      <c r="D36" s="275">
        <v>2606.1319205176937</v>
      </c>
      <c r="E36" s="275">
        <v>2913.6260178838315</v>
      </c>
      <c r="F36" s="275">
        <v>3166.529441566463</v>
      </c>
      <c r="G36" s="275">
        <v>0</v>
      </c>
      <c r="H36" s="275">
        <v>0</v>
      </c>
      <c r="I36" s="275">
        <v>0</v>
      </c>
    </row>
    <row r="37" spans="1:12">
      <c r="A37" s="13" t="str">
        <f>HLOOKUP(INDICE!$F$2,Nombres!$C$3:$D$636,294,FALSE)</f>
        <v>Total Deposits FC</v>
      </c>
      <c r="B37" s="13">
        <v>17113.212770619262</v>
      </c>
      <c r="C37" s="13">
        <v>16137.577845910799</v>
      </c>
      <c r="D37" s="13">
        <v>17778.106697376206</v>
      </c>
      <c r="E37" s="13">
        <v>19070.857691308116</v>
      </c>
      <c r="F37" s="13">
        <v>19629.563660329128</v>
      </c>
      <c r="G37" s="13">
        <v>0</v>
      </c>
      <c r="H37" s="13">
        <v>0</v>
      </c>
      <c r="I37" s="13">
        <v>0</v>
      </c>
    </row>
    <row r="38" spans="1:12">
      <c r="A38" s="285" t="str">
        <f>HLOOKUP(INDICE!$F$2,Nombres!$C$3:$D$636,295,FALSE)</f>
        <v>(TL Turkish Lira FC Foreign Currency)</v>
      </c>
      <c r="B38" s="13"/>
      <c r="C38" s="13"/>
      <c r="D38" s="13"/>
      <c r="E38" s="13"/>
      <c r="F38" s="13"/>
      <c r="G38" s="13"/>
      <c r="H38" s="13"/>
      <c r="I38" s="13"/>
    </row>
    <row r="39" spans="1:12">
      <c r="A39" s="13"/>
      <c r="B39" s="13"/>
      <c r="C39" s="13"/>
      <c r="D39" s="13"/>
      <c r="E39" s="13"/>
      <c r="F39" s="13"/>
      <c r="G39" s="13"/>
      <c r="H39" s="13"/>
      <c r="I39" s="13"/>
    </row>
    <row r="40" spans="1:12">
      <c r="A40" s="273"/>
      <c r="B40" s="308" t="str">
        <f>HLOOKUP(INDICE!$F$2,Nombres!$C$3:$D$636,283,FALSE)</f>
        <v xml:space="preserve">South America </v>
      </c>
      <c r="C40" s="308"/>
      <c r="D40" s="308"/>
      <c r="E40" s="308"/>
      <c r="F40" s="308"/>
      <c r="G40" s="308"/>
      <c r="H40" s="308"/>
      <c r="I40" s="308"/>
      <c r="L40" s="289"/>
    </row>
    <row r="41" spans="1:12">
      <c r="A41" s="274"/>
      <c r="B41" s="159">
        <f>+B$4</f>
        <v>45747</v>
      </c>
      <c r="C41" s="159">
        <f t="shared" ref="C41:I41" si="10">+C$4</f>
        <v>45838</v>
      </c>
      <c r="D41" s="159">
        <f t="shared" si="10"/>
        <v>45930</v>
      </c>
      <c r="E41" s="159">
        <f t="shared" si="10"/>
        <v>46022</v>
      </c>
      <c r="F41" s="159">
        <f t="shared" si="10"/>
        <v>46112</v>
      </c>
      <c r="G41" s="159">
        <f t="shared" si="10"/>
        <v>46203</v>
      </c>
      <c r="H41" s="159">
        <f t="shared" si="10"/>
        <v>46295</v>
      </c>
      <c r="I41" s="159">
        <f t="shared" si="10"/>
        <v>46387</v>
      </c>
    </row>
    <row r="42" spans="1:12">
      <c r="A42" s="12" t="s">
        <v>29</v>
      </c>
      <c r="B42" s="275">
        <v>9071.2970756550076</v>
      </c>
      <c r="C42" s="275">
        <v>10287.642455666612</v>
      </c>
      <c r="D42" s="275">
        <v>12246.892281669274</v>
      </c>
      <c r="E42" s="275">
        <v>13014.787102229422</v>
      </c>
      <c r="F42" s="275">
        <v>13818.523727571042</v>
      </c>
      <c r="G42" s="275">
        <v>0</v>
      </c>
      <c r="H42" s="275">
        <v>0</v>
      </c>
      <c r="I42" s="275">
        <v>0</v>
      </c>
      <c r="L42" s="12"/>
    </row>
    <row r="43" spans="1:12">
      <c r="A43" s="12" t="s">
        <v>30</v>
      </c>
      <c r="B43" s="275">
        <v>9.5525816842168573E-4</v>
      </c>
      <c r="C43" s="275">
        <v>2.0477429361548277E-3</v>
      </c>
      <c r="D43" s="275">
        <v>9.4829052650369696E-3</v>
      </c>
      <c r="E43" s="275">
        <v>2.3882557941844688E-2</v>
      </c>
      <c r="F43" s="275">
        <v>1.8129713833332062E-8</v>
      </c>
      <c r="G43" s="275">
        <v>0</v>
      </c>
      <c r="H43" s="275">
        <v>0</v>
      </c>
      <c r="I43" s="275">
        <v>0</v>
      </c>
      <c r="L43" s="12"/>
    </row>
    <row r="44" spans="1:12">
      <c r="A44" s="12" t="s">
        <v>31</v>
      </c>
      <c r="B44" s="275">
        <v>21498.137627855725</v>
      </c>
      <c r="C44" s="275">
        <v>21822.996786596817</v>
      </c>
      <c r="D44" s="275">
        <v>21837.51521153982</v>
      </c>
      <c r="E44" s="275">
        <v>22596.723770999444</v>
      </c>
      <c r="F44" s="275">
        <v>23366.51306825985</v>
      </c>
      <c r="G44" s="275">
        <v>0</v>
      </c>
      <c r="H44" s="275">
        <v>0</v>
      </c>
      <c r="I44" s="275">
        <v>0</v>
      </c>
      <c r="L44" s="12"/>
    </row>
    <row r="45" spans="1:12">
      <c r="A45" s="12" t="s">
        <v>32</v>
      </c>
      <c r="B45" s="275">
        <v>21844.094141264784</v>
      </c>
      <c r="C45" s="275">
        <v>21843.557979882647</v>
      </c>
      <c r="D45" s="275">
        <v>22660.827039820499</v>
      </c>
      <c r="E45" s="275">
        <v>23583.403760189747</v>
      </c>
      <c r="F45" s="275">
        <v>24982.355132543256</v>
      </c>
      <c r="G45" s="275">
        <v>0</v>
      </c>
      <c r="H45" s="275">
        <v>0</v>
      </c>
      <c r="I45" s="275">
        <v>0</v>
      </c>
      <c r="L45" s="12"/>
    </row>
    <row r="46" spans="1:12">
      <c r="A46" s="12" t="s">
        <v>214</v>
      </c>
      <c r="B46" s="275">
        <f t="shared" ref="B46:I46" si="11">+B47-B45-B44-B43-B42</f>
        <v>4035.082004349717</v>
      </c>
      <c r="C46" s="275">
        <f t="shared" si="11"/>
        <v>3952.5244862022028</v>
      </c>
      <c r="D46" s="275">
        <f t="shared" si="11"/>
        <v>3932.160971917574</v>
      </c>
      <c r="E46" s="275">
        <f t="shared" si="11"/>
        <v>3791.200177407778</v>
      </c>
      <c r="F46" s="275">
        <f t="shared" si="11"/>
        <v>4282.1555044219676</v>
      </c>
      <c r="G46" s="275">
        <f t="shared" si="11"/>
        <v>0</v>
      </c>
      <c r="H46" s="275">
        <f t="shared" si="11"/>
        <v>0</v>
      </c>
      <c r="I46" s="275">
        <f t="shared" si="11"/>
        <v>0</v>
      </c>
      <c r="L46" s="12"/>
    </row>
    <row r="47" spans="1:12">
      <c r="A47" s="13" t="str">
        <f>HLOOKUP(INDICE!$F$2,Nombres!$C$3:$D$636,208,FALSE)</f>
        <v>Customer funds under management (**)</v>
      </c>
      <c r="B47" s="13">
        <v>56448.611804383399</v>
      </c>
      <c r="C47" s="13">
        <v>57906.723756091218</v>
      </c>
      <c r="D47" s="13">
        <v>60677.404987852431</v>
      </c>
      <c r="E47" s="13">
        <v>62986.138693384339</v>
      </c>
      <c r="F47" s="13">
        <v>66449.547432814245</v>
      </c>
      <c r="G47" s="13">
        <v>0</v>
      </c>
      <c r="H47" s="13">
        <v>0</v>
      </c>
      <c r="I47" s="13">
        <v>0</v>
      </c>
      <c r="L47" s="13"/>
    </row>
    <row r="48" spans="1:12">
      <c r="A48" s="14"/>
      <c r="B48" s="278">
        <f>+B42+B43+B44+B45+B46-B47</f>
        <v>0</v>
      </c>
      <c r="C48" s="278">
        <f t="shared" ref="C48:I48" si="12">+C42+C43+C44+C45+C46-C47</f>
        <v>0</v>
      </c>
      <c r="D48" s="278">
        <f t="shared" si="12"/>
        <v>0</v>
      </c>
      <c r="E48" s="278">
        <f t="shared" si="12"/>
        <v>0</v>
      </c>
      <c r="F48" s="278">
        <f t="shared" si="12"/>
        <v>0</v>
      </c>
      <c r="G48" s="278">
        <f t="shared" si="12"/>
        <v>0</v>
      </c>
      <c r="H48" s="278">
        <f t="shared" si="12"/>
        <v>0</v>
      </c>
      <c r="I48" s="278">
        <f t="shared" si="12"/>
        <v>0</v>
      </c>
    </row>
    <row r="49" spans="1:12">
      <c r="A49" s="14"/>
      <c r="B49" s="278"/>
      <c r="C49" s="278"/>
      <c r="D49" s="278"/>
      <c r="E49" s="278"/>
      <c r="F49" s="278"/>
      <c r="G49" s="278"/>
      <c r="H49" s="278"/>
      <c r="I49" s="278"/>
    </row>
    <row r="50" spans="1:12" ht="15.75" customHeight="1">
      <c r="A50" s="273"/>
      <c r="B50" s="308" t="str">
        <f>HLOOKUP(INDICE!$F$2,Nombres!$C$3:$D$636,263,FALSE)</f>
        <v>Rest of Business</v>
      </c>
      <c r="C50" s="308"/>
      <c r="D50" s="308"/>
      <c r="E50" s="308"/>
      <c r="F50" s="308"/>
      <c r="G50" s="308"/>
      <c r="H50" s="308"/>
      <c r="I50" s="308"/>
      <c r="L50" s="289"/>
    </row>
    <row r="51" spans="1:12">
      <c r="A51" s="274"/>
      <c r="B51" s="159">
        <f>+B$4</f>
        <v>45747</v>
      </c>
      <c r="C51" s="159">
        <f t="shared" ref="C51:I51" si="13">+C$4</f>
        <v>45838</v>
      </c>
      <c r="D51" s="159">
        <f t="shared" si="13"/>
        <v>45930</v>
      </c>
      <c r="E51" s="159">
        <f t="shared" si="13"/>
        <v>46022</v>
      </c>
      <c r="F51" s="159">
        <f t="shared" si="13"/>
        <v>46112</v>
      </c>
      <c r="G51" s="159">
        <f t="shared" si="13"/>
        <v>46203</v>
      </c>
      <c r="H51" s="159">
        <f t="shared" si="13"/>
        <v>46295</v>
      </c>
      <c r="I51" s="159">
        <f t="shared" si="13"/>
        <v>46387</v>
      </c>
    </row>
    <row r="52" spans="1:12">
      <c r="A52" s="12" t="str">
        <f>HLOOKUP(INDICE!$F$2,Nombres!$C$3:$D$636,114,FALSE)</f>
        <v>Demand deposits</v>
      </c>
      <c r="B52" s="275">
        <v>12220.766294277608</v>
      </c>
      <c r="C52" s="275">
        <v>12334.930643918668</v>
      </c>
      <c r="D52" s="275">
        <v>16534.936948146147</v>
      </c>
      <c r="E52" s="275">
        <v>20915.847482440971</v>
      </c>
      <c r="F52" s="275">
        <v>20387.029832869634</v>
      </c>
      <c r="G52" s="275">
        <v>0</v>
      </c>
      <c r="H52" s="275">
        <v>0</v>
      </c>
      <c r="I52" s="275">
        <v>0</v>
      </c>
      <c r="L52" s="12"/>
    </row>
    <row r="53" spans="1:12">
      <c r="A53" s="12" t="str">
        <f>HLOOKUP(INDICE!$F$2,Nombres!$C$3:$D$636,115,FALSE)</f>
        <v>Time deposits</v>
      </c>
      <c r="B53" s="275">
        <v>15150.150058139594</v>
      </c>
      <c r="C53" s="275">
        <v>13749.2406021525</v>
      </c>
      <c r="D53" s="275">
        <v>18850.396029687687</v>
      </c>
      <c r="E53" s="275">
        <v>20255.845977829616</v>
      </c>
      <c r="F53" s="275">
        <v>17660.513418069138</v>
      </c>
      <c r="G53" s="275">
        <v>0</v>
      </c>
      <c r="H53" s="275">
        <v>0</v>
      </c>
      <c r="I53" s="275">
        <v>0</v>
      </c>
      <c r="L53" s="12"/>
    </row>
    <row r="54" spans="1:12">
      <c r="A54" s="12" t="str">
        <f>HLOOKUP(INDICE!$F$2,Nombres!$C$3:$D$636,116,FALSE)</f>
        <v>Off balance sheet funds (*)</v>
      </c>
      <c r="B54" s="275">
        <v>655</v>
      </c>
      <c r="C54" s="275">
        <v>681.75939010000002</v>
      </c>
      <c r="D54" s="275">
        <v>686.829971</v>
      </c>
      <c r="E54" s="275">
        <v>735.87697260000004</v>
      </c>
      <c r="F54" s="275">
        <v>754.70387359999995</v>
      </c>
      <c r="G54" s="275">
        <v>0</v>
      </c>
      <c r="H54" s="275">
        <v>0</v>
      </c>
      <c r="I54" s="275">
        <v>0</v>
      </c>
      <c r="L54" s="12"/>
    </row>
    <row r="55" spans="1:12">
      <c r="A55" s="13" t="str">
        <f>HLOOKUP(INDICE!$F$2,Nombres!$C$3:$D$636,208,FALSE)</f>
        <v>Customer funds under management (**)</v>
      </c>
      <c r="B55" s="13">
        <v>28025.9163524172</v>
      </c>
      <c r="C55" s="13">
        <v>26765.930636171164</v>
      </c>
      <c r="D55" s="13">
        <v>36072.162948833829</v>
      </c>
      <c r="E55" s="13">
        <v>41907.570432870583</v>
      </c>
      <c r="F55" s="13">
        <v>38802.247124538764</v>
      </c>
      <c r="G55" s="13">
        <v>0</v>
      </c>
      <c r="H55" s="13">
        <v>0</v>
      </c>
      <c r="I55" s="13">
        <v>0</v>
      </c>
      <c r="L55" s="13"/>
    </row>
    <row r="56" spans="1:12">
      <c r="A56" s="12" t="str">
        <f>HLOOKUP(INDICE!$F$2,Nombres!$C$3:$D$636,118,FALSE)</f>
        <v>Demand + Time deposits</v>
      </c>
      <c r="B56" s="275">
        <f>+B52+B53</f>
        <v>27370.916352417204</v>
      </c>
      <c r="C56" s="275">
        <f>+C52+C53</f>
        <v>26084.171246071168</v>
      </c>
      <c r="D56" s="275">
        <f t="shared" ref="D56:I56" si="14">+D52+D53</f>
        <v>35385.332977833838</v>
      </c>
      <c r="E56" s="275">
        <f t="shared" si="14"/>
        <v>41171.693460270588</v>
      </c>
      <c r="F56" s="275">
        <f t="shared" si="14"/>
        <v>38047.543250938776</v>
      </c>
      <c r="G56" s="275">
        <f t="shared" si="14"/>
        <v>0</v>
      </c>
      <c r="H56" s="275">
        <f t="shared" si="14"/>
        <v>0</v>
      </c>
      <c r="I56" s="275">
        <f t="shared" si="14"/>
        <v>0</v>
      </c>
      <c r="L56" s="14"/>
    </row>
    <row r="57" spans="1:12">
      <c r="A57" s="14"/>
      <c r="B57" s="278"/>
      <c r="C57" s="278"/>
      <c r="D57" s="278"/>
      <c r="E57" s="278"/>
      <c r="F57" s="278"/>
      <c r="G57" s="278"/>
      <c r="H57" s="278"/>
      <c r="I57" s="278"/>
    </row>
    <row r="60" spans="1:12">
      <c r="A60" s="15" t="str">
        <f>HLOOKUP(INDICE!$F$2,Nombres!$C$3:$D$636,206,FALSE)</f>
        <v xml:space="preserve">Includes investment funds, managed portfolios, pension funds and other off-balance sheet funds. (*) </v>
      </c>
    </row>
    <row r="61" spans="1:12">
      <c r="A61" s="15" t="str">
        <f>HLOOKUP(INDICE!$F$2,Nombres!$C$3:$D$636,207,FALSE)</f>
        <v>Excluding repos  (**)</v>
      </c>
    </row>
    <row r="62" spans="1:12">
      <c r="A62" s="15"/>
    </row>
    <row r="63" spans="1:12">
      <c r="B63" s="292"/>
      <c r="C63" s="292"/>
      <c r="D63" s="292"/>
      <c r="E63" s="292"/>
      <c r="F63" s="292"/>
      <c r="G63" s="292"/>
      <c r="H63" s="292"/>
      <c r="I63" s="292"/>
    </row>
    <row r="64" spans="1:12">
      <c r="B64" s="278">
        <f>+B42-Argentina!B108-Argentina!B109-Argentina!B110-Argentina!B111</f>
        <v>-4.5474735088646412E-13</v>
      </c>
      <c r="C64" s="278">
        <f>+C42-Argentina!C108-Argentina!C109-Argentina!C110-Argentina!C111</f>
        <v>4.5474735088646412E-13</v>
      </c>
      <c r="D64" s="278">
        <f>+D42-Argentina!D108-Argentina!D109-Argentina!D110-Argentina!D111</f>
        <v>0</v>
      </c>
      <c r="E64" s="278">
        <f>+E42-Argentina!E108-Argentina!E109-Argentina!E110-Argentina!E111</f>
        <v>-4.5474735088646412E-13</v>
      </c>
      <c r="F64" s="278">
        <f>+F42-Argentina!F108-Argentina!F109-Argentina!F110-Argentina!F111</f>
        <v>-4.5474735088646412E-13</v>
      </c>
      <c r="G64" s="278">
        <f>+G42-Argentina!G108-Argentina!G109-Argentina!G110-Argentina!G111</f>
        <v>0</v>
      </c>
      <c r="H64" s="278">
        <f>+H42-Argentina!H108-Argentina!H109-Argentina!H110-Argentina!H111</f>
        <v>0</v>
      </c>
      <c r="I64" s="278">
        <f>+I42-Argentina!I108-Argentina!I109-Argentina!I110-Argentina!I111</f>
        <v>0</v>
      </c>
    </row>
    <row r="65" spans="2:9">
      <c r="B65" s="278">
        <f>+B43-Chile!B108-Chile!B109-Chile!B110-Chile!B111</f>
        <v>0</v>
      </c>
      <c r="C65" s="278">
        <f>+C43-Chile!C108-Chile!C109-Chile!C110-Chile!C111</f>
        <v>0</v>
      </c>
      <c r="D65" s="278">
        <f>+D43-Chile!D108-Chile!D109-Chile!D110-Chile!D111</f>
        <v>0</v>
      </c>
      <c r="E65" s="278">
        <f>+E43-Chile!E108-Chile!E109-Chile!E110-Chile!E111</f>
        <v>0</v>
      </c>
      <c r="F65" s="278">
        <f>+F43-Chile!F108-Chile!F109-Chile!F110-Chile!F111</f>
        <v>0</v>
      </c>
      <c r="G65" s="278">
        <f>+G43-Chile!G108-Chile!G109-Chile!G110-Chile!G111</f>
        <v>0</v>
      </c>
      <c r="H65" s="278">
        <f>+H43-Chile!H108-Chile!H109-Chile!H110-Chile!H111</f>
        <v>0</v>
      </c>
      <c r="I65" s="278">
        <f>+I43-Chile!I108-Chile!I109-Chile!I110-Chile!I111</f>
        <v>0</v>
      </c>
    </row>
    <row r="66" spans="2:9">
      <c r="B66" s="278">
        <f>+B44-Colombia!B108-Colombia!B109-Colombia!B110-Colombia!B111</f>
        <v>2.2737367544323206E-12</v>
      </c>
      <c r="C66" s="278">
        <f>+C44-Colombia!C108-Colombia!C109-Colombia!C110-Colombia!C111</f>
        <v>9.0949470177292824E-13</v>
      </c>
      <c r="D66" s="278">
        <f>+D44-Colombia!D108-Colombia!D109-Colombia!D110-Colombia!D111</f>
        <v>-1.3642420526593924E-12</v>
      </c>
      <c r="E66" s="278">
        <f>+E44-Colombia!E108-Colombia!E109-Colombia!E110-Colombia!E111</f>
        <v>2.2737367544323206E-12</v>
      </c>
      <c r="F66" s="278">
        <f>+F44-Colombia!F108-Colombia!F109-Colombia!F110-Colombia!F111</f>
        <v>1.8189894035458565E-12</v>
      </c>
      <c r="G66" s="278">
        <f>+G44-Colombia!G108-Colombia!G109-Colombia!G110-Colombia!G111</f>
        <v>0</v>
      </c>
      <c r="H66" s="278">
        <f>+H44-Colombia!H108-Colombia!H109-Colombia!H110-Colombia!H111</f>
        <v>0</v>
      </c>
      <c r="I66" s="278">
        <f>+I44-Colombia!I108-Colombia!I109-Colombia!I110-Colombia!I111</f>
        <v>0</v>
      </c>
    </row>
    <row r="67" spans="2:9">
      <c r="B67" s="278">
        <f>+B45-Peru!B108-Peru!B109-Peru!B110-Peru!B111</f>
        <v>1.3642420526593924E-12</v>
      </c>
      <c r="C67" s="278">
        <f>+C45-Peru!C108-Peru!C109-Peru!C110-Peru!C111</f>
        <v>1.8189894035458565E-12</v>
      </c>
      <c r="D67" s="278">
        <f>+D45-Peru!D108-Peru!D109-Peru!D110-Peru!D111</f>
        <v>-2.2737367544323206E-12</v>
      </c>
      <c r="E67" s="278">
        <f>+E45-Peru!E108-Peru!E109-Peru!E110-Peru!E111</f>
        <v>-9.0949470177292824E-13</v>
      </c>
      <c r="F67" s="278">
        <f>+F45-Peru!F108-Peru!F109-Peru!F110-Peru!F111</f>
        <v>-1.3642420526593924E-12</v>
      </c>
      <c r="G67" s="278">
        <f>+G45-Peru!G108-Peru!G109-Peru!G110-Peru!G111</f>
        <v>0</v>
      </c>
      <c r="H67" s="278">
        <f>+H45-Peru!H108-Peru!H109-Peru!H110-Peru!H111</f>
        <v>0</v>
      </c>
      <c r="I67" s="278">
        <f>+I45-Peru!I108-Peru!I109-Peru!I110-Peru!I111</f>
        <v>0</v>
      </c>
    </row>
    <row r="68" spans="2:9">
      <c r="B68" s="278">
        <f>+B47-AdS!B108-AdS!B109-AdS!B110-AdS!B111</f>
        <v>-3.637978807091713E-12</v>
      </c>
      <c r="C68" s="278">
        <f>+C47-AdS!C108-AdS!C109-AdS!C110-AdS!C111</f>
        <v>-3.637978807091713E-12</v>
      </c>
      <c r="D68" s="278">
        <f>+D47-AdS!D108-AdS!D109-AdS!D110-AdS!D111</f>
        <v>1.8189894035458565E-12</v>
      </c>
      <c r="E68" s="278">
        <f>+E47-AdS!E108-AdS!E109-AdS!E110-AdS!E111</f>
        <v>-1.8189894035458565E-12</v>
      </c>
      <c r="F68" s="278">
        <f>+F47-AdS!F108-AdS!F109-AdS!F110-AdS!F111</f>
        <v>0</v>
      </c>
      <c r="G68" s="278">
        <f>+G47-AdS!G108-AdS!G109-AdS!G110-AdS!G111</f>
        <v>0</v>
      </c>
      <c r="H68" s="278">
        <f>+H47-AdS!H108-AdS!H109-AdS!H110-AdS!H111</f>
        <v>0</v>
      </c>
      <c r="I68" s="278">
        <f>+I47-AdS!I108-AdS!I109-AdS!I110-AdS!I111</f>
        <v>0</v>
      </c>
    </row>
    <row r="69" spans="2:9">
      <c r="B69" s="292"/>
      <c r="C69" s="292"/>
      <c r="D69" s="292"/>
      <c r="E69" s="292"/>
      <c r="F69" s="292"/>
      <c r="G69" s="292"/>
      <c r="H69" s="292"/>
      <c r="I69" s="292"/>
    </row>
    <row r="70" spans="2:9">
      <c r="B70" s="292"/>
      <c r="C70" s="292"/>
      <c r="D70" s="292"/>
      <c r="E70" s="292"/>
      <c r="F70" s="292"/>
      <c r="G70" s="292"/>
      <c r="H70" s="292"/>
      <c r="I70" s="292"/>
    </row>
    <row r="71" spans="2:9">
      <c r="B71" s="292"/>
      <c r="C71" s="292"/>
      <c r="D71" s="292"/>
      <c r="E71" s="292"/>
      <c r="F71" s="292"/>
      <c r="G71" s="292"/>
      <c r="H71" s="292"/>
      <c r="I71" s="292"/>
    </row>
    <row r="72" spans="2:9">
      <c r="B72" s="292"/>
      <c r="C72" s="292"/>
      <c r="D72" s="292"/>
      <c r="E72" s="292"/>
      <c r="F72" s="292"/>
      <c r="G72" s="292"/>
      <c r="H72" s="292"/>
      <c r="I72" s="292"/>
    </row>
    <row r="73" spans="2:9">
      <c r="B73" s="292"/>
      <c r="C73" s="292"/>
      <c r="D73" s="292"/>
      <c r="E73" s="292"/>
      <c r="F73" s="292"/>
      <c r="G73" s="292"/>
      <c r="H73" s="292"/>
      <c r="I73" s="292"/>
    </row>
    <row r="74" spans="2:9">
      <c r="B74" s="292"/>
      <c r="C74" s="292"/>
      <c r="D74" s="292"/>
      <c r="E74" s="292"/>
      <c r="F74" s="292"/>
      <c r="G74" s="292"/>
      <c r="H74" s="292"/>
      <c r="I74" s="292"/>
    </row>
    <row r="1010" spans="1:1">
      <c r="A1010" s="270" t="s">
        <v>555</v>
      </c>
    </row>
  </sheetData>
  <mergeCells count="6">
    <mergeCell ref="B50:I50"/>
    <mergeCell ref="B3:I3"/>
    <mergeCell ref="B12:I12"/>
    <mergeCell ref="B21:I21"/>
    <mergeCell ref="B30:I30"/>
    <mergeCell ref="B40:I40"/>
  </mergeCells>
  <conditionalFormatting sqref="B10:I11">
    <cfRule type="cellIs" dxfId="7" priority="4" operator="notBetween">
      <formula>0.5</formula>
      <formula>-0.5</formula>
    </cfRule>
  </conditionalFormatting>
  <conditionalFormatting sqref="B19:I20">
    <cfRule type="cellIs" dxfId="6" priority="3" operator="notBetween">
      <formula>0.5</formula>
      <formula>-0.5</formula>
    </cfRule>
  </conditionalFormatting>
  <conditionalFormatting sqref="B28:I29">
    <cfRule type="cellIs" dxfId="5" priority="2" operator="notBetween">
      <formula>0.5</formula>
      <formula>-0.5</formula>
    </cfRule>
  </conditionalFormatting>
  <conditionalFormatting sqref="B48:I49 B57:I57">
    <cfRule type="cellIs" dxfId="4" priority="6" operator="notBetween">
      <formula>0.5</formula>
      <formula>-0.5</formula>
    </cfRule>
  </conditionalFormatting>
  <conditionalFormatting sqref="B64:I68">
    <cfRule type="cellIs" dxfId="3" priority="1" operator="notBetween">
      <formula>0.5</formula>
      <formula>-0.5</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I997"/>
  <sheetViews>
    <sheetView showGridLines="0" zoomScale="90" zoomScaleNormal="90" workbookViewId="0"/>
  </sheetViews>
  <sheetFormatPr baseColWidth="10" defaultColWidth="11.453125" defaultRowHeight="14.5"/>
  <cols>
    <col min="1" max="1" width="33.7265625" customWidth="1"/>
    <col min="7" max="9" width="0" hidden="1" customWidth="1"/>
  </cols>
  <sheetData>
    <row r="1" spans="1:9" ht="17">
      <c r="A1" s="293" t="str">
        <f>HLOOKUP(INDICE!$F$2,Nombres!$C$3:$D$636,242,FALSE)</f>
        <v>ALCO Portfolio</v>
      </c>
      <c r="B1" s="268"/>
      <c r="C1" s="268"/>
      <c r="D1" s="268"/>
      <c r="E1" s="268"/>
      <c r="F1" s="268"/>
      <c r="G1" s="268"/>
      <c r="H1" s="268"/>
      <c r="I1" s="268"/>
    </row>
    <row r="2" spans="1:9">
      <c r="A2" s="120" t="str">
        <f>HLOOKUP(INDICE!$F$2,Nombres!$C$3:$D$636,32,FALSE)</f>
        <v>(Million euros)</v>
      </c>
      <c r="B2" s="14"/>
      <c r="C2" s="14"/>
      <c r="D2" s="14"/>
      <c r="E2" s="14"/>
      <c r="F2" s="14"/>
      <c r="G2" s="270"/>
      <c r="H2" s="270"/>
      <c r="I2" s="270"/>
    </row>
    <row r="3" spans="1:9">
      <c r="A3" s="272"/>
      <c r="B3" s="14"/>
      <c r="C3" s="14"/>
      <c r="D3" s="14"/>
      <c r="E3" s="14"/>
      <c r="F3" s="14"/>
      <c r="G3" s="270"/>
      <c r="H3" s="270"/>
      <c r="I3" s="270"/>
    </row>
    <row r="4" spans="1:9">
      <c r="A4" s="273"/>
      <c r="B4" s="309" t="str">
        <f>HLOOKUP(INDICE!$F$2,Nombres!$C$3:$D$636,239,FALSE)</f>
        <v>Total ALCO Portfolio</v>
      </c>
      <c r="C4" s="308"/>
      <c r="D4" s="308"/>
      <c r="E4" s="308"/>
      <c r="F4" s="308"/>
      <c r="G4" s="308"/>
      <c r="H4" s="308"/>
      <c r="I4" s="308"/>
    </row>
    <row r="5" spans="1:9">
      <c r="A5" s="274"/>
      <c r="B5" s="159">
        <f>+España!B32</f>
        <v>45747</v>
      </c>
      <c r="C5" s="159">
        <f>+España!C32</f>
        <v>45838</v>
      </c>
      <c r="D5" s="159">
        <f>+España!D32</f>
        <v>45930</v>
      </c>
      <c r="E5" s="159">
        <f>+España!E32</f>
        <v>46022</v>
      </c>
      <c r="F5" s="159">
        <f>+España!F32</f>
        <v>46112</v>
      </c>
      <c r="G5" s="159">
        <f>+España!G32</f>
        <v>46203</v>
      </c>
      <c r="H5" s="159">
        <f>+España!H32</f>
        <v>46295</v>
      </c>
      <c r="I5" s="159">
        <f>+España!I32</f>
        <v>46387</v>
      </c>
    </row>
    <row r="6" spans="1:9">
      <c r="A6" s="294" t="str">
        <f>HLOOKUP(INDICE!$F$2,Nombres!$C$3:$D$636,230,FALSE)</f>
        <v>BBVA Group</v>
      </c>
      <c r="B6" s="277">
        <v>82561.2</v>
      </c>
      <c r="C6" s="277">
        <v>80111.22823719999</v>
      </c>
      <c r="D6" s="277">
        <v>83997</v>
      </c>
      <c r="E6" s="277">
        <v>87867</v>
      </c>
      <c r="F6" s="277">
        <v>93092</v>
      </c>
      <c r="G6" s="277">
        <v>0</v>
      </c>
      <c r="H6" s="277">
        <v>0</v>
      </c>
      <c r="I6" s="277">
        <v>0</v>
      </c>
    </row>
    <row r="7" spans="1:9">
      <c r="A7" s="295" t="str">
        <f>HLOOKUP(INDICE!$F$2,Nombres!$C$3:$D$636,231,FALSE)</f>
        <v>Euro Balance</v>
      </c>
      <c r="B7" s="275">
        <v>50482.8</v>
      </c>
      <c r="C7" s="275">
        <v>50516</v>
      </c>
      <c r="D7" s="275">
        <v>53582</v>
      </c>
      <c r="E7" s="275">
        <v>56588</v>
      </c>
      <c r="F7" s="275">
        <v>58334</v>
      </c>
      <c r="G7" s="275">
        <v>0</v>
      </c>
      <c r="H7" s="275">
        <v>0</v>
      </c>
      <c r="I7" s="275">
        <v>0</v>
      </c>
    </row>
    <row r="8" spans="1:9">
      <c r="A8" s="296" t="str">
        <f>HLOOKUP(INDICE!$F$2,Nombres!$C$3:$D$636,232,FALSE)</f>
        <v>Spain</v>
      </c>
      <c r="B8" s="275">
        <v>34723.4</v>
      </c>
      <c r="C8" s="275">
        <v>34102</v>
      </c>
      <c r="D8" s="275">
        <v>34138</v>
      </c>
      <c r="E8" s="275">
        <v>35681</v>
      </c>
      <c r="F8" s="275">
        <v>37608</v>
      </c>
      <c r="G8" s="275">
        <v>0</v>
      </c>
      <c r="H8" s="275">
        <v>0</v>
      </c>
      <c r="I8" s="275">
        <v>0</v>
      </c>
    </row>
    <row r="9" spans="1:9">
      <c r="A9" s="296" t="str">
        <f>HLOOKUP(INDICE!$F$2,Nombres!$C$3:$D$636,233,FALSE)</f>
        <v>Italy</v>
      </c>
      <c r="B9" s="275">
        <v>6990.4</v>
      </c>
      <c r="C9" s="275">
        <v>6979</v>
      </c>
      <c r="D9" s="275">
        <v>6966</v>
      </c>
      <c r="E9" s="275">
        <v>7810</v>
      </c>
      <c r="F9" s="275">
        <v>8122</v>
      </c>
      <c r="G9" s="275">
        <v>0</v>
      </c>
      <c r="H9" s="275">
        <v>0</v>
      </c>
      <c r="I9" s="275">
        <v>0</v>
      </c>
    </row>
    <row r="10" spans="1:9">
      <c r="A10" s="297" t="str">
        <f>HLOOKUP(INDICE!$F$2,Nombres!$C$3:$D$636,234,FALSE)</f>
        <v>Rest</v>
      </c>
      <c r="B10" s="298">
        <v>8769</v>
      </c>
      <c r="C10" s="298">
        <v>9435</v>
      </c>
      <c r="D10" s="298">
        <v>12478</v>
      </c>
      <c r="E10" s="298">
        <v>13097</v>
      </c>
      <c r="F10" s="298">
        <v>12604</v>
      </c>
      <c r="G10" s="298">
        <v>0</v>
      </c>
      <c r="H10" s="298">
        <v>0</v>
      </c>
      <c r="I10" s="298">
        <v>0</v>
      </c>
    </row>
    <row r="11" spans="1:9">
      <c r="A11" s="295" t="str">
        <f>HLOOKUP(INDICE!$F$2,Nombres!$C$3:$D$636,236,FALSE)</f>
        <v>Turkey</v>
      </c>
      <c r="B11" s="275">
        <v>9487</v>
      </c>
      <c r="C11" s="275">
        <v>8288</v>
      </c>
      <c r="D11" s="275">
        <v>8391</v>
      </c>
      <c r="E11" s="275">
        <v>8088</v>
      </c>
      <c r="F11" s="275">
        <v>10688</v>
      </c>
      <c r="G11" s="275">
        <v>0</v>
      </c>
      <c r="H11" s="275">
        <v>0</v>
      </c>
      <c r="I11" s="275">
        <v>0</v>
      </c>
    </row>
    <row r="12" spans="1:9">
      <c r="A12" s="295" t="str">
        <f>HLOOKUP(INDICE!$F$2,Nombres!$C$3:$D$636,237,FALSE)</f>
        <v>Mexico</v>
      </c>
      <c r="B12" s="275">
        <v>15466.2</v>
      </c>
      <c r="C12" s="275">
        <v>15005.528237199998</v>
      </c>
      <c r="D12" s="275">
        <v>15607</v>
      </c>
      <c r="E12" s="275">
        <v>16843</v>
      </c>
      <c r="F12" s="275">
        <v>17513</v>
      </c>
      <c r="G12" s="275">
        <v>0</v>
      </c>
      <c r="H12" s="275">
        <v>0</v>
      </c>
      <c r="I12" s="275">
        <v>0</v>
      </c>
    </row>
    <row r="13" spans="1:9">
      <c r="A13" s="295" t="str">
        <f>HLOOKUP(INDICE!$F$2,Nombres!$C$3:$D$636,238,FALSE)</f>
        <v>South America</v>
      </c>
      <c r="B13" s="275">
        <v>7125.2</v>
      </c>
      <c r="C13" s="275">
        <v>6301.7000000000007</v>
      </c>
      <c r="D13" s="275">
        <v>6417</v>
      </c>
      <c r="E13" s="275">
        <v>6348</v>
      </c>
      <c r="F13" s="275">
        <v>6557</v>
      </c>
      <c r="G13" s="275">
        <v>0</v>
      </c>
      <c r="H13" s="275">
        <v>0</v>
      </c>
      <c r="I13" s="275">
        <v>0</v>
      </c>
    </row>
    <row r="14" spans="1:9">
      <c r="A14" s="280"/>
      <c r="B14" s="299">
        <f t="shared" ref="B14:I14" si="0">+B6-B8-B9-B10-B11-B12-B13</f>
        <v>0</v>
      </c>
      <c r="C14" s="299">
        <f t="shared" si="0"/>
        <v>-9.0949470177292824E-12</v>
      </c>
      <c r="D14" s="299">
        <f t="shared" si="0"/>
        <v>0</v>
      </c>
      <c r="E14" s="299">
        <f t="shared" si="0"/>
        <v>0</v>
      </c>
      <c r="F14" s="299">
        <f t="shared" si="0"/>
        <v>0</v>
      </c>
      <c r="G14" s="299">
        <f t="shared" si="0"/>
        <v>0</v>
      </c>
      <c r="H14" s="299">
        <f t="shared" si="0"/>
        <v>0</v>
      </c>
      <c r="I14" s="299">
        <f t="shared" si="0"/>
        <v>0</v>
      </c>
    </row>
    <row r="15" spans="1:9">
      <c r="A15" s="280"/>
      <c r="B15" s="299"/>
      <c r="C15" s="299"/>
      <c r="D15" s="299"/>
      <c r="E15" s="299"/>
      <c r="F15" s="299"/>
      <c r="G15" s="299"/>
      <c r="H15" s="299"/>
      <c r="I15" s="299"/>
    </row>
    <row r="16" spans="1:9">
      <c r="A16" s="280"/>
      <c r="B16" s="299"/>
      <c r="C16" s="299"/>
      <c r="D16" s="299"/>
      <c r="E16" s="299"/>
      <c r="F16" s="299"/>
      <c r="G16" s="299"/>
      <c r="H16" s="299"/>
      <c r="I16" s="299"/>
    </row>
    <row r="17" spans="1:9">
      <c r="A17" s="273"/>
      <c r="B17" s="309" t="str">
        <f>HLOOKUP(INDICE!$F$2,Nombres!$C$3:$D$636,240,FALSE)</f>
        <v>ALCO Portfolio Hold to Collect</v>
      </c>
      <c r="C17" s="308"/>
      <c r="D17" s="308"/>
      <c r="E17" s="308"/>
      <c r="F17" s="308"/>
      <c r="G17" s="308"/>
      <c r="H17" s="308"/>
      <c r="I17" s="308"/>
    </row>
    <row r="18" spans="1:9">
      <c r="A18" s="274"/>
      <c r="B18" s="159">
        <f t="shared" ref="B18:I18" si="1">+B$5</f>
        <v>45747</v>
      </c>
      <c r="C18" s="159">
        <f t="shared" si="1"/>
        <v>45838</v>
      </c>
      <c r="D18" s="159">
        <f t="shared" si="1"/>
        <v>45930</v>
      </c>
      <c r="E18" s="159">
        <f t="shared" si="1"/>
        <v>46022</v>
      </c>
      <c r="F18" s="159">
        <f t="shared" si="1"/>
        <v>46112</v>
      </c>
      <c r="G18" s="159">
        <f t="shared" si="1"/>
        <v>46203</v>
      </c>
      <c r="H18" s="159">
        <f t="shared" si="1"/>
        <v>46295</v>
      </c>
      <c r="I18" s="159">
        <f t="shared" si="1"/>
        <v>46387</v>
      </c>
    </row>
    <row r="19" spans="1:9">
      <c r="A19" s="294" t="str">
        <f>HLOOKUP(INDICE!$F$2,Nombres!$C$3:$D$636,230,FALSE)</f>
        <v>BBVA Group</v>
      </c>
      <c r="B19" s="277">
        <v>51694</v>
      </c>
      <c r="C19" s="277">
        <v>52196.940145</v>
      </c>
      <c r="D19" s="277">
        <v>56165</v>
      </c>
      <c r="E19" s="277">
        <v>59461</v>
      </c>
      <c r="F19" s="277">
        <v>61458</v>
      </c>
      <c r="G19" s="277">
        <v>0</v>
      </c>
      <c r="H19" s="277">
        <v>0</v>
      </c>
      <c r="I19" s="277">
        <v>0</v>
      </c>
    </row>
    <row r="20" spans="1:9">
      <c r="A20" s="295" t="str">
        <f>HLOOKUP(INDICE!$F$2,Nombres!$C$3:$D$636,231,FALSE)</f>
        <v>Euro Balance</v>
      </c>
      <c r="B20" s="275">
        <v>41106.400000000001</v>
      </c>
      <c r="C20" s="275">
        <v>41389</v>
      </c>
      <c r="D20" s="275">
        <v>44500</v>
      </c>
      <c r="E20" s="275">
        <v>48086</v>
      </c>
      <c r="F20" s="275">
        <v>50781</v>
      </c>
      <c r="G20" s="275">
        <v>0</v>
      </c>
      <c r="H20" s="275">
        <v>0</v>
      </c>
      <c r="I20" s="275">
        <v>0</v>
      </c>
    </row>
    <row r="21" spans="1:9">
      <c r="A21" s="296" t="str">
        <f>HLOOKUP(INDICE!$F$2,Nombres!$C$3:$D$636,232,FALSE)</f>
        <v>Spain</v>
      </c>
      <c r="B21" s="275">
        <v>31335.200000000001</v>
      </c>
      <c r="C21" s="275">
        <v>30766</v>
      </c>
      <c r="D21" s="275">
        <v>30794</v>
      </c>
      <c r="E21" s="275">
        <v>32463</v>
      </c>
      <c r="F21" s="275">
        <v>34382</v>
      </c>
      <c r="G21" s="275">
        <v>0</v>
      </c>
      <c r="H21" s="275">
        <v>0</v>
      </c>
      <c r="I21" s="275">
        <v>0</v>
      </c>
    </row>
    <row r="22" spans="1:9">
      <c r="A22" s="296" t="str">
        <f>HLOOKUP(INDICE!$F$2,Nombres!$C$3:$D$636,233,FALSE)</f>
        <v>Italy</v>
      </c>
      <c r="B22" s="275">
        <v>2890.2</v>
      </c>
      <c r="C22" s="275">
        <v>2886</v>
      </c>
      <c r="D22" s="275">
        <v>2881</v>
      </c>
      <c r="E22" s="275">
        <v>4148</v>
      </c>
      <c r="F22" s="275">
        <v>5400</v>
      </c>
      <c r="G22" s="275">
        <v>0</v>
      </c>
      <c r="H22" s="275">
        <v>0</v>
      </c>
      <c r="I22" s="275">
        <v>0</v>
      </c>
    </row>
    <row r="23" spans="1:9">
      <c r="A23" s="297" t="str">
        <f>HLOOKUP(INDICE!$F$2,Nombres!$C$3:$D$636,234,FALSE)</f>
        <v>Rest</v>
      </c>
      <c r="B23" s="275">
        <v>6881</v>
      </c>
      <c r="C23" s="275">
        <v>7737</v>
      </c>
      <c r="D23" s="275">
        <v>10825</v>
      </c>
      <c r="E23" s="275">
        <v>11475</v>
      </c>
      <c r="F23" s="275">
        <v>10999</v>
      </c>
      <c r="G23" s="275">
        <v>0</v>
      </c>
      <c r="H23" s="275">
        <v>0</v>
      </c>
      <c r="I23" s="275">
        <v>0</v>
      </c>
    </row>
    <row r="24" spans="1:9">
      <c r="A24" s="295" t="str">
        <f>HLOOKUP(INDICE!$F$2,Nombres!$C$3:$D$636,236,FALSE)</f>
        <v>Turkey</v>
      </c>
      <c r="B24" s="275">
        <v>6162</v>
      </c>
      <c r="C24" s="275">
        <v>5325</v>
      </c>
      <c r="D24" s="275">
        <v>5491</v>
      </c>
      <c r="E24" s="275">
        <v>5280</v>
      </c>
      <c r="F24" s="275">
        <v>4851</v>
      </c>
      <c r="G24" s="275">
        <v>0</v>
      </c>
      <c r="H24" s="275">
        <v>0</v>
      </c>
      <c r="I24" s="275">
        <v>0</v>
      </c>
    </row>
    <row r="25" spans="1:9">
      <c r="A25" s="295" t="str">
        <f>HLOOKUP(INDICE!$F$2,Nombres!$C$3:$D$636,237,FALSE)</f>
        <v>Mexico</v>
      </c>
      <c r="B25" s="275">
        <v>4125.6000000000004</v>
      </c>
      <c r="C25" s="275">
        <v>5244.3401450000001</v>
      </c>
      <c r="D25" s="275">
        <v>5455</v>
      </c>
      <c r="E25" s="275">
        <v>5556</v>
      </c>
      <c r="F25" s="275">
        <v>5601</v>
      </c>
      <c r="G25" s="275">
        <v>0</v>
      </c>
      <c r="H25" s="275">
        <v>0</v>
      </c>
      <c r="I25" s="275">
        <v>0</v>
      </c>
    </row>
    <row r="26" spans="1:9">
      <c r="A26" s="295" t="str">
        <f>HLOOKUP(INDICE!$F$2,Nombres!$C$3:$D$636,238,FALSE)</f>
        <v>South America</v>
      </c>
      <c r="B26" s="275">
        <v>299</v>
      </c>
      <c r="C26" s="275">
        <v>238.6</v>
      </c>
      <c r="D26" s="275">
        <v>719</v>
      </c>
      <c r="E26" s="275">
        <v>539</v>
      </c>
      <c r="F26" s="275">
        <v>225</v>
      </c>
      <c r="G26" s="275">
        <v>0</v>
      </c>
      <c r="H26" s="275">
        <v>0</v>
      </c>
      <c r="I26" s="275">
        <v>0</v>
      </c>
    </row>
    <row r="27" spans="1:9">
      <c r="A27" s="280"/>
      <c r="B27" s="299">
        <f t="shared" ref="B27:I27" si="2">+B19-B21-B22-B23-B24-B25-B26</f>
        <v>0.99999999999818101</v>
      </c>
      <c r="C27" s="299">
        <f t="shared" si="2"/>
        <v>3.694822225952521E-13</v>
      </c>
      <c r="D27" s="299">
        <f t="shared" si="2"/>
        <v>0</v>
      </c>
      <c r="E27" s="299">
        <f t="shared" si="2"/>
        <v>0</v>
      </c>
      <c r="F27" s="299">
        <f t="shared" si="2"/>
        <v>0</v>
      </c>
      <c r="G27" s="299">
        <f t="shared" si="2"/>
        <v>0</v>
      </c>
      <c r="H27" s="299">
        <f t="shared" si="2"/>
        <v>0</v>
      </c>
      <c r="I27" s="299">
        <f t="shared" si="2"/>
        <v>0</v>
      </c>
    </row>
    <row r="28" spans="1:9">
      <c r="A28" s="280"/>
      <c r="B28" s="270"/>
      <c r="C28" s="270"/>
      <c r="D28" s="270"/>
      <c r="E28" s="270"/>
      <c r="F28" s="281"/>
      <c r="G28" s="281"/>
      <c r="H28" s="281"/>
      <c r="I28" s="281"/>
    </row>
    <row r="29" spans="1:9">
      <c r="A29" s="14"/>
      <c r="B29" s="281"/>
      <c r="C29" s="281"/>
      <c r="D29" s="281"/>
      <c r="E29" s="281"/>
      <c r="F29" s="281"/>
      <c r="G29" s="270"/>
      <c r="H29" s="270"/>
      <c r="I29" s="270"/>
    </row>
    <row r="30" spans="1:9">
      <c r="A30" s="273"/>
      <c r="B30" s="309" t="str">
        <f>HLOOKUP(INDICE!$F$2,Nombres!$C$3:$D$636,241,FALSE)</f>
        <v>ALCO Portfolio Hold to Collect and Sell</v>
      </c>
      <c r="C30" s="308"/>
      <c r="D30" s="308"/>
      <c r="E30" s="308"/>
      <c r="F30" s="308"/>
      <c r="G30" s="308"/>
      <c r="H30" s="308"/>
      <c r="I30" s="308"/>
    </row>
    <row r="31" spans="1:9">
      <c r="A31" s="274"/>
      <c r="B31" s="159">
        <f t="shared" ref="B31:I31" si="3">+B$5</f>
        <v>45747</v>
      </c>
      <c r="C31" s="159">
        <f t="shared" si="3"/>
        <v>45838</v>
      </c>
      <c r="D31" s="159">
        <f t="shared" si="3"/>
        <v>45930</v>
      </c>
      <c r="E31" s="159">
        <f t="shared" si="3"/>
        <v>46022</v>
      </c>
      <c r="F31" s="159">
        <f t="shared" si="3"/>
        <v>46112</v>
      </c>
      <c r="G31" s="159">
        <f t="shared" si="3"/>
        <v>46203</v>
      </c>
      <c r="H31" s="159">
        <f t="shared" si="3"/>
        <v>46295</v>
      </c>
      <c r="I31" s="159">
        <f t="shared" si="3"/>
        <v>46387</v>
      </c>
    </row>
    <row r="32" spans="1:9">
      <c r="A32" s="294" t="str">
        <f>HLOOKUP(INDICE!$F$2,Nombres!$C$3:$D$636,230,FALSE)</f>
        <v>BBVA Group</v>
      </c>
      <c r="B32" s="277">
        <v>30867.5</v>
      </c>
      <c r="C32" s="277">
        <v>27914.288092199997</v>
      </c>
      <c r="D32" s="277">
        <v>27832</v>
      </c>
      <c r="E32" s="277">
        <v>28406</v>
      </c>
      <c r="F32" s="277">
        <v>31634</v>
      </c>
      <c r="G32" s="277">
        <v>0</v>
      </c>
      <c r="H32" s="277">
        <v>0</v>
      </c>
      <c r="I32" s="277">
        <v>0</v>
      </c>
    </row>
    <row r="33" spans="1:9">
      <c r="A33" s="12" t="str">
        <f>HLOOKUP(INDICE!$F$2,Nombres!$C$3:$D$636,231,FALSE)</f>
        <v>Euro Balance</v>
      </c>
      <c r="B33" s="275">
        <v>9376.4</v>
      </c>
      <c r="C33" s="275">
        <v>9127</v>
      </c>
      <c r="D33" s="275">
        <v>9082</v>
      </c>
      <c r="E33" s="275">
        <v>8502</v>
      </c>
      <c r="F33" s="275">
        <v>7553</v>
      </c>
      <c r="G33" s="275">
        <v>0</v>
      </c>
      <c r="H33" s="275">
        <v>0</v>
      </c>
      <c r="I33" s="275">
        <v>0</v>
      </c>
    </row>
    <row r="34" spans="1:9">
      <c r="A34" s="297" t="str">
        <f>HLOOKUP(INDICE!$F$2,Nombres!$C$3:$D$636,232,FALSE)</f>
        <v>Spain</v>
      </c>
      <c r="B34" s="275">
        <v>3388.2</v>
      </c>
      <c r="C34" s="275">
        <v>3336</v>
      </c>
      <c r="D34" s="275">
        <v>3344</v>
      </c>
      <c r="E34" s="275">
        <v>3218</v>
      </c>
      <c r="F34" s="275">
        <v>3226</v>
      </c>
      <c r="G34" s="275">
        <v>0</v>
      </c>
      <c r="H34" s="275">
        <v>0</v>
      </c>
      <c r="I34" s="275">
        <v>0</v>
      </c>
    </row>
    <row r="35" spans="1:9">
      <c r="A35" s="297" t="str">
        <f>HLOOKUP(INDICE!$F$2,Nombres!$C$3:$D$636,233,FALSE)</f>
        <v>Italy</v>
      </c>
      <c r="B35" s="275">
        <v>4100.2</v>
      </c>
      <c r="C35" s="275">
        <v>4093</v>
      </c>
      <c r="D35" s="275">
        <v>4085</v>
      </c>
      <c r="E35" s="275">
        <v>3662</v>
      </c>
      <c r="F35" s="275">
        <v>2722</v>
      </c>
      <c r="G35" s="275">
        <v>0</v>
      </c>
      <c r="H35" s="275">
        <v>0</v>
      </c>
      <c r="I35" s="275">
        <v>0</v>
      </c>
    </row>
    <row r="36" spans="1:9">
      <c r="A36" s="297" t="str">
        <f>HLOOKUP(INDICE!$F$2,Nombres!$C$3:$D$636,234,FALSE)</f>
        <v>Rest</v>
      </c>
      <c r="B36" s="275">
        <v>1888</v>
      </c>
      <c r="C36" s="275">
        <v>1698</v>
      </c>
      <c r="D36" s="275">
        <v>1653</v>
      </c>
      <c r="E36" s="275">
        <v>1622</v>
      </c>
      <c r="F36" s="275">
        <v>1605</v>
      </c>
      <c r="G36" s="275">
        <v>0</v>
      </c>
      <c r="H36" s="275">
        <v>0</v>
      </c>
      <c r="I36" s="275">
        <v>0</v>
      </c>
    </row>
    <row r="37" spans="1:9">
      <c r="A37" s="12" t="str">
        <f>HLOOKUP(INDICE!$F$2,Nombres!$C$3:$D$636,236,FALSE)</f>
        <v>Turkey</v>
      </c>
      <c r="B37" s="275">
        <v>3325</v>
      </c>
      <c r="C37" s="275">
        <v>2963</v>
      </c>
      <c r="D37" s="275">
        <v>2900</v>
      </c>
      <c r="E37" s="275">
        <v>2808</v>
      </c>
      <c r="F37" s="275">
        <v>5837</v>
      </c>
      <c r="G37" s="275">
        <v>0</v>
      </c>
      <c r="H37" s="275">
        <v>0</v>
      </c>
      <c r="I37" s="275">
        <v>0</v>
      </c>
    </row>
    <row r="38" spans="1:9">
      <c r="A38" s="12" t="str">
        <f>HLOOKUP(INDICE!$F$2,Nombres!$C$3:$D$636,237,FALSE)</f>
        <v>Mexico</v>
      </c>
      <c r="B38" s="275">
        <v>11340.6</v>
      </c>
      <c r="C38" s="275">
        <v>9761.1880921999982</v>
      </c>
      <c r="D38" s="275">
        <v>10152</v>
      </c>
      <c r="E38" s="275">
        <v>11287</v>
      </c>
      <c r="F38" s="275">
        <v>11912</v>
      </c>
      <c r="G38" s="275">
        <v>0</v>
      </c>
      <c r="H38" s="275">
        <v>0</v>
      </c>
      <c r="I38" s="275">
        <v>0</v>
      </c>
    </row>
    <row r="39" spans="1:9">
      <c r="A39" s="12" t="str">
        <f>HLOOKUP(INDICE!$F$2,Nombres!$C$3:$D$636,238,FALSE)</f>
        <v>South America</v>
      </c>
      <c r="B39" s="275">
        <v>6825.5</v>
      </c>
      <c r="C39" s="275">
        <v>6063.1</v>
      </c>
      <c r="D39" s="275">
        <v>5698</v>
      </c>
      <c r="E39" s="275">
        <v>5809</v>
      </c>
      <c r="F39" s="275">
        <v>6332</v>
      </c>
      <c r="G39" s="275">
        <v>0</v>
      </c>
      <c r="H39" s="275">
        <v>0</v>
      </c>
      <c r="I39" s="275">
        <v>0</v>
      </c>
    </row>
    <row r="40" spans="1:9">
      <c r="B40" s="299">
        <f t="shared" ref="B40:I40" si="4">+B32-B34-B35-B36-B37-B38-B39</f>
        <v>0</v>
      </c>
      <c r="C40" s="299">
        <f t="shared" si="4"/>
        <v>0</v>
      </c>
      <c r="D40" s="299">
        <f t="shared" si="4"/>
        <v>0</v>
      </c>
      <c r="E40" s="299">
        <f t="shared" si="4"/>
        <v>0</v>
      </c>
      <c r="F40" s="299">
        <f t="shared" si="4"/>
        <v>0</v>
      </c>
      <c r="G40" s="299">
        <f t="shared" si="4"/>
        <v>0</v>
      </c>
      <c r="H40" s="299">
        <f t="shared" si="4"/>
        <v>0</v>
      </c>
      <c r="I40" s="299">
        <f t="shared" si="4"/>
        <v>0</v>
      </c>
    </row>
    <row r="997" spans="1:1">
      <c r="A997" s="270" t="s">
        <v>555</v>
      </c>
    </row>
  </sheetData>
  <mergeCells count="3">
    <mergeCell ref="B4:I4"/>
    <mergeCell ref="B17:I17"/>
    <mergeCell ref="B30:I30"/>
  </mergeCells>
  <conditionalFormatting sqref="B14:I16">
    <cfRule type="cellIs" dxfId="2" priority="1" operator="notBetween">
      <formula>1</formula>
      <formula>-1</formula>
    </cfRule>
  </conditionalFormatting>
  <conditionalFormatting sqref="B27:I27">
    <cfRule type="cellIs" dxfId="1" priority="3" operator="notBetween">
      <formula>1</formula>
      <formula>-1</formula>
    </cfRule>
  </conditionalFormatting>
  <conditionalFormatting sqref="B40:I40">
    <cfRule type="cellIs" dxfId="0" priority="2" operator="notBetween">
      <formula>1</formula>
      <formula>-1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T995"/>
  <sheetViews>
    <sheetView showGridLines="0" zoomScale="90" zoomScaleNormal="90" workbookViewId="0"/>
  </sheetViews>
  <sheetFormatPr baseColWidth="10" defaultColWidth="11.453125" defaultRowHeight="14.5"/>
  <cols>
    <col min="1" max="1" width="79.1796875" style="63" customWidth="1"/>
    <col min="2" max="4" width="11.453125" style="63"/>
    <col min="5" max="5" width="10.453125" style="63" customWidth="1"/>
    <col min="6" max="6" width="11.453125" style="63"/>
    <col min="7" max="7" width="11.81640625" style="63" hidden="1" customWidth="1"/>
    <col min="8" max="9" width="11.54296875" style="63" hidden="1" customWidth="1"/>
    <col min="10" max="16384" width="11.453125" style="63"/>
  </cols>
  <sheetData>
    <row r="1" spans="1:20" ht="17">
      <c r="A1" s="61" t="str">
        <f>HLOOKUP(INDICE!$F$2,Nombres!$C$3:$D$636,91,FALSE)</f>
        <v xml:space="preserve">BBVA Group. Consolidated Income statement </v>
      </c>
      <c r="B1" s="62"/>
      <c r="C1" s="62"/>
      <c r="D1" s="62"/>
      <c r="E1" s="62"/>
      <c r="F1" s="62"/>
      <c r="G1" s="62"/>
      <c r="H1" s="62"/>
      <c r="I1" s="62"/>
    </row>
    <row r="2" spans="1:20" ht="19.5">
      <c r="A2" s="64"/>
      <c r="B2" s="62"/>
      <c r="C2" s="62"/>
      <c r="D2" s="62"/>
      <c r="E2" s="62"/>
      <c r="F2" s="62"/>
      <c r="G2" s="62"/>
      <c r="H2" s="62"/>
      <c r="I2" s="62"/>
    </row>
    <row r="3" spans="1:20" ht="17">
      <c r="A3" s="65" t="str">
        <f>HLOOKUP(INDICE!$F$2,Nombres!$C$3:$D$636,31,FALSE)</f>
        <v xml:space="preserve">Income statement  </v>
      </c>
      <c r="B3" s="66"/>
      <c r="C3" s="66"/>
      <c r="D3" s="66"/>
      <c r="E3" s="66"/>
      <c r="F3" s="66"/>
      <c r="G3" s="66"/>
      <c r="H3" s="66"/>
      <c r="I3" s="66"/>
    </row>
    <row r="4" spans="1:20">
      <c r="A4" s="67" t="str">
        <f>HLOOKUP(INDICE!$F$2,Nombres!$C$3:$D$636,32,FALSE)</f>
        <v>(Million euros)</v>
      </c>
      <c r="B4" s="62"/>
      <c r="C4" s="68"/>
      <c r="D4" s="68"/>
      <c r="E4" s="68"/>
      <c r="F4" s="62"/>
      <c r="G4" s="62"/>
      <c r="H4" s="62"/>
      <c r="I4" s="62"/>
    </row>
    <row r="5" spans="1:20">
      <c r="A5" s="69"/>
      <c r="B5" s="62"/>
      <c r="C5" s="68"/>
      <c r="D5" s="68"/>
      <c r="E5" s="68"/>
      <c r="F5" s="62"/>
      <c r="G5" s="62"/>
      <c r="H5" s="62"/>
      <c r="I5" s="62"/>
    </row>
    <row r="6" spans="1:20">
      <c r="A6" s="70"/>
      <c r="B6" s="301">
        <f>+España!B6</f>
        <v>2025</v>
      </c>
      <c r="C6" s="301"/>
      <c r="D6" s="301"/>
      <c r="E6" s="302"/>
      <c r="F6" s="303">
        <f>+España!F6</f>
        <v>2026</v>
      </c>
      <c r="G6" s="301"/>
      <c r="H6" s="301"/>
      <c r="I6" s="301"/>
    </row>
    <row r="7" spans="1:20">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20">
      <c r="A8" s="25" t="str">
        <f>HLOOKUP(INDICE!$F$2,Nombres!$C$3:$D$636,33,FALSE)</f>
        <v>Net interest income</v>
      </c>
      <c r="B8" s="25">
        <v>6398.4730000000018</v>
      </c>
      <c r="C8" s="25">
        <v>6208.2709999999988</v>
      </c>
      <c r="D8" s="25">
        <v>6639.5699999999961</v>
      </c>
      <c r="E8" s="73">
        <v>7033.8080000000045</v>
      </c>
      <c r="F8" s="25">
        <v>7537.2569999999996</v>
      </c>
      <c r="G8" s="74">
        <v>0</v>
      </c>
      <c r="H8" s="74">
        <v>0</v>
      </c>
      <c r="I8" s="74">
        <v>0</v>
      </c>
      <c r="L8" s="75"/>
      <c r="M8" s="75"/>
      <c r="N8" s="76"/>
      <c r="Q8" s="76"/>
      <c r="R8" s="76"/>
      <c r="S8" s="76"/>
      <c r="T8" s="76"/>
    </row>
    <row r="9" spans="1:20">
      <c r="A9" s="17" t="str">
        <f>HLOOKUP(INDICE!$F$2,Nombres!$C$3:$D$636,34,FALSE)</f>
        <v>Net fees and commissions</v>
      </c>
      <c r="B9" s="77">
        <v>2059.880000000001</v>
      </c>
      <c r="C9" s="77">
        <v>1950.6030000000003</v>
      </c>
      <c r="D9" s="77">
        <v>2060.2160000000003</v>
      </c>
      <c r="E9" s="78">
        <v>2144.686999999999</v>
      </c>
      <c r="F9" s="77">
        <v>2255.9639999999999</v>
      </c>
      <c r="G9" s="77">
        <v>0</v>
      </c>
      <c r="H9" s="77">
        <v>0</v>
      </c>
      <c r="I9" s="77">
        <v>0</v>
      </c>
      <c r="L9" s="75"/>
      <c r="M9" s="75"/>
      <c r="N9" s="76"/>
      <c r="Q9" s="76"/>
      <c r="R9" s="76"/>
      <c r="S9" s="76"/>
      <c r="T9" s="76"/>
    </row>
    <row r="10" spans="1:20">
      <c r="A10" s="17" t="str">
        <f>HLOOKUP(INDICE!$F$2,Nombres!$C$3:$D$636,35,FALSE)</f>
        <v>Net trading income</v>
      </c>
      <c r="B10" s="77">
        <v>947.62300000000005</v>
      </c>
      <c r="C10" s="77">
        <v>483.75600000000026</v>
      </c>
      <c r="D10" s="77">
        <v>530.53500000000008</v>
      </c>
      <c r="E10" s="78">
        <v>694.15499999999997</v>
      </c>
      <c r="F10" s="77">
        <v>915.33900000000028</v>
      </c>
      <c r="G10" s="77">
        <v>0</v>
      </c>
      <c r="H10" s="77">
        <v>0</v>
      </c>
      <c r="I10" s="77">
        <v>0</v>
      </c>
      <c r="L10" s="75"/>
      <c r="M10" s="75"/>
      <c r="N10" s="76"/>
      <c r="Q10" s="76"/>
      <c r="R10" s="76"/>
      <c r="S10" s="76"/>
      <c r="T10" s="76"/>
    </row>
    <row r="11" spans="1:20">
      <c r="A11" s="17" t="str">
        <f>HLOOKUP(INDICE!$F$2,Nombres!$C$3:$D$636,96,FALSE)</f>
        <v>Dividend income</v>
      </c>
      <c r="B11" s="77">
        <v>9.149999999999725</v>
      </c>
      <c r="C11" s="77">
        <v>66.752999999999474</v>
      </c>
      <c r="D11" s="77">
        <v>3.582000000000404</v>
      </c>
      <c r="E11" s="78">
        <v>43.467000000000176</v>
      </c>
      <c r="F11" s="77">
        <v>22.177999999999763</v>
      </c>
      <c r="G11" s="77">
        <v>0</v>
      </c>
      <c r="H11" s="77">
        <v>0</v>
      </c>
      <c r="I11" s="77">
        <v>0</v>
      </c>
      <c r="L11" s="75"/>
      <c r="M11" s="75"/>
      <c r="N11" s="76"/>
      <c r="Q11" s="76"/>
      <c r="R11" s="76"/>
      <c r="S11" s="76"/>
      <c r="T11" s="76"/>
    </row>
    <row r="12" spans="1:20">
      <c r="A12" s="17" t="str">
        <f>HLOOKUP(INDICE!$F$2,Nombres!$C$3:$D$636,97,FALSE)</f>
        <v>Share of  profit/loss of invest. in subsidaries, joint ventures and associates</v>
      </c>
      <c r="B12" s="77">
        <v>9.3079999999999998</v>
      </c>
      <c r="C12" s="77">
        <v>20.484000000000012</v>
      </c>
      <c r="D12" s="77">
        <v>12.315999999999981</v>
      </c>
      <c r="E12" s="78">
        <v>19.747000000000011</v>
      </c>
      <c r="F12" s="77">
        <v>26.327000000000005</v>
      </c>
      <c r="G12" s="77">
        <v>0</v>
      </c>
      <c r="H12" s="77">
        <v>0</v>
      </c>
      <c r="I12" s="77">
        <v>0</v>
      </c>
      <c r="L12" s="75"/>
      <c r="M12" s="75"/>
      <c r="N12" s="76"/>
      <c r="Q12" s="76"/>
      <c r="R12" s="76"/>
      <c r="S12" s="76"/>
      <c r="T12" s="76"/>
    </row>
    <row r="13" spans="1:20">
      <c r="A13" s="17" t="str">
        <f>HLOOKUP(INDICE!$F$2,Nombres!$C$3:$D$636,98,FALSE)</f>
        <v>Other products and expenses</v>
      </c>
      <c r="B13" s="77">
        <v>-100.13400000000011</v>
      </c>
      <c r="C13" s="77">
        <v>-20.159999999999879</v>
      </c>
      <c r="D13" s="77">
        <v>-144.02899999999988</v>
      </c>
      <c r="E13" s="78">
        <v>-141.35300000000024</v>
      </c>
      <c r="F13" s="77">
        <v>-104.58299999999994</v>
      </c>
      <c r="G13" s="77">
        <v>0</v>
      </c>
      <c r="H13" s="77">
        <v>0</v>
      </c>
      <c r="I13" s="77">
        <v>0</v>
      </c>
      <c r="L13" s="75"/>
      <c r="M13" s="75"/>
      <c r="N13" s="76"/>
      <c r="Q13" s="76"/>
      <c r="R13" s="76"/>
      <c r="S13" s="76"/>
      <c r="T13" s="76"/>
    </row>
    <row r="14" spans="1:20">
      <c r="A14" s="25" t="str">
        <f>HLOOKUP(INDICE!$F$2,Nombres!$C$3:$D$636,37,FALSE)</f>
        <v>Gross income</v>
      </c>
      <c r="B14" s="25">
        <f>+SUM(B8:B13)</f>
        <v>9324.3000000000029</v>
      </c>
      <c r="C14" s="25">
        <f t="shared" ref="C14:I14" si="0">+SUM(C8:C13)</f>
        <v>8709.7069999999985</v>
      </c>
      <c r="D14" s="25">
        <f t="shared" si="0"/>
        <v>9102.1899999999969</v>
      </c>
      <c r="E14" s="73">
        <f t="shared" si="0"/>
        <v>9794.5110000000022</v>
      </c>
      <c r="F14" s="25">
        <f t="shared" si="0"/>
        <v>10652.481999999998</v>
      </c>
      <c r="G14" s="74">
        <f t="shared" si="0"/>
        <v>0</v>
      </c>
      <c r="H14" s="74">
        <f t="shared" si="0"/>
        <v>0</v>
      </c>
      <c r="I14" s="74">
        <f t="shared" si="0"/>
        <v>0</v>
      </c>
      <c r="L14" s="75"/>
      <c r="M14" s="75"/>
      <c r="N14" s="76"/>
      <c r="Q14" s="76"/>
      <c r="R14" s="76"/>
      <c r="S14" s="76"/>
      <c r="T14" s="76"/>
    </row>
    <row r="15" spans="1:20">
      <c r="A15" s="17" t="str">
        <f>HLOOKUP(INDICE!$F$2,Nombres!$C$3:$D$636,38,FALSE)</f>
        <v>Operating expenses</v>
      </c>
      <c r="B15" s="77">
        <v>-3562.2879999999477</v>
      </c>
      <c r="C15" s="77">
        <v>-3224.3800000000847</v>
      </c>
      <c r="D15" s="77">
        <v>-3573.7800000001057</v>
      </c>
      <c r="E15" s="78">
        <v>-3971.3649999998743</v>
      </c>
      <c r="F15" s="77">
        <v>-4048.6889999999994</v>
      </c>
      <c r="G15" s="77">
        <v>0</v>
      </c>
      <c r="H15" s="77">
        <v>0</v>
      </c>
      <c r="I15" s="77">
        <v>0</v>
      </c>
      <c r="L15" s="75"/>
      <c r="M15" s="75"/>
      <c r="N15" s="76"/>
      <c r="Q15" s="76"/>
      <c r="R15" s="76"/>
      <c r="S15" s="76"/>
      <c r="T15" s="76"/>
    </row>
    <row r="16" spans="1:20">
      <c r="A16" s="17" t="str">
        <f>HLOOKUP(INDICE!$F$2,Nombres!$C$3:$D$636,39,FALSE)</f>
        <v xml:space="preserve">  Administration expenses</v>
      </c>
      <c r="B16" s="77">
        <v>-3183.8659999999477</v>
      </c>
      <c r="C16" s="77">
        <v>-2854.0280000000848</v>
      </c>
      <c r="D16" s="77">
        <v>-3194.4300000001058</v>
      </c>
      <c r="E16" s="78">
        <v>-3578.6719999998741</v>
      </c>
      <c r="F16" s="77">
        <v>-3630.9039999999995</v>
      </c>
      <c r="G16" s="77">
        <v>0</v>
      </c>
      <c r="H16" s="77">
        <v>0</v>
      </c>
      <c r="I16" s="77">
        <v>0</v>
      </c>
      <c r="L16" s="75"/>
      <c r="M16" s="75"/>
      <c r="N16" s="76"/>
      <c r="Q16" s="76"/>
      <c r="R16" s="76"/>
      <c r="S16" s="76"/>
      <c r="T16" s="76"/>
    </row>
    <row r="17" spans="1:20">
      <c r="A17" s="79" t="str">
        <f>HLOOKUP(INDICE!$F$2,Nombres!$C$3:$D$636,40,FALSE)</f>
        <v xml:space="preserve">  Personnel expenses</v>
      </c>
      <c r="B17" s="77">
        <v>-1900.838</v>
      </c>
      <c r="C17" s="77">
        <v>-1792.3770000000009</v>
      </c>
      <c r="D17" s="77">
        <v>-1898.6579999999985</v>
      </c>
      <c r="E17" s="78">
        <v>-2180.8220000000001</v>
      </c>
      <c r="F17" s="77">
        <v>-2201.3959999999997</v>
      </c>
      <c r="G17" s="77">
        <v>0</v>
      </c>
      <c r="H17" s="77">
        <v>0</v>
      </c>
      <c r="I17" s="77">
        <v>0</v>
      </c>
      <c r="L17" s="75"/>
      <c r="M17" s="75"/>
      <c r="N17" s="76"/>
      <c r="Q17" s="76"/>
      <c r="R17" s="76"/>
      <c r="S17" s="76"/>
      <c r="T17" s="76"/>
    </row>
    <row r="18" spans="1:20">
      <c r="A18" s="79" t="str">
        <f>HLOOKUP(INDICE!$F$2,Nombres!$C$3:$D$636,41,FALSE)</f>
        <v xml:space="preserve">  General and administrative expenses</v>
      </c>
      <c r="B18" s="77">
        <v>-1283.0279999999477</v>
      </c>
      <c r="C18" s="77">
        <v>-1061.6510000000842</v>
      </c>
      <c r="D18" s="77">
        <v>-1295.772000000107</v>
      </c>
      <c r="E18" s="78">
        <v>-1397.8499999998739</v>
      </c>
      <c r="F18" s="77">
        <v>-1429.508</v>
      </c>
      <c r="G18" s="77">
        <v>0</v>
      </c>
      <c r="H18" s="77">
        <v>0</v>
      </c>
      <c r="I18" s="77">
        <v>0</v>
      </c>
      <c r="L18" s="75"/>
      <c r="M18" s="75"/>
      <c r="N18" s="76"/>
      <c r="Q18" s="76"/>
      <c r="R18" s="76"/>
      <c r="S18" s="76"/>
      <c r="T18" s="76"/>
    </row>
    <row r="19" spans="1:20">
      <c r="A19" s="17" t="str">
        <f>HLOOKUP(INDICE!$F$2,Nombres!$C$3:$D$636,42,FALSE)</f>
        <v xml:space="preserve">  Depreciation</v>
      </c>
      <c r="B19" s="77">
        <v>-378.42199999999997</v>
      </c>
      <c r="C19" s="77">
        <v>-370.35199999999998</v>
      </c>
      <c r="D19" s="77">
        <v>-379.35</v>
      </c>
      <c r="E19" s="78">
        <v>-392.69299999999981</v>
      </c>
      <c r="F19" s="77">
        <v>-417.78500000000003</v>
      </c>
      <c r="G19" s="77">
        <v>0</v>
      </c>
      <c r="H19" s="77">
        <v>0</v>
      </c>
      <c r="I19" s="77">
        <v>0</v>
      </c>
      <c r="L19" s="75"/>
      <c r="M19" s="75"/>
      <c r="N19" s="76"/>
      <c r="Q19" s="76"/>
      <c r="R19" s="76"/>
      <c r="S19" s="76"/>
      <c r="T19" s="76"/>
    </row>
    <row r="20" spans="1:20">
      <c r="A20" s="25" t="str">
        <f>HLOOKUP(INDICE!$F$2,Nombres!$C$3:$D$636,43,FALSE)</f>
        <v>Operating income</v>
      </c>
      <c r="B20" s="25">
        <f>+B14+B15</f>
        <v>5762.0120000000552</v>
      </c>
      <c r="C20" s="25">
        <f t="shared" ref="C20:I20" si="1">+C14+C15</f>
        <v>5485.3269999999138</v>
      </c>
      <c r="D20" s="25">
        <f t="shared" si="1"/>
        <v>5528.4099999998907</v>
      </c>
      <c r="E20" s="73">
        <f t="shared" si="1"/>
        <v>5823.146000000128</v>
      </c>
      <c r="F20" s="25">
        <f t="shared" si="1"/>
        <v>6603.7929999999988</v>
      </c>
      <c r="G20" s="74">
        <f t="shared" si="1"/>
        <v>0</v>
      </c>
      <c r="H20" s="74">
        <f t="shared" si="1"/>
        <v>0</v>
      </c>
      <c r="I20" s="74">
        <f t="shared" si="1"/>
        <v>0</v>
      </c>
      <c r="L20" s="75"/>
      <c r="M20" s="75"/>
      <c r="N20" s="76"/>
      <c r="Q20" s="76"/>
      <c r="R20" s="76"/>
      <c r="S20" s="76"/>
      <c r="T20" s="76"/>
    </row>
    <row r="21" spans="1:20">
      <c r="A21" s="17" t="str">
        <f>HLOOKUP(INDICE!$F$2,Nombres!$C$3:$D$636,44,FALSE)</f>
        <v>Impaiment on financial assets not measured at fair value through profit or loss</v>
      </c>
      <c r="B21" s="77">
        <v>-1384.9639999999995</v>
      </c>
      <c r="C21" s="77">
        <v>-1376.5130000000011</v>
      </c>
      <c r="D21" s="77">
        <v>-1566.7639999999994</v>
      </c>
      <c r="E21" s="78">
        <v>-1744.7280000000001</v>
      </c>
      <c r="F21" s="77">
        <v>-1819.5679999999998</v>
      </c>
      <c r="G21" s="77">
        <v>0</v>
      </c>
      <c r="H21" s="77">
        <v>0</v>
      </c>
      <c r="I21" s="77">
        <v>0</v>
      </c>
      <c r="L21" s="75"/>
      <c r="M21" s="75"/>
      <c r="N21" s="76"/>
      <c r="Q21" s="76"/>
      <c r="R21" s="76"/>
      <c r="S21" s="76"/>
      <c r="T21" s="76"/>
    </row>
    <row r="22" spans="1:20">
      <c r="A22" s="17" t="str">
        <f>HLOOKUP(INDICE!$F$2,Nombres!$C$3:$D$636,247,FALSE)</f>
        <v>Provisions or reversal of provisions</v>
      </c>
      <c r="B22" s="77">
        <v>-50.648999999999994</v>
      </c>
      <c r="C22" s="77">
        <v>-82.491</v>
      </c>
      <c r="D22" s="77">
        <v>-99.388999999999996</v>
      </c>
      <c r="E22" s="78">
        <v>-140.47399999999999</v>
      </c>
      <c r="F22" s="77">
        <v>-63.936</v>
      </c>
      <c r="G22" s="77">
        <v>0</v>
      </c>
      <c r="H22" s="77">
        <v>0</v>
      </c>
      <c r="I22" s="77">
        <v>0</v>
      </c>
      <c r="L22" s="75"/>
      <c r="M22" s="75"/>
      <c r="N22" s="76"/>
      <c r="Q22" s="76"/>
      <c r="R22" s="76"/>
      <c r="S22" s="76"/>
      <c r="T22" s="76"/>
    </row>
    <row r="23" spans="1:20">
      <c r="A23" s="17" t="str">
        <f>HLOOKUP(INDICE!$F$2,Nombres!$C$3:$D$636,248,FALSE)</f>
        <v>Other results</v>
      </c>
      <c r="B23" s="77">
        <v>21.757999999999999</v>
      </c>
      <c r="C23" s="77">
        <v>49.789000000000122</v>
      </c>
      <c r="D23" s="77">
        <v>5.8129999999998621</v>
      </c>
      <c r="E23" s="78">
        <v>-3.7059999999998769</v>
      </c>
      <c r="F23" s="77">
        <v>2.137999999999999</v>
      </c>
      <c r="G23" s="77">
        <v>0</v>
      </c>
      <c r="H23" s="77">
        <v>0</v>
      </c>
      <c r="I23" s="77">
        <v>0</v>
      </c>
      <c r="L23" s="75"/>
      <c r="M23" s="75"/>
      <c r="N23" s="76"/>
      <c r="Q23" s="76"/>
      <c r="R23" s="76"/>
      <c r="S23" s="76"/>
      <c r="T23" s="76"/>
    </row>
    <row r="24" spans="1:20">
      <c r="A24" s="25" t="str">
        <f>HLOOKUP(INDICE!$F$2,Nombres!$C$3:$D$636,46,FALSE)</f>
        <v>Profit/(loss) before tax</v>
      </c>
      <c r="B24" s="74">
        <f t="shared" ref="B24:I24" si="2">+B20+B21+B22+B23</f>
        <v>4348.1570000000547</v>
      </c>
      <c r="C24" s="74">
        <f t="shared" si="2"/>
        <v>4076.1119999999132</v>
      </c>
      <c r="D24" s="74">
        <f t="shared" si="2"/>
        <v>3868.069999999891</v>
      </c>
      <c r="E24" s="73">
        <f t="shared" si="2"/>
        <v>3934.2380000001281</v>
      </c>
      <c r="F24" s="74">
        <f t="shared" si="2"/>
        <v>4722.4269999999988</v>
      </c>
      <c r="G24" s="74">
        <f t="shared" si="2"/>
        <v>0</v>
      </c>
      <c r="H24" s="74">
        <f t="shared" si="2"/>
        <v>0</v>
      </c>
      <c r="I24" s="74">
        <f t="shared" si="2"/>
        <v>0</v>
      </c>
      <c r="L24" s="75"/>
      <c r="M24" s="75"/>
      <c r="N24" s="76"/>
      <c r="Q24" s="76"/>
      <c r="R24" s="76"/>
      <c r="S24" s="76"/>
      <c r="T24" s="76"/>
    </row>
    <row r="25" spans="1:20">
      <c r="A25" s="17" t="str">
        <f>HLOOKUP(INDICE!$F$2,Nombres!$C$3:$D$636,47,FALSE)</f>
        <v>Income tax</v>
      </c>
      <c r="B25" s="77">
        <v>-1465.7646549999997</v>
      </c>
      <c r="C25" s="77">
        <v>-1160.0816169770003</v>
      </c>
      <c r="D25" s="77">
        <v>-1205.6767029969988</v>
      </c>
      <c r="E25" s="78">
        <v>-1268.8456869960009</v>
      </c>
      <c r="F25" s="77">
        <v>-1533.8449999960014</v>
      </c>
      <c r="G25" s="77">
        <v>0</v>
      </c>
      <c r="H25" s="77">
        <v>0</v>
      </c>
      <c r="I25" s="77">
        <v>0</v>
      </c>
      <c r="L25" s="75"/>
      <c r="M25" s="75"/>
      <c r="N25" s="76"/>
      <c r="Q25" s="76"/>
      <c r="R25" s="76"/>
      <c r="S25" s="76"/>
      <c r="T25" s="76"/>
    </row>
    <row r="26" spans="1:20">
      <c r="A26" s="25" t="str">
        <f>HLOOKUP(INDICE!$F$2,Nombres!$C$3:$D$636,48,FALSE)</f>
        <v>Profit/(loss) for the year</v>
      </c>
      <c r="B26" s="74">
        <f t="shared" ref="B26:I26" si="3">+B24+B25</f>
        <v>2882.3923450000548</v>
      </c>
      <c r="C26" s="74">
        <f t="shared" si="3"/>
        <v>2916.0303830229132</v>
      </c>
      <c r="D26" s="74">
        <f t="shared" si="3"/>
        <v>2662.3932970028923</v>
      </c>
      <c r="E26" s="73">
        <f t="shared" si="3"/>
        <v>2665.3923130041271</v>
      </c>
      <c r="F26" s="74">
        <f t="shared" si="3"/>
        <v>3188.5820000039976</v>
      </c>
      <c r="G26" s="74">
        <f t="shared" si="3"/>
        <v>0</v>
      </c>
      <c r="H26" s="74">
        <f t="shared" si="3"/>
        <v>0</v>
      </c>
      <c r="I26" s="74">
        <f t="shared" si="3"/>
        <v>0</v>
      </c>
      <c r="L26" s="75"/>
      <c r="M26" s="75"/>
      <c r="N26" s="76"/>
      <c r="Q26" s="76"/>
      <c r="R26" s="76"/>
      <c r="S26" s="76"/>
      <c r="T26" s="76"/>
    </row>
    <row r="27" spans="1:20">
      <c r="A27" s="17" t="str">
        <f>HLOOKUP(INDICE!$F$2,Nombres!$C$3:$D$636,49,FALSE)</f>
        <v>Non-controlling interests</v>
      </c>
      <c r="B27" s="77">
        <v>-184.33699995717441</v>
      </c>
      <c r="C27" s="77">
        <v>-166.85599996322841</v>
      </c>
      <c r="D27" s="77">
        <v>-131.83999996214666</v>
      </c>
      <c r="E27" s="78">
        <v>-132.09299994900942</v>
      </c>
      <c r="F27" s="77">
        <v>-199.3319999718961</v>
      </c>
      <c r="G27" s="77">
        <v>0</v>
      </c>
      <c r="H27" s="77">
        <v>0</v>
      </c>
      <c r="I27" s="77">
        <v>0</v>
      </c>
      <c r="L27" s="75"/>
      <c r="M27" s="75"/>
      <c r="N27" s="76"/>
      <c r="Q27" s="76"/>
      <c r="R27" s="76"/>
      <c r="S27" s="76"/>
      <c r="T27" s="76"/>
    </row>
    <row r="28" spans="1:20">
      <c r="A28" s="19" t="str">
        <f>HLOOKUP(INDICE!$F$2,Nombres!$C$3:$D$636,50,FALSE)</f>
        <v>Net attributable profit</v>
      </c>
      <c r="B28" s="19">
        <f>+B26+B27</f>
        <v>2698.0553450428802</v>
      </c>
      <c r="C28" s="19">
        <f t="shared" ref="C28:I28" si="4">+C26+C27</f>
        <v>2749.1743830596847</v>
      </c>
      <c r="D28" s="19">
        <f t="shared" si="4"/>
        <v>2530.5532970407457</v>
      </c>
      <c r="E28" s="19">
        <f t="shared" si="4"/>
        <v>2533.2993130551176</v>
      </c>
      <c r="F28" s="19">
        <f t="shared" si="4"/>
        <v>2989.2500000321015</v>
      </c>
      <c r="G28" s="19">
        <f t="shared" si="4"/>
        <v>0</v>
      </c>
      <c r="H28" s="19">
        <f t="shared" si="4"/>
        <v>0</v>
      </c>
      <c r="I28" s="19">
        <f t="shared" si="4"/>
        <v>0</v>
      </c>
      <c r="L28" s="75"/>
      <c r="M28" s="75"/>
      <c r="N28" s="76"/>
      <c r="O28" s="75"/>
      <c r="P28" s="75"/>
      <c r="Q28" s="76"/>
      <c r="R28" s="76"/>
      <c r="S28" s="76"/>
      <c r="T28" s="76"/>
    </row>
    <row r="29" spans="1:20">
      <c r="B29" s="80"/>
      <c r="C29" s="80"/>
      <c r="D29" s="80"/>
      <c r="E29" s="80"/>
      <c r="F29" s="80"/>
      <c r="G29" s="80"/>
      <c r="H29" s="80"/>
      <c r="I29" s="80"/>
    </row>
    <row r="30" spans="1:20" ht="22.5" customHeight="1">
      <c r="A30" s="17"/>
      <c r="B30" s="80">
        <v>0</v>
      </c>
      <c r="C30" s="80">
        <v>0</v>
      </c>
      <c r="D30" s="80">
        <v>0</v>
      </c>
      <c r="E30" s="80">
        <v>0</v>
      </c>
      <c r="F30" s="80">
        <v>0</v>
      </c>
      <c r="G30" s="80">
        <v>0</v>
      </c>
      <c r="H30" s="80">
        <v>0</v>
      </c>
      <c r="I30" s="80">
        <v>0</v>
      </c>
    </row>
    <row r="31" spans="1:20" ht="15" customHeight="1">
      <c r="A31" s="300" t="s">
        <v>556</v>
      </c>
      <c r="B31" s="300"/>
      <c r="C31" s="300"/>
      <c r="D31" s="300"/>
      <c r="E31" s="300"/>
      <c r="F31" s="300"/>
      <c r="G31" s="300"/>
      <c r="H31" s="300"/>
      <c r="I31" s="300"/>
    </row>
    <row r="32" spans="1:20" ht="15" customHeight="1">
      <c r="A32" s="300"/>
      <c r="B32" s="300"/>
      <c r="C32" s="300"/>
      <c r="D32" s="300"/>
      <c r="E32" s="300"/>
      <c r="F32" s="300"/>
      <c r="G32" s="300"/>
      <c r="H32" s="300"/>
      <c r="I32" s="300"/>
    </row>
    <row r="33" spans="1:20">
      <c r="A33" s="300"/>
      <c r="B33" s="300"/>
      <c r="C33" s="300"/>
      <c r="D33" s="300"/>
      <c r="E33" s="300"/>
      <c r="F33" s="300"/>
      <c r="G33" s="300"/>
      <c r="H33" s="300"/>
      <c r="I33" s="300"/>
    </row>
    <row r="34" spans="1:20">
      <c r="A34" s="17"/>
      <c r="B34" s="82"/>
      <c r="C34" s="82"/>
      <c r="D34" s="82"/>
      <c r="E34" s="82"/>
      <c r="F34" s="83"/>
      <c r="G34" s="82"/>
      <c r="H34" s="82"/>
      <c r="I34" s="82"/>
    </row>
    <row r="35" spans="1:20">
      <c r="B35" s="84"/>
      <c r="C35" s="84"/>
      <c r="D35" s="84"/>
      <c r="E35" s="84"/>
      <c r="F35" s="84"/>
      <c r="G35" s="84"/>
      <c r="H35" s="84"/>
      <c r="I35" s="84"/>
    </row>
    <row r="37" spans="1:20" ht="17">
      <c r="A37" s="65" t="str">
        <f>HLOOKUP(INDICE!$F$2,Nombres!$C$3:$D$636,31,FALSE)</f>
        <v xml:space="preserve">Income statement  </v>
      </c>
      <c r="B37" s="66"/>
      <c r="C37" s="66"/>
      <c r="D37" s="66"/>
      <c r="E37" s="66"/>
      <c r="F37" s="66"/>
      <c r="G37" s="66"/>
      <c r="H37" s="66"/>
      <c r="I37" s="66"/>
    </row>
    <row r="38" spans="1:20">
      <c r="A38" s="67" t="str">
        <f>HLOOKUP(INDICE!$F$2,Nombres!$C$3:$D$636,73,FALSE)</f>
        <v xml:space="preserve">(Constant million euros)    </v>
      </c>
      <c r="B38" s="62"/>
      <c r="C38" s="68"/>
      <c r="D38" s="68"/>
      <c r="E38" s="68"/>
      <c r="F38" s="62"/>
      <c r="G38" s="62"/>
      <c r="H38" s="62"/>
      <c r="I38" s="62"/>
    </row>
    <row r="39" spans="1:20">
      <c r="A39" s="69"/>
      <c r="B39" s="62"/>
      <c r="C39" s="68"/>
      <c r="D39" s="68"/>
      <c r="E39" s="68"/>
      <c r="F39" s="62"/>
      <c r="G39" s="62"/>
      <c r="H39" s="62"/>
      <c r="I39" s="62"/>
    </row>
    <row r="40" spans="1:20">
      <c r="A40" s="70"/>
      <c r="B40" s="301">
        <f>+España!B6</f>
        <v>2025</v>
      </c>
      <c r="C40" s="301"/>
      <c r="D40" s="301"/>
      <c r="E40" s="302"/>
      <c r="F40" s="303">
        <f>+España!F6</f>
        <v>2026</v>
      </c>
      <c r="G40" s="301"/>
      <c r="H40" s="301"/>
      <c r="I40" s="301"/>
    </row>
    <row r="41" spans="1:20">
      <c r="A41" s="70"/>
      <c r="B41" s="71" t="str">
        <f>+España!B7</f>
        <v>1Q</v>
      </c>
      <c r="C41" s="71" t="str">
        <f>+España!C7</f>
        <v>2Q</v>
      </c>
      <c r="D41" s="71" t="str">
        <f>+España!D7</f>
        <v>3Q</v>
      </c>
      <c r="E41" s="72" t="str">
        <f>+España!E7</f>
        <v>4Q</v>
      </c>
      <c r="F41" s="71" t="str">
        <f>+España!F7</f>
        <v>1Q</v>
      </c>
      <c r="G41" s="71" t="str">
        <f>+España!G7</f>
        <v>2Q</v>
      </c>
      <c r="H41" s="71" t="str">
        <f>+España!H7</f>
        <v>3Q</v>
      </c>
      <c r="I41" s="71" t="str">
        <f>+España!I7</f>
        <v>4Q</v>
      </c>
    </row>
    <row r="42" spans="1:20">
      <c r="A42" s="25" t="str">
        <f>HLOOKUP(INDICE!$F$2,Nombres!$C$3:$D$636,33,FALSE)</f>
        <v>Net interest income</v>
      </c>
      <c r="B42" s="25">
        <v>6272.4079573003064</v>
      </c>
      <c r="C42" s="25">
        <v>6513.5626171612466</v>
      </c>
      <c r="D42" s="25">
        <v>6956.1164265290518</v>
      </c>
      <c r="E42" s="73">
        <v>7323.539802671492</v>
      </c>
      <c r="F42" s="25">
        <v>7537.2570000009264</v>
      </c>
      <c r="G42" s="74">
        <v>0</v>
      </c>
      <c r="H42" s="74">
        <v>0</v>
      </c>
      <c r="I42" s="74">
        <v>0</v>
      </c>
      <c r="L42" s="75"/>
      <c r="M42" s="75"/>
      <c r="N42" s="76"/>
      <c r="Q42" s="76"/>
      <c r="R42" s="76"/>
      <c r="S42" s="76"/>
      <c r="T42" s="76"/>
    </row>
    <row r="43" spans="1:20">
      <c r="A43" s="17" t="str">
        <f>HLOOKUP(INDICE!$F$2,Nombres!$C$3:$D$636,34,FALSE)</f>
        <v>Net fees and commissions</v>
      </c>
      <c r="B43" s="77">
        <v>1952.7323273482739</v>
      </c>
      <c r="C43" s="77">
        <v>2024.4331528806338</v>
      </c>
      <c r="D43" s="77">
        <v>2142.4681763213775</v>
      </c>
      <c r="E43" s="78">
        <v>2236.2498044895956</v>
      </c>
      <c r="F43" s="77">
        <v>2255.9639999985029</v>
      </c>
      <c r="G43" s="77">
        <v>0</v>
      </c>
      <c r="H43" s="77">
        <v>0</v>
      </c>
      <c r="I43" s="77">
        <v>0</v>
      </c>
      <c r="L43" s="75"/>
      <c r="M43" s="75"/>
      <c r="N43" s="76"/>
      <c r="Q43" s="76"/>
      <c r="R43" s="76"/>
      <c r="S43" s="76"/>
      <c r="T43" s="76"/>
    </row>
    <row r="44" spans="1:20">
      <c r="A44" s="17" t="str">
        <f>HLOOKUP(INDICE!$F$2,Nombres!$C$3:$D$636,35,FALSE)</f>
        <v>Net trading income</v>
      </c>
      <c r="B44" s="77">
        <v>905.20996118012226</v>
      </c>
      <c r="C44" s="77">
        <v>520.10440515291191</v>
      </c>
      <c r="D44" s="77">
        <v>564.80664931367994</v>
      </c>
      <c r="E44" s="78">
        <v>725.2038842283788</v>
      </c>
      <c r="F44" s="77">
        <v>915.33899999999051</v>
      </c>
      <c r="G44" s="77">
        <v>0</v>
      </c>
      <c r="H44" s="77">
        <v>0</v>
      </c>
      <c r="I44" s="77">
        <v>0</v>
      </c>
      <c r="L44" s="75"/>
      <c r="M44" s="75"/>
      <c r="N44" s="76"/>
      <c r="Q44" s="76"/>
      <c r="R44" s="76"/>
      <c r="S44" s="76"/>
      <c r="T44" s="76"/>
    </row>
    <row r="45" spans="1:20">
      <c r="A45" s="17" t="str">
        <f>HLOOKUP(INDICE!$F$2,Nombres!$C$3:$D$636,96,FALSE)</f>
        <v>Dividend income</v>
      </c>
      <c r="B45" s="77">
        <v>9.0546269258944463</v>
      </c>
      <c r="C45" s="77">
        <v>67.408605662744492</v>
      </c>
      <c r="D45" s="77">
        <v>3.8543607598993521</v>
      </c>
      <c r="E45" s="78">
        <v>43.631264081309922</v>
      </c>
      <c r="F45" s="77">
        <v>22.178000000000239</v>
      </c>
      <c r="G45" s="77">
        <v>0</v>
      </c>
      <c r="H45" s="77">
        <v>0</v>
      </c>
      <c r="I45" s="77">
        <v>0</v>
      </c>
      <c r="L45" s="75"/>
      <c r="M45" s="75"/>
      <c r="N45" s="76"/>
      <c r="Q45" s="76"/>
      <c r="R45" s="76"/>
      <c r="S45" s="76"/>
      <c r="T45" s="76"/>
    </row>
    <row r="46" spans="1:20">
      <c r="A46" s="17" t="str">
        <f>HLOOKUP(INDICE!$F$2,Nombres!$C$3:$D$636,97,FALSE)</f>
        <v>Share of  profit/loss of invest. in subsidaries, joint ventures and associates</v>
      </c>
      <c r="B46" s="77">
        <v>9.1214954195805635</v>
      </c>
      <c r="C46" s="77">
        <v>20.848192802526953</v>
      </c>
      <c r="D46" s="77">
        <v>12.612261182152739</v>
      </c>
      <c r="E46" s="78">
        <v>20.153156973423823</v>
      </c>
      <c r="F46" s="77">
        <v>26.327000000000048</v>
      </c>
      <c r="G46" s="77">
        <v>0</v>
      </c>
      <c r="H46" s="77">
        <v>0</v>
      </c>
      <c r="I46" s="77">
        <v>0</v>
      </c>
      <c r="L46" s="75"/>
      <c r="M46" s="75"/>
      <c r="N46" s="76"/>
      <c r="Q46" s="76"/>
      <c r="R46" s="76"/>
      <c r="S46" s="76"/>
      <c r="T46" s="76"/>
    </row>
    <row r="47" spans="1:20">
      <c r="A47" s="17" t="str">
        <f>HLOOKUP(INDICE!$F$2,Nombres!$C$3:$D$636,98,FALSE)</f>
        <v>Other products and expenses</v>
      </c>
      <c r="B47" s="77">
        <v>-141.8396512189974</v>
      </c>
      <c r="C47" s="77">
        <v>12.463216873283328</v>
      </c>
      <c r="D47" s="77">
        <v>-138.70288922296004</v>
      </c>
      <c r="E47" s="78">
        <v>-137.36578013498072</v>
      </c>
      <c r="F47" s="77">
        <v>-104.58300000052971</v>
      </c>
      <c r="G47" s="77">
        <v>0</v>
      </c>
      <c r="H47" s="77">
        <v>0</v>
      </c>
      <c r="I47" s="77">
        <v>0</v>
      </c>
      <c r="L47" s="75"/>
      <c r="M47" s="75"/>
      <c r="N47" s="76"/>
      <c r="Q47" s="76"/>
      <c r="R47" s="76"/>
      <c r="S47" s="76"/>
      <c r="T47" s="76"/>
    </row>
    <row r="48" spans="1:20">
      <c r="A48" s="25" t="str">
        <f>HLOOKUP(INDICE!$F$2,Nombres!$C$3:$D$636,37,FALSE)</f>
        <v>Gross income</v>
      </c>
      <c r="B48" s="25">
        <f>+SUM(B42:B47)</f>
        <v>9006.6867169551788</v>
      </c>
      <c r="C48" s="25">
        <f t="shared" ref="C48:I48" si="5">+SUM(C42:C47)</f>
        <v>9158.8201905333462</v>
      </c>
      <c r="D48" s="25">
        <f t="shared" si="5"/>
        <v>9541.1549848832001</v>
      </c>
      <c r="E48" s="73">
        <f t="shared" si="5"/>
        <v>10211.41213230922</v>
      </c>
      <c r="F48" s="25">
        <f t="shared" si="5"/>
        <v>10652.48199999889</v>
      </c>
      <c r="G48" s="74">
        <f t="shared" si="5"/>
        <v>0</v>
      </c>
      <c r="H48" s="74">
        <f t="shared" si="5"/>
        <v>0</v>
      </c>
      <c r="I48" s="74">
        <f t="shared" si="5"/>
        <v>0</v>
      </c>
      <c r="L48" s="75"/>
      <c r="M48" s="75"/>
      <c r="N48" s="76"/>
      <c r="Q48" s="76"/>
      <c r="R48" s="76"/>
      <c r="S48" s="76"/>
      <c r="T48" s="76"/>
    </row>
    <row r="49" spans="1:20">
      <c r="A49" s="17" t="str">
        <f>HLOOKUP(INDICE!$F$2,Nombres!$C$3:$D$636,38,FALSE)</f>
        <v>Operating expenses</v>
      </c>
      <c r="B49" s="77">
        <v>-3445.2001075139542</v>
      </c>
      <c r="C49" s="77">
        <v>-3365.0123235387146</v>
      </c>
      <c r="D49" s="77">
        <v>-3727.0600130767134</v>
      </c>
      <c r="E49" s="78">
        <v>-4115.4291772728193</v>
      </c>
      <c r="F49" s="77">
        <v>-4048.6889999988844</v>
      </c>
      <c r="G49" s="77">
        <v>0</v>
      </c>
      <c r="H49" s="77">
        <v>0</v>
      </c>
      <c r="I49" s="77">
        <v>0</v>
      </c>
      <c r="L49" s="75"/>
      <c r="M49" s="75"/>
      <c r="N49" s="76"/>
      <c r="Q49" s="76"/>
      <c r="R49" s="76"/>
      <c r="S49" s="76"/>
      <c r="T49" s="76"/>
    </row>
    <row r="50" spans="1:20">
      <c r="A50" s="17" t="str">
        <f>HLOOKUP(INDICE!$F$2,Nombres!$C$3:$D$636,39,FALSE)</f>
        <v xml:space="preserve">  Administration expenses</v>
      </c>
      <c r="B50" s="77">
        <v>-3069.312713191784</v>
      </c>
      <c r="C50" s="77">
        <v>-2982.5310478148817</v>
      </c>
      <c r="D50" s="77">
        <v>-3336.4713640383111</v>
      </c>
      <c r="E50" s="78">
        <v>-3713.7067705829963</v>
      </c>
      <c r="F50" s="77">
        <v>-3630.9039999988822</v>
      </c>
      <c r="G50" s="77">
        <v>0</v>
      </c>
      <c r="H50" s="77">
        <v>0</v>
      </c>
      <c r="I50" s="77">
        <v>0</v>
      </c>
      <c r="L50" s="75"/>
      <c r="M50" s="75"/>
      <c r="N50" s="76"/>
      <c r="Q50" s="76"/>
      <c r="R50" s="76"/>
      <c r="S50" s="76"/>
      <c r="T50" s="76"/>
    </row>
    <row r="51" spans="1:20">
      <c r="A51" s="79" t="str">
        <f>HLOOKUP(INDICE!$F$2,Nombres!$C$3:$D$636,40,FALSE)</f>
        <v xml:space="preserve">  Personnel expenses</v>
      </c>
      <c r="B51" s="77">
        <v>-1833.149642702904</v>
      </c>
      <c r="C51" s="77">
        <v>-1861.4053561733115</v>
      </c>
      <c r="D51" s="77">
        <v>-1973.2088086110775</v>
      </c>
      <c r="E51" s="78">
        <v>-2256.4116796924586</v>
      </c>
      <c r="F51" s="77">
        <v>-2201.395999999977</v>
      </c>
      <c r="G51" s="77">
        <v>0</v>
      </c>
      <c r="H51" s="77">
        <v>0</v>
      </c>
      <c r="I51" s="77">
        <v>0</v>
      </c>
      <c r="L51" s="75"/>
      <c r="M51" s="75"/>
      <c r="N51" s="76"/>
      <c r="Q51" s="76"/>
      <c r="R51" s="76"/>
      <c r="S51" s="76"/>
      <c r="T51" s="76"/>
    </row>
    <row r="52" spans="1:20">
      <c r="A52" s="79" t="str">
        <f>HLOOKUP(INDICE!$F$2,Nombres!$C$3:$D$636,41,FALSE)</f>
        <v xml:space="preserve">  General and administrative expenses</v>
      </c>
      <c r="B52" s="77">
        <v>-1236.1630704888798</v>
      </c>
      <c r="C52" s="77">
        <v>-1121.1256916415703</v>
      </c>
      <c r="D52" s="77">
        <v>-1363.2625554272331</v>
      </c>
      <c r="E52" s="78">
        <v>-1457.2950908905375</v>
      </c>
      <c r="F52" s="77">
        <v>-1429.5079999989052</v>
      </c>
      <c r="G52" s="77">
        <v>0</v>
      </c>
      <c r="H52" s="77">
        <v>0</v>
      </c>
      <c r="I52" s="77">
        <v>0</v>
      </c>
      <c r="L52" s="75"/>
      <c r="M52" s="75"/>
      <c r="N52" s="76"/>
      <c r="Q52" s="76"/>
      <c r="R52" s="76"/>
      <c r="S52" s="76"/>
      <c r="T52" s="76"/>
    </row>
    <row r="53" spans="1:20">
      <c r="A53" s="17" t="str">
        <f>HLOOKUP(INDICE!$F$2,Nombres!$C$3:$D$636,42,FALSE)</f>
        <v xml:space="preserve">  Depreciation</v>
      </c>
      <c r="B53" s="77">
        <v>-375.88739432217034</v>
      </c>
      <c r="C53" s="77">
        <v>-382.48127572383248</v>
      </c>
      <c r="D53" s="77">
        <v>-390.58864903840254</v>
      </c>
      <c r="E53" s="78">
        <v>-401.72240668982266</v>
      </c>
      <c r="F53" s="77">
        <v>-417.78500000000196</v>
      </c>
      <c r="G53" s="77">
        <v>0</v>
      </c>
      <c r="H53" s="77">
        <v>0</v>
      </c>
      <c r="I53" s="77">
        <v>0</v>
      </c>
      <c r="L53" s="75"/>
      <c r="M53" s="75"/>
      <c r="N53" s="76"/>
      <c r="Q53" s="76"/>
      <c r="R53" s="76"/>
      <c r="S53" s="76"/>
      <c r="T53" s="76"/>
    </row>
    <row r="54" spans="1:20">
      <c r="A54" s="25" t="str">
        <f>HLOOKUP(INDICE!$F$2,Nombres!$C$3:$D$636,43,FALSE)</f>
        <v>Operating income</v>
      </c>
      <c r="B54" s="25">
        <f>+B48+B49</f>
        <v>5561.4866094412246</v>
      </c>
      <c r="C54" s="25">
        <f t="shared" ref="C54:I54" si="6">+C48+C49</f>
        <v>5793.8078669946317</v>
      </c>
      <c r="D54" s="25">
        <f t="shared" si="6"/>
        <v>5814.0949718064867</v>
      </c>
      <c r="E54" s="73">
        <f t="shared" si="6"/>
        <v>6095.9829550364011</v>
      </c>
      <c r="F54" s="25">
        <f t="shared" si="6"/>
        <v>6603.793000000006</v>
      </c>
      <c r="G54" s="74">
        <f t="shared" si="6"/>
        <v>0</v>
      </c>
      <c r="H54" s="74">
        <f t="shared" si="6"/>
        <v>0</v>
      </c>
      <c r="I54" s="74">
        <f t="shared" si="6"/>
        <v>0</v>
      </c>
      <c r="L54" s="75"/>
      <c r="M54" s="75"/>
      <c r="N54" s="76"/>
      <c r="Q54" s="76"/>
      <c r="R54" s="76"/>
      <c r="S54" s="76"/>
      <c r="T54" s="76"/>
    </row>
    <row r="55" spans="1:20">
      <c r="A55" s="17" t="str">
        <f>HLOOKUP(INDICE!$F$2,Nombres!$C$3:$D$636,44,FALSE)</f>
        <v>Impaiment on financial assets not measured at fair value through profit or loss</v>
      </c>
      <c r="B55" s="77">
        <v>-1347.5882186861536</v>
      </c>
      <c r="C55" s="77">
        <v>-1470.0971709297562</v>
      </c>
      <c r="D55" s="77">
        <v>-1645.0963292135391</v>
      </c>
      <c r="E55" s="78">
        <v>-1825.3505954701604</v>
      </c>
      <c r="F55" s="77">
        <v>-1819.5680000000111</v>
      </c>
      <c r="G55" s="77">
        <v>0</v>
      </c>
      <c r="H55" s="77">
        <v>0</v>
      </c>
      <c r="I55" s="77">
        <v>0</v>
      </c>
      <c r="L55" s="75"/>
      <c r="M55" s="75"/>
      <c r="N55" s="76"/>
      <c r="Q55" s="76"/>
      <c r="R55" s="76"/>
      <c r="S55" s="76"/>
      <c r="T55" s="76"/>
    </row>
    <row r="56" spans="1:20">
      <c r="A56" s="17" t="str">
        <f>HLOOKUP(INDICE!$F$2,Nombres!$C$3:$D$636,247,FALSE)</f>
        <v>Provisions or reversal of provisions</v>
      </c>
      <c r="B56" s="77">
        <v>-49.819190278752139</v>
      </c>
      <c r="C56" s="77">
        <v>-84.149823071149072</v>
      </c>
      <c r="D56" s="77">
        <v>-103.11393039785688</v>
      </c>
      <c r="E56" s="78">
        <v>-145.1987420643336</v>
      </c>
      <c r="F56" s="77">
        <v>-63.935999999999588</v>
      </c>
      <c r="G56" s="77">
        <v>0</v>
      </c>
      <c r="H56" s="77">
        <v>0</v>
      </c>
      <c r="I56" s="77">
        <v>0</v>
      </c>
      <c r="L56" s="75"/>
      <c r="M56" s="75"/>
      <c r="N56" s="76"/>
      <c r="Q56" s="76"/>
      <c r="R56" s="76"/>
      <c r="S56" s="76"/>
      <c r="T56" s="76"/>
    </row>
    <row r="57" spans="1:20">
      <c r="A57" s="17" t="str">
        <f>HLOOKUP(INDICE!$F$2,Nombres!$C$3:$D$636,248,FALSE)</f>
        <v>Other results</v>
      </c>
      <c r="B57" s="77">
        <v>20.812505109016254</v>
      </c>
      <c r="C57" s="77">
        <v>49.761678791424259</v>
      </c>
      <c r="D57" s="77">
        <v>6.3672991532056677</v>
      </c>
      <c r="E57" s="78">
        <v>-0.93437989633722229</v>
      </c>
      <c r="F57" s="77">
        <v>2.1379999999994128</v>
      </c>
      <c r="G57" s="77">
        <v>0</v>
      </c>
      <c r="H57" s="77">
        <v>0</v>
      </c>
      <c r="I57" s="77">
        <v>0</v>
      </c>
      <c r="L57" s="75"/>
      <c r="M57" s="75"/>
      <c r="N57" s="76"/>
      <c r="Q57" s="76"/>
      <c r="R57" s="76"/>
      <c r="S57" s="76"/>
      <c r="T57" s="76"/>
    </row>
    <row r="58" spans="1:20">
      <c r="A58" s="25" t="str">
        <f>HLOOKUP(INDICE!$F$2,Nombres!$C$3:$D$636,46,FALSE)</f>
        <v>Profit/(loss) before tax</v>
      </c>
      <c r="B58" s="74">
        <f t="shared" ref="B58:I58" si="7">+B54+B55+B56+B57</f>
        <v>4184.8917055853353</v>
      </c>
      <c r="C58" s="74">
        <f t="shared" si="7"/>
        <v>4289.3225517851497</v>
      </c>
      <c r="D58" s="74">
        <f t="shared" si="7"/>
        <v>4072.252011348296</v>
      </c>
      <c r="E58" s="73">
        <f t="shared" si="7"/>
        <v>4124.4992376055698</v>
      </c>
      <c r="F58" s="74">
        <f t="shared" si="7"/>
        <v>4722.4269999999942</v>
      </c>
      <c r="G58" s="74">
        <f t="shared" si="7"/>
        <v>0</v>
      </c>
      <c r="H58" s="74">
        <f t="shared" si="7"/>
        <v>0</v>
      </c>
      <c r="I58" s="74">
        <f t="shared" si="7"/>
        <v>0</v>
      </c>
      <c r="L58" s="75"/>
      <c r="M58" s="75"/>
      <c r="N58" s="76"/>
      <c r="Q58" s="76"/>
      <c r="R58" s="76"/>
      <c r="S58" s="76"/>
      <c r="T58" s="76"/>
    </row>
    <row r="59" spans="1:20">
      <c r="A59" s="17" t="str">
        <f>HLOOKUP(INDICE!$F$2,Nombres!$C$3:$D$636,47,FALSE)</f>
        <v>Income tax</v>
      </c>
      <c r="B59" s="77">
        <v>-1414.6912100289137</v>
      </c>
      <c r="C59" s="77">
        <v>-1219.9829520700694</v>
      </c>
      <c r="D59" s="77">
        <v>-1265.8482034298061</v>
      </c>
      <c r="E59" s="78">
        <v>-1327.5488996492302</v>
      </c>
      <c r="F59" s="77">
        <v>-1533.8449999960003</v>
      </c>
      <c r="G59" s="77">
        <v>0</v>
      </c>
      <c r="H59" s="77">
        <v>0</v>
      </c>
      <c r="I59" s="77">
        <v>0</v>
      </c>
      <c r="L59" s="75"/>
      <c r="M59" s="75"/>
      <c r="N59" s="76"/>
      <c r="Q59" s="76"/>
      <c r="R59" s="76"/>
      <c r="S59" s="76"/>
      <c r="T59" s="76"/>
    </row>
    <row r="60" spans="1:20">
      <c r="A60" s="25" t="str">
        <f>HLOOKUP(INDICE!$F$2,Nombres!$C$3:$D$636,48,FALSE)</f>
        <v>Profit/(loss) for the year</v>
      </c>
      <c r="B60" s="74">
        <f t="shared" ref="B60:I60" si="8">+B58+B59</f>
        <v>2770.2004955564216</v>
      </c>
      <c r="C60" s="74">
        <f t="shared" si="8"/>
        <v>3069.3395997150801</v>
      </c>
      <c r="D60" s="74">
        <f t="shared" si="8"/>
        <v>2806.4038079184902</v>
      </c>
      <c r="E60" s="73">
        <f t="shared" si="8"/>
        <v>2796.9503379563394</v>
      </c>
      <c r="F60" s="74">
        <f t="shared" si="8"/>
        <v>3188.5820000039939</v>
      </c>
      <c r="G60" s="74">
        <f t="shared" si="8"/>
        <v>0</v>
      </c>
      <c r="H60" s="74">
        <f t="shared" si="8"/>
        <v>0</v>
      </c>
      <c r="I60" s="74">
        <f t="shared" si="8"/>
        <v>0</v>
      </c>
      <c r="L60" s="75"/>
      <c r="M60" s="75"/>
      <c r="N60" s="76"/>
      <c r="Q60" s="76"/>
      <c r="R60" s="76"/>
      <c r="S60" s="76"/>
      <c r="T60" s="76"/>
    </row>
    <row r="61" spans="1:20">
      <c r="A61" s="17" t="str">
        <f>HLOOKUP(INDICE!$F$2,Nombres!$C$3:$D$636,49,FALSE)</f>
        <v>Non-controlling interests</v>
      </c>
      <c r="B61" s="77">
        <v>-150.14862423885575</v>
      </c>
      <c r="C61" s="77">
        <v>-177.43766205300119</v>
      </c>
      <c r="D61" s="77">
        <v>-148.93036588365581</v>
      </c>
      <c r="E61" s="78">
        <v>-149.78388010858433</v>
      </c>
      <c r="F61" s="77">
        <v>-199.33199997189848</v>
      </c>
      <c r="G61" s="77">
        <v>0</v>
      </c>
      <c r="H61" s="77">
        <v>0</v>
      </c>
      <c r="I61" s="77">
        <v>0</v>
      </c>
      <c r="L61" s="75"/>
      <c r="M61" s="75"/>
      <c r="N61" s="76"/>
      <c r="Q61" s="76"/>
      <c r="R61" s="76"/>
      <c r="S61" s="76"/>
      <c r="T61" s="76"/>
    </row>
    <row r="62" spans="1:20">
      <c r="A62" s="19" t="str">
        <f>HLOOKUP(INDICE!$F$2,Nombres!$C$3:$D$636,50,FALSE)</f>
        <v>Net attributable profit</v>
      </c>
      <c r="B62" s="19">
        <f>+B60+B61</f>
        <v>2620.0518713175661</v>
      </c>
      <c r="C62" s="19">
        <f t="shared" ref="C62:I62" si="9">+C60+C61</f>
        <v>2891.901937662079</v>
      </c>
      <c r="D62" s="19">
        <f t="shared" si="9"/>
        <v>2657.4734420348345</v>
      </c>
      <c r="E62" s="19">
        <f t="shared" si="9"/>
        <v>2647.1664578477548</v>
      </c>
      <c r="F62" s="19">
        <f t="shared" si="9"/>
        <v>2989.2500000320956</v>
      </c>
      <c r="G62" s="19">
        <f t="shared" si="9"/>
        <v>0</v>
      </c>
      <c r="H62" s="19">
        <f t="shared" si="9"/>
        <v>0</v>
      </c>
      <c r="I62" s="19">
        <f t="shared" si="9"/>
        <v>0</v>
      </c>
      <c r="L62" s="75"/>
      <c r="M62" s="75"/>
      <c r="N62" s="76"/>
      <c r="O62" s="75"/>
      <c r="P62" s="75"/>
      <c r="Q62" s="76"/>
      <c r="R62" s="76"/>
      <c r="S62" s="76"/>
      <c r="T62" s="76"/>
    </row>
    <row r="63" spans="1:20">
      <c r="A63" s="17"/>
      <c r="B63" s="80">
        <v>0</v>
      </c>
      <c r="C63" s="80">
        <v>0</v>
      </c>
      <c r="D63" s="80">
        <v>0</v>
      </c>
      <c r="E63" s="80">
        <v>0</v>
      </c>
      <c r="F63" s="80">
        <v>0</v>
      </c>
      <c r="G63" s="80">
        <v>0</v>
      </c>
      <c r="H63" s="80">
        <v>0</v>
      </c>
      <c r="I63" s="80">
        <v>0</v>
      </c>
    </row>
    <row r="64" spans="1:20" ht="12.75" customHeight="1">
      <c r="A64" s="28"/>
      <c r="B64" s="80"/>
      <c r="C64" s="80"/>
      <c r="D64" s="80"/>
      <c r="E64" s="80"/>
      <c r="F64" s="80"/>
      <c r="G64" s="80"/>
      <c r="H64" s="80"/>
      <c r="I64" s="80"/>
    </row>
    <row r="65" spans="1:9" ht="15" customHeight="1">
      <c r="A65" s="300"/>
      <c r="B65" s="300"/>
      <c r="C65" s="300"/>
      <c r="D65" s="300"/>
      <c r="E65" s="300"/>
      <c r="F65" s="300"/>
      <c r="G65" s="300"/>
      <c r="H65" s="300"/>
      <c r="I65" s="300"/>
    </row>
    <row r="66" spans="1:9" ht="15" customHeight="1">
      <c r="A66" s="300"/>
      <c r="B66" s="300"/>
      <c r="C66" s="300"/>
      <c r="D66" s="300"/>
      <c r="E66" s="300"/>
      <c r="F66" s="300"/>
      <c r="G66" s="300"/>
      <c r="H66" s="300"/>
      <c r="I66" s="300"/>
    </row>
    <row r="67" spans="1:9">
      <c r="A67" s="17"/>
      <c r="B67" s="58"/>
      <c r="C67" s="58"/>
      <c r="D67" s="58"/>
      <c r="E67" s="58"/>
      <c r="F67" s="58"/>
      <c r="G67" s="58"/>
      <c r="H67" s="58"/>
      <c r="I67" s="58"/>
    </row>
    <row r="68" spans="1:9">
      <c r="A68"/>
      <c r="B68" s="58"/>
      <c r="C68" s="58"/>
      <c r="D68" s="58"/>
      <c r="E68" s="58"/>
      <c r="F68" s="58"/>
      <c r="G68" s="58"/>
      <c r="H68" s="58"/>
      <c r="I68" s="58"/>
    </row>
    <row r="69" spans="1:9">
      <c r="B69" s="58"/>
      <c r="C69" s="58"/>
      <c r="D69" s="58"/>
      <c r="E69" s="58"/>
      <c r="F69" s="58"/>
      <c r="G69" s="58"/>
      <c r="H69" s="58"/>
      <c r="I69" s="58"/>
    </row>
    <row r="81" spans="1:1">
      <c r="A81"/>
    </row>
    <row r="995" spans="1:1">
      <c r="A995" s="63" t="s">
        <v>555</v>
      </c>
    </row>
  </sheetData>
  <mergeCells count="9">
    <mergeCell ref="A65:I65"/>
    <mergeCell ref="A66:I66"/>
    <mergeCell ref="B6:E6"/>
    <mergeCell ref="F6:I6"/>
    <mergeCell ref="A31:I31"/>
    <mergeCell ref="A32:I32"/>
    <mergeCell ref="A33:I33"/>
    <mergeCell ref="B40:E40"/>
    <mergeCell ref="F40:I40"/>
  </mergeCells>
  <conditionalFormatting sqref="B29">
    <cfRule type="cellIs" dxfId="52" priority="22" operator="notBetween">
      <formula>0.5</formula>
      <formula>-0.5</formula>
    </cfRule>
  </conditionalFormatting>
  <conditionalFormatting sqref="B29:I30">
    <cfRule type="cellIs" dxfId="51" priority="23" operator="notBetween">
      <formula>0.5</formula>
      <formula>-0.5</formula>
    </cfRule>
  </conditionalFormatting>
  <conditionalFormatting sqref="B34:I35">
    <cfRule type="cellIs" dxfId="50" priority="43" operator="notBetween">
      <formula>0.4</formula>
      <formula>-0.4</formula>
    </cfRule>
  </conditionalFormatting>
  <conditionalFormatting sqref="B63:I64">
    <cfRule type="cellIs" dxfId="49" priority="1" operator="notBetween">
      <formula>0.5</formula>
      <formula>-0.5</formula>
    </cfRule>
  </conditionalFormatting>
  <conditionalFormatting sqref="B67:I68">
    <cfRule type="cellIs" dxfId="48" priority="18" operator="notBetween">
      <formula>0.4</formula>
      <formula>-0.4</formula>
    </cfRule>
  </conditionalFormatting>
  <conditionalFormatting sqref="C63:I63">
    <cfRule type="cellIs" dxfId="47" priority="4" operator="notBetween">
      <formula>0.5</formula>
      <formula>-0.5</formula>
    </cfRule>
  </conditionalFormatting>
  <conditionalFormatting sqref="E29:I29">
    <cfRule type="cellIs" dxfId="46" priority="25" operator="notBetween">
      <formula>0.5</formula>
      <formula>-0.5</formula>
    </cfRule>
  </conditionalFormatting>
  <conditionalFormatting sqref="F30:I30">
    <cfRule type="cellIs" dxfId="45" priority="21" operator="notBetween">
      <formula>0.5</formula>
      <formula>-0.5</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S1000"/>
  <sheetViews>
    <sheetView showGridLines="0" zoomScale="90" zoomScaleNormal="90" workbookViewId="0"/>
  </sheetViews>
  <sheetFormatPr baseColWidth="10" defaultColWidth="11.453125" defaultRowHeight="14.5"/>
  <cols>
    <col min="1" max="1" width="86.453125" style="63" customWidth="1"/>
    <col min="2" max="2" width="10.453125" style="63" customWidth="1"/>
    <col min="3" max="6" width="11.453125" style="63"/>
    <col min="7" max="9" width="0" style="63" hidden="1" customWidth="1"/>
    <col min="10" max="16384" width="11.453125" style="63"/>
  </cols>
  <sheetData>
    <row r="1" spans="1:19" ht="17">
      <c r="A1" s="61" t="str">
        <f>HLOOKUP(INDICE!$F$2,Nombres!$C$3:$D$636,104,FALSE)</f>
        <v>BBVA Group. Consolidated balance sheet</v>
      </c>
      <c r="B1" s="62"/>
      <c r="C1" s="62"/>
      <c r="D1" s="62"/>
      <c r="E1" s="62"/>
      <c r="F1" s="62"/>
      <c r="G1" s="62"/>
      <c r="H1" s="62"/>
      <c r="I1" s="62"/>
    </row>
    <row r="2" spans="1:19" ht="19.5">
      <c r="A2" s="64"/>
      <c r="B2" s="62"/>
      <c r="C2" s="62"/>
      <c r="D2" s="62"/>
      <c r="E2" s="62"/>
      <c r="F2" s="62"/>
      <c r="G2" s="62"/>
      <c r="H2" s="62"/>
      <c r="I2" s="62"/>
    </row>
    <row r="3" spans="1:19" ht="17">
      <c r="A3" s="65" t="str">
        <f>HLOOKUP(INDICE!$F$2,Nombres!$C$3:$D$636,51,FALSE)</f>
        <v>Balance sheets</v>
      </c>
      <c r="B3" s="66"/>
      <c r="C3" s="66"/>
      <c r="D3" s="66"/>
      <c r="E3" s="66"/>
      <c r="F3" s="66"/>
      <c r="G3" s="66"/>
      <c r="H3" s="66"/>
      <c r="I3" s="66"/>
    </row>
    <row r="4" spans="1:19">
      <c r="A4" s="67" t="str">
        <f>HLOOKUP(INDICE!$F$2,Nombres!$C$3:$D$636,32,FALSE)</f>
        <v>(Million euros)</v>
      </c>
      <c r="B4" s="62"/>
      <c r="C4" s="85"/>
      <c r="D4" s="85"/>
      <c r="E4" s="85"/>
      <c r="F4" s="62"/>
      <c r="G4" s="86"/>
      <c r="H4" s="86"/>
      <c r="I4" s="86"/>
    </row>
    <row r="5" spans="1:19">
      <c r="A5" s="62"/>
      <c r="B5" s="87">
        <f>+España!B32</f>
        <v>45747</v>
      </c>
      <c r="C5" s="87">
        <f>+España!C32</f>
        <v>45838</v>
      </c>
      <c r="D5" s="87">
        <f>+España!D32</f>
        <v>45930</v>
      </c>
      <c r="E5" s="87">
        <f>+España!E32</f>
        <v>46022</v>
      </c>
      <c r="F5" s="87">
        <f>+España!F32</f>
        <v>46112</v>
      </c>
      <c r="G5" s="87">
        <f>+España!G32</f>
        <v>46203</v>
      </c>
      <c r="H5" s="87">
        <f>+España!H32</f>
        <v>46295</v>
      </c>
      <c r="I5" s="87">
        <f>+España!I32</f>
        <v>46387</v>
      </c>
    </row>
    <row r="6" spans="1:19">
      <c r="A6" s="17" t="str">
        <f>HLOOKUP(INDICE!$F$2,Nombres!$C$3:$D$636,52,FALSE)</f>
        <v>Cash, cash balances at central banks and other demand deposits</v>
      </c>
      <c r="B6" s="77">
        <v>50405.86</v>
      </c>
      <c r="C6" s="77">
        <v>40017.243000000002</v>
      </c>
      <c r="D6" s="77">
        <v>57124.74</v>
      </c>
      <c r="E6" s="77">
        <v>58837.097999999998</v>
      </c>
      <c r="F6" s="77">
        <v>45909.004000000001</v>
      </c>
      <c r="G6" s="77">
        <v>0</v>
      </c>
      <c r="H6" s="77">
        <v>0</v>
      </c>
      <c r="I6" s="77">
        <v>0</v>
      </c>
      <c r="J6" s="75"/>
      <c r="K6" s="75"/>
      <c r="O6" s="75"/>
      <c r="P6" s="75"/>
      <c r="Q6" s="75"/>
      <c r="R6" s="75"/>
      <c r="S6" s="75"/>
    </row>
    <row r="7" spans="1:19">
      <c r="A7" s="17" t="str">
        <f>HLOOKUP(INDICE!$F$2,Nombres!$C$3:$D$636,131,FALSE)</f>
        <v>Financial assets held for trading</v>
      </c>
      <c r="B7" s="77">
        <v>101716.47500000001</v>
      </c>
      <c r="C7" s="77">
        <v>106396.192</v>
      </c>
      <c r="D7" s="77">
        <v>111037.323</v>
      </c>
      <c r="E7" s="77">
        <v>123184.902</v>
      </c>
      <c r="F7" s="77">
        <v>144299.71400000001</v>
      </c>
      <c r="G7" s="77">
        <v>0</v>
      </c>
      <c r="H7" s="77">
        <v>0</v>
      </c>
      <c r="I7" s="77">
        <v>0</v>
      </c>
      <c r="J7" s="75"/>
      <c r="K7" s="75"/>
      <c r="O7" s="75"/>
      <c r="P7" s="75"/>
      <c r="Q7" s="75"/>
      <c r="R7" s="75"/>
      <c r="S7" s="75"/>
    </row>
    <row r="8" spans="1:19">
      <c r="A8" s="17" t="str">
        <f>HLOOKUP(INDICE!$F$2,Nombres!$C$3:$D$636,132,FALSE)</f>
        <v>Non-trading financial assets mandatorily at fair value through profit or loss</v>
      </c>
      <c r="B8" s="77">
        <v>10570.025</v>
      </c>
      <c r="C8" s="77">
        <v>10840.717000000001</v>
      </c>
      <c r="D8" s="77">
        <v>10844.925999999999</v>
      </c>
      <c r="E8" s="77">
        <v>11271.686</v>
      </c>
      <c r="F8" s="77">
        <v>11935.215</v>
      </c>
      <c r="G8" s="77">
        <v>0</v>
      </c>
      <c r="H8" s="77">
        <v>0</v>
      </c>
      <c r="I8" s="77">
        <v>0</v>
      </c>
      <c r="J8" s="75"/>
      <c r="K8" s="75"/>
      <c r="O8" s="75"/>
      <c r="P8" s="75"/>
      <c r="Q8" s="75"/>
      <c r="R8" s="75"/>
      <c r="S8" s="75"/>
    </row>
    <row r="9" spans="1:19">
      <c r="A9" s="17" t="str">
        <f>HLOOKUP(INDICE!$F$2,Nombres!$C$3:$D$636,133,FALSE)</f>
        <v>Financial assets designated at fair value through profit or loss</v>
      </c>
      <c r="B9" s="77">
        <v>928.85299999999995</v>
      </c>
      <c r="C9" s="77">
        <v>979.63099999999997</v>
      </c>
      <c r="D9" s="77">
        <v>941.98299999999995</v>
      </c>
      <c r="E9" s="77">
        <v>1006.393</v>
      </c>
      <c r="F9" s="77">
        <v>997.84699999999998</v>
      </c>
      <c r="G9" s="77">
        <v>0</v>
      </c>
      <c r="H9" s="77">
        <v>0</v>
      </c>
      <c r="I9" s="77">
        <v>0</v>
      </c>
      <c r="J9" s="75"/>
      <c r="K9" s="75"/>
      <c r="O9" s="75"/>
      <c r="P9" s="75"/>
      <c r="Q9" s="75"/>
      <c r="R9" s="75"/>
      <c r="S9" s="75"/>
    </row>
    <row r="10" spans="1:19">
      <c r="A10" s="17" t="str">
        <f>HLOOKUP(INDICE!$F$2,Nombres!$C$3:$D$636,134,FALSE)</f>
        <v>Financial assets at fair value through accumulated other comprehensive income</v>
      </c>
      <c r="B10" s="77">
        <v>59718.362999999998</v>
      </c>
      <c r="C10" s="77">
        <v>58182.307999999997</v>
      </c>
      <c r="D10" s="77">
        <v>59562.09</v>
      </c>
      <c r="E10" s="77">
        <v>58809.328000000001</v>
      </c>
      <c r="F10" s="77">
        <v>61936.671000000002</v>
      </c>
      <c r="G10" s="77">
        <v>0</v>
      </c>
      <c r="H10" s="77">
        <v>0</v>
      </c>
      <c r="I10" s="77">
        <v>0</v>
      </c>
      <c r="J10" s="75"/>
      <c r="K10" s="75"/>
      <c r="O10" s="75"/>
      <c r="P10" s="75"/>
      <c r="Q10" s="75"/>
      <c r="R10" s="75"/>
      <c r="S10" s="75"/>
    </row>
    <row r="11" spans="1:19">
      <c r="A11" s="17" t="str">
        <f>HLOOKUP(INDICE!$F$2,Nombres!$C$3:$D$636,135,FALSE)</f>
        <v>Financial assets at amortized cost</v>
      </c>
      <c r="B11" s="77">
        <v>512434.21600000001</v>
      </c>
      <c r="C11" s="77">
        <v>523662.04199999996</v>
      </c>
      <c r="D11" s="77">
        <v>536003.32000000007</v>
      </c>
      <c r="E11" s="77">
        <v>568892.55099999998</v>
      </c>
      <c r="F11" s="77">
        <v>587498.74399999995</v>
      </c>
      <c r="G11" s="77">
        <v>0</v>
      </c>
      <c r="H11" s="77">
        <v>0</v>
      </c>
      <c r="I11" s="77">
        <v>0</v>
      </c>
      <c r="J11" s="75"/>
      <c r="K11" s="75"/>
      <c r="O11" s="75"/>
      <c r="P11" s="75"/>
      <c r="Q11" s="75"/>
      <c r="R11" s="75"/>
      <c r="S11" s="75"/>
    </row>
    <row r="12" spans="1:19">
      <c r="A12" s="88" t="str">
        <f>HLOOKUP(INDICE!$F$2,Nombres!$C$3:$D$636,136,FALSE)</f>
        <v xml:space="preserve">. Loans and advances to central banks and credit institutions </v>
      </c>
      <c r="B12" s="89">
        <v>32196.530000000002</v>
      </c>
      <c r="C12" s="89">
        <v>33075.485999999997</v>
      </c>
      <c r="D12" s="89">
        <v>32815.296000000002</v>
      </c>
      <c r="E12" s="89">
        <v>35112.506999999998</v>
      </c>
      <c r="F12" s="89">
        <v>34209.097000000002</v>
      </c>
      <c r="G12" s="89">
        <v>0</v>
      </c>
      <c r="H12" s="89">
        <v>0</v>
      </c>
      <c r="I12" s="89">
        <v>0</v>
      </c>
      <c r="J12" s="75"/>
      <c r="K12" s="75"/>
      <c r="O12" s="75"/>
      <c r="P12" s="75"/>
      <c r="Q12" s="75"/>
      <c r="R12" s="75"/>
      <c r="S12" s="75"/>
    </row>
    <row r="13" spans="1:19">
      <c r="A13" s="88" t="str">
        <f>HLOOKUP(INDICE!$F$2,Nombres!$C$3:$D$636,137,FALSE)</f>
        <v>. Loans and advances to customers</v>
      </c>
      <c r="B13" s="89">
        <v>417265.571</v>
      </c>
      <c r="C13" s="89">
        <v>426663.36599999998</v>
      </c>
      <c r="D13" s="89">
        <v>436164.99900000001</v>
      </c>
      <c r="E13" s="89">
        <v>460400.65899999999</v>
      </c>
      <c r="F13" s="89">
        <v>478949.25199999998</v>
      </c>
      <c r="G13" s="89">
        <v>0</v>
      </c>
      <c r="H13" s="89">
        <v>0</v>
      </c>
      <c r="I13" s="89">
        <v>0</v>
      </c>
      <c r="J13" s="75"/>
      <c r="K13" s="75"/>
      <c r="O13" s="75"/>
      <c r="P13" s="75"/>
      <c r="Q13" s="75"/>
      <c r="R13" s="75"/>
      <c r="S13" s="75"/>
    </row>
    <row r="14" spans="1:19">
      <c r="A14" s="88" t="str">
        <f>HLOOKUP(INDICE!$F$2,Nombres!$C$3:$D$636,138,FALSE)</f>
        <v>. Debt securities</v>
      </c>
      <c r="B14" s="89">
        <v>62972.114999999998</v>
      </c>
      <c r="C14" s="89">
        <v>63923.19</v>
      </c>
      <c r="D14" s="89">
        <v>67023.024999999994</v>
      </c>
      <c r="E14" s="89">
        <v>73379.384999999995</v>
      </c>
      <c r="F14" s="89">
        <v>74340.395000000004</v>
      </c>
      <c r="G14" s="89">
        <v>0</v>
      </c>
      <c r="H14" s="89">
        <v>0</v>
      </c>
      <c r="I14" s="89">
        <v>0</v>
      </c>
      <c r="J14" s="75"/>
      <c r="K14" s="75"/>
      <c r="O14" s="75"/>
      <c r="P14" s="75"/>
      <c r="Q14" s="75"/>
      <c r="R14" s="75"/>
      <c r="S14" s="75"/>
    </row>
    <row r="15" spans="1:19" hidden="1">
      <c r="A15" s="17" t="str">
        <f>HLOOKUP(INDICE!$F$2,Nombres!$C$3:$D$636,139,FALSE)</f>
        <v>Held-to-maturity investments</v>
      </c>
      <c r="B15" s="90"/>
      <c r="C15" s="90"/>
      <c r="D15" s="90"/>
      <c r="E15" s="90"/>
      <c r="F15" s="90"/>
      <c r="G15" s="90"/>
      <c r="H15" s="90"/>
      <c r="I15" s="90"/>
      <c r="J15" s="75"/>
      <c r="K15" s="75"/>
      <c r="O15" s="75"/>
      <c r="P15" s="75"/>
      <c r="Q15" s="75"/>
      <c r="R15" s="75"/>
      <c r="S15" s="75"/>
    </row>
    <row r="16" spans="1:19">
      <c r="A16" s="17" t="str">
        <f>HLOOKUP(INDICE!$F$2,Nombres!$C$3:$D$636,140,FALSE)</f>
        <v>Investments in subsidiaries, joint ventures and associates</v>
      </c>
      <c r="B16" s="77">
        <v>981.13699999999994</v>
      </c>
      <c r="C16" s="77">
        <v>997.928</v>
      </c>
      <c r="D16" s="77">
        <v>1006.066</v>
      </c>
      <c r="E16" s="77">
        <v>993.53399999999999</v>
      </c>
      <c r="F16" s="77">
        <v>1022.143</v>
      </c>
      <c r="G16" s="77">
        <v>0</v>
      </c>
      <c r="H16" s="77">
        <v>0</v>
      </c>
      <c r="I16" s="77">
        <v>0</v>
      </c>
      <c r="J16" s="75"/>
      <c r="K16" s="75"/>
      <c r="O16" s="75"/>
      <c r="P16" s="75"/>
      <c r="Q16" s="75"/>
      <c r="R16" s="75"/>
      <c r="S16" s="75"/>
    </row>
    <row r="17" spans="1:19">
      <c r="A17" s="17" t="str">
        <f>HLOOKUP(INDICE!$F$2,Nombres!$C$3:$D$636,56,FALSE)</f>
        <v>Tangible assets</v>
      </c>
      <c r="B17" s="77">
        <v>9529.7690000000002</v>
      </c>
      <c r="C17" s="77">
        <v>9212.7630000000008</v>
      </c>
      <c r="D17" s="77">
        <v>9253.009</v>
      </c>
      <c r="E17" s="77">
        <v>9481.69</v>
      </c>
      <c r="F17" s="77">
        <v>9666.8580000000002</v>
      </c>
      <c r="G17" s="77">
        <v>0</v>
      </c>
      <c r="H17" s="77">
        <v>0</v>
      </c>
      <c r="I17" s="77">
        <v>0</v>
      </c>
      <c r="J17" s="75"/>
      <c r="K17" s="75"/>
      <c r="O17" s="75"/>
      <c r="P17" s="75"/>
      <c r="Q17" s="75"/>
      <c r="R17" s="75"/>
      <c r="S17" s="75"/>
    </row>
    <row r="18" spans="1:19">
      <c r="A18" s="17" t="str">
        <f>HLOOKUP(INDICE!$F$2,Nombres!$C$3:$D$636,141,FALSE)</f>
        <v>Intangible assets</v>
      </c>
      <c r="B18" s="77">
        <v>2492.0810000000001</v>
      </c>
      <c r="C18" s="77">
        <v>2563.0949999999998</v>
      </c>
      <c r="D18" s="77">
        <v>2666.7240000000002</v>
      </c>
      <c r="E18" s="77">
        <v>2855.82</v>
      </c>
      <c r="F18" s="77">
        <v>2934.81</v>
      </c>
      <c r="G18" s="77">
        <v>0</v>
      </c>
      <c r="H18" s="77">
        <v>0</v>
      </c>
      <c r="I18" s="77">
        <v>0</v>
      </c>
      <c r="J18" s="75"/>
      <c r="K18" s="75"/>
      <c r="O18" s="75"/>
      <c r="P18" s="75"/>
      <c r="Q18" s="75"/>
      <c r="R18" s="75"/>
      <c r="S18" s="75"/>
    </row>
    <row r="19" spans="1:19">
      <c r="A19" s="17" t="str">
        <f>HLOOKUP(INDICE!$F$2,Nombres!$C$3:$D$636,57,FALSE)</f>
        <v>Other assets</v>
      </c>
      <c r="B19" s="77">
        <v>24085.986000000001</v>
      </c>
      <c r="C19" s="77">
        <v>24122.483</v>
      </c>
      <c r="D19" s="77">
        <v>24622.499000000003</v>
      </c>
      <c r="E19" s="77">
        <v>24242.598000000002</v>
      </c>
      <c r="F19" s="77">
        <v>28066.047000000006</v>
      </c>
      <c r="G19" s="77">
        <v>0</v>
      </c>
      <c r="H19" s="77">
        <v>0</v>
      </c>
      <c r="I19" s="77">
        <v>0</v>
      </c>
      <c r="J19" s="75"/>
      <c r="K19" s="75"/>
      <c r="O19" s="75"/>
      <c r="P19" s="75"/>
      <c r="Q19" s="75"/>
      <c r="R19" s="75"/>
      <c r="S19" s="75"/>
    </row>
    <row r="20" spans="1:19">
      <c r="A20" s="19" t="str">
        <f>HLOOKUP(INDICE!$F$2,Nombres!$C$3:$D$636,58,FALSE)</f>
        <v>Total assets / Liabilities and equity</v>
      </c>
      <c r="B20" s="19">
        <f t="shared" ref="B20:I20" si="0">+SUM(B6:B11,B16:B19)</f>
        <v>772862.76500000001</v>
      </c>
      <c r="C20" s="19">
        <f t="shared" si="0"/>
        <v>776974.40199999989</v>
      </c>
      <c r="D20" s="19">
        <f t="shared" si="0"/>
        <v>813062.68</v>
      </c>
      <c r="E20" s="19">
        <f t="shared" si="0"/>
        <v>859575.59999999986</v>
      </c>
      <c r="F20" s="19">
        <f t="shared" si="0"/>
        <v>894267.05300000007</v>
      </c>
      <c r="G20" s="19">
        <f t="shared" si="0"/>
        <v>0</v>
      </c>
      <c r="H20" s="19">
        <f t="shared" si="0"/>
        <v>0</v>
      </c>
      <c r="I20" s="19">
        <f t="shared" si="0"/>
        <v>0</v>
      </c>
      <c r="J20" s="75"/>
      <c r="K20" s="75"/>
      <c r="O20" s="75"/>
      <c r="P20" s="75"/>
      <c r="Q20" s="75"/>
      <c r="R20" s="75"/>
      <c r="S20" s="75"/>
    </row>
    <row r="21" spans="1:19">
      <c r="A21" s="17" t="str">
        <f>HLOOKUP(INDICE!$F$2,Nombres!$C$3:$D$636,59,FALSE)</f>
        <v>Financial liabilities held for trading and designated at fair value through profit or loss</v>
      </c>
      <c r="B21" s="86">
        <v>76246.226999999999</v>
      </c>
      <c r="C21" s="86">
        <v>82995.199999999997</v>
      </c>
      <c r="D21" s="86">
        <v>86757.558999999994</v>
      </c>
      <c r="E21" s="86">
        <v>91917.116999999998</v>
      </c>
      <c r="F21" s="86">
        <v>108279.401</v>
      </c>
      <c r="G21" s="86">
        <v>0</v>
      </c>
      <c r="H21" s="86">
        <v>0</v>
      </c>
      <c r="I21" s="86">
        <v>0</v>
      </c>
      <c r="O21" s="75"/>
      <c r="P21" s="75"/>
      <c r="Q21" s="75"/>
      <c r="R21" s="75"/>
    </row>
    <row r="22" spans="1:19" s="7" customFormat="1">
      <c r="A22" s="17" t="str">
        <f>HLOOKUP(INDICE!$F$2,Nombres!$C$3:$D$636,142,FALSE)</f>
        <v>Other financial liabilities designated at fair value through profit or loss</v>
      </c>
      <c r="B22" s="86">
        <v>15308.561</v>
      </c>
      <c r="C22" s="86">
        <v>16060.628000000001</v>
      </c>
      <c r="D22" s="86">
        <v>17272.64</v>
      </c>
      <c r="E22" s="86">
        <v>18417.111000000001</v>
      </c>
      <c r="F22" s="86">
        <v>19837.255000000001</v>
      </c>
      <c r="G22" s="86">
        <v>0</v>
      </c>
      <c r="H22" s="86">
        <v>0</v>
      </c>
      <c r="I22" s="86">
        <v>0</v>
      </c>
      <c r="O22" s="75"/>
      <c r="P22" s="75"/>
      <c r="Q22" s="75"/>
      <c r="R22" s="75"/>
    </row>
    <row r="23" spans="1:19" s="7" customFormat="1">
      <c r="A23" s="17" t="str">
        <f>HLOOKUP(INDICE!$F$2,Nombres!$C$3:$D$636,143,FALSE)</f>
        <v>Financial liabilities at amortized cost</v>
      </c>
      <c r="B23" s="86">
        <v>594751.58900000004</v>
      </c>
      <c r="C23" s="86">
        <v>588468.76800000004</v>
      </c>
      <c r="D23" s="86">
        <v>617648.68599999999</v>
      </c>
      <c r="E23" s="86">
        <v>658599.08200000005</v>
      </c>
      <c r="F23" s="86">
        <v>671801.13500000001</v>
      </c>
      <c r="G23" s="86">
        <v>0</v>
      </c>
      <c r="H23" s="86">
        <v>0</v>
      </c>
      <c r="I23" s="86">
        <v>0</v>
      </c>
      <c r="O23" s="75"/>
      <c r="P23" s="75"/>
      <c r="Q23" s="75"/>
      <c r="R23" s="75"/>
    </row>
    <row r="24" spans="1:19">
      <c r="A24" s="88" t="str">
        <f>HLOOKUP(INDICE!$F$2,Nombres!$C$3:$D$636,60,FALSE)</f>
        <v>Deposits from central banks and credit institutions</v>
      </c>
      <c r="B24" s="86">
        <v>47455.330999999998</v>
      </c>
      <c r="C24" s="86">
        <v>49913.351000000002</v>
      </c>
      <c r="D24" s="86">
        <v>49175.534999999996</v>
      </c>
      <c r="E24" s="86">
        <v>53997.210000000006</v>
      </c>
      <c r="F24" s="86">
        <v>56099.171000000002</v>
      </c>
      <c r="G24" s="86">
        <v>0</v>
      </c>
      <c r="H24" s="86">
        <v>0</v>
      </c>
      <c r="I24" s="86">
        <v>0</v>
      </c>
      <c r="O24" s="75"/>
      <c r="P24" s="75"/>
      <c r="Q24" s="75"/>
      <c r="R24" s="75"/>
    </row>
    <row r="25" spans="1:19" ht="15.75" customHeight="1">
      <c r="A25" s="88" t="str">
        <f>HLOOKUP(INDICE!$F$2,Nombres!$C$3:$D$636,61,FALSE)</f>
        <v>Deposits from customers</v>
      </c>
      <c r="B25" s="86">
        <v>455707.55300000001</v>
      </c>
      <c r="C25" s="86">
        <v>448017.88099999999</v>
      </c>
      <c r="D25" s="86">
        <v>471363.91600000003</v>
      </c>
      <c r="E25" s="86">
        <v>502501.114</v>
      </c>
      <c r="F25" s="86">
        <v>505058.53</v>
      </c>
      <c r="G25" s="86">
        <v>0</v>
      </c>
      <c r="H25" s="86">
        <v>0</v>
      </c>
      <c r="I25" s="86">
        <v>0</v>
      </c>
      <c r="O25" s="75"/>
      <c r="P25" s="75"/>
      <c r="Q25" s="75"/>
      <c r="R25" s="75"/>
    </row>
    <row r="26" spans="1:19">
      <c r="A26" s="88" t="str">
        <f>HLOOKUP(INDICE!$F$2,Nombres!$C$3:$D$636,62,FALSE)</f>
        <v>Debt certificates</v>
      </c>
      <c r="B26" s="86">
        <v>71987.311000000002</v>
      </c>
      <c r="C26" s="86">
        <v>71802.02</v>
      </c>
      <c r="D26" s="86">
        <v>77427.89</v>
      </c>
      <c r="E26" s="86">
        <v>81842.467000000004</v>
      </c>
      <c r="F26" s="86">
        <v>87563.854999999996</v>
      </c>
      <c r="G26" s="86">
        <v>0</v>
      </c>
      <c r="H26" s="86">
        <v>0</v>
      </c>
      <c r="I26" s="86">
        <v>0</v>
      </c>
      <c r="O26" s="75"/>
      <c r="P26" s="75"/>
      <c r="Q26" s="75"/>
      <c r="R26" s="75"/>
    </row>
    <row r="27" spans="1:19">
      <c r="A27" s="88" t="str">
        <f>HLOOKUP(INDICE!$F$2,Nombres!$C$3:$D$636,144,FALSE)</f>
        <v>. Other financial liabilities</v>
      </c>
      <c r="B27" s="86">
        <v>19601.394</v>
      </c>
      <c r="C27" s="86">
        <v>18735.516</v>
      </c>
      <c r="D27" s="86">
        <v>19681.345000000001</v>
      </c>
      <c r="E27" s="86">
        <v>20258.291000000001</v>
      </c>
      <c r="F27" s="86">
        <v>23079.579000000002</v>
      </c>
      <c r="G27" s="86">
        <v>0</v>
      </c>
      <c r="H27" s="86">
        <v>0</v>
      </c>
      <c r="I27" s="86">
        <v>0</v>
      </c>
      <c r="O27" s="75"/>
      <c r="P27" s="75"/>
      <c r="Q27" s="75"/>
      <c r="R27" s="75"/>
    </row>
    <row r="28" spans="1:19">
      <c r="A28" s="17" t="str">
        <f>HLOOKUP(INDICE!$F$2,Nombres!$C$3:$D$636,145,FALSE)</f>
        <v>Liabilities under insurance and reinsurance contracts</v>
      </c>
      <c r="B28" s="86">
        <v>11391.796</v>
      </c>
      <c r="C28" s="86">
        <v>11526.956</v>
      </c>
      <c r="D28" s="86">
        <v>12303.116</v>
      </c>
      <c r="E28" s="86">
        <v>12759.891</v>
      </c>
      <c r="F28" s="86">
        <v>12826.925999999999</v>
      </c>
      <c r="G28" s="86">
        <v>0</v>
      </c>
      <c r="H28" s="86">
        <v>0</v>
      </c>
      <c r="I28" s="86">
        <v>0</v>
      </c>
      <c r="O28" s="75"/>
      <c r="P28" s="75"/>
      <c r="Q28" s="75"/>
      <c r="R28" s="75"/>
    </row>
    <row r="29" spans="1:19">
      <c r="A29" s="17" t="str">
        <f>HLOOKUP(INDICE!$F$2,Nombres!$C$3:$D$636,63,FALSE)</f>
        <v>Other liabilities</v>
      </c>
      <c r="B29" s="86">
        <v>15900.875</v>
      </c>
      <c r="C29" s="86">
        <v>17036.216000000004</v>
      </c>
      <c r="D29" s="86">
        <v>17271.326000000001</v>
      </c>
      <c r="E29" s="86">
        <v>16084.397999999999</v>
      </c>
      <c r="F29" s="86">
        <v>20718.591</v>
      </c>
      <c r="G29" s="86">
        <v>0</v>
      </c>
      <c r="H29" s="86">
        <v>0</v>
      </c>
      <c r="I29" s="86">
        <v>0</v>
      </c>
      <c r="O29" s="75"/>
      <c r="P29" s="75"/>
      <c r="Q29" s="75"/>
      <c r="R29" s="75"/>
    </row>
    <row r="30" spans="1:19">
      <c r="A30" s="25" t="str">
        <f>HLOOKUP(INDICE!$F$2,Nombres!$C$3:$D$636,146,FALSE)</f>
        <v>Total liabilities</v>
      </c>
      <c r="B30" s="91">
        <f t="shared" ref="B30:I30" si="1">+SUM(B21:B23,B28:B29)</f>
        <v>713599.04800000007</v>
      </c>
      <c r="C30" s="91">
        <f t="shared" si="1"/>
        <v>716087.76800000004</v>
      </c>
      <c r="D30" s="91">
        <f t="shared" si="1"/>
        <v>751253.32700000005</v>
      </c>
      <c r="E30" s="91">
        <f t="shared" si="1"/>
        <v>797777.59900000005</v>
      </c>
      <c r="F30" s="91">
        <f t="shared" si="1"/>
        <v>833463.30799999996</v>
      </c>
      <c r="G30" s="91">
        <f t="shared" si="1"/>
        <v>0</v>
      </c>
      <c r="H30" s="91">
        <f t="shared" si="1"/>
        <v>0</v>
      </c>
      <c r="I30" s="91">
        <f t="shared" si="1"/>
        <v>0</v>
      </c>
      <c r="O30" s="75"/>
      <c r="P30" s="75"/>
      <c r="Q30" s="75"/>
      <c r="R30" s="75"/>
    </row>
    <row r="31" spans="1:19" ht="3.75" customHeight="1">
      <c r="A31" s="25"/>
      <c r="B31" s="91"/>
      <c r="C31" s="91"/>
      <c r="D31" s="91"/>
      <c r="E31" s="91"/>
      <c r="F31" s="91"/>
      <c r="G31" s="91"/>
      <c r="H31" s="91"/>
      <c r="I31" s="91"/>
      <c r="O31" s="75"/>
      <c r="P31" s="75"/>
      <c r="Q31" s="75"/>
      <c r="R31" s="75"/>
    </row>
    <row r="32" spans="1:19" ht="14.25" customHeight="1">
      <c r="A32" s="17" t="str">
        <f>HLOOKUP(INDICE!$F$2,Nombres!$C$3:$D$636,147,FALSE)</f>
        <v>Non-controlling interests</v>
      </c>
      <c r="B32" s="86">
        <v>4187.04</v>
      </c>
      <c r="C32" s="86">
        <v>4058.9580000000001</v>
      </c>
      <c r="D32" s="86">
        <v>4164.692</v>
      </c>
      <c r="E32" s="86">
        <v>4441.1710000000003</v>
      </c>
      <c r="F32" s="86">
        <v>4533.9669999999996</v>
      </c>
      <c r="G32" s="86">
        <v>0</v>
      </c>
      <c r="H32" s="86">
        <v>0</v>
      </c>
      <c r="I32" s="86">
        <v>0</v>
      </c>
      <c r="O32" s="75"/>
      <c r="P32" s="75"/>
      <c r="Q32" s="75"/>
      <c r="R32" s="75"/>
    </row>
    <row r="33" spans="1:18">
      <c r="A33" s="17" t="str">
        <f>HLOOKUP(INDICE!$F$2,Nombres!$C$3:$D$636,148,FALSE)</f>
        <v>Accumulated other comprehensive income</v>
      </c>
      <c r="B33" s="86">
        <v>-17948.466</v>
      </c>
      <c r="C33" s="86">
        <v>-18896.184000000001</v>
      </c>
      <c r="D33" s="86">
        <v>-18674.261999999999</v>
      </c>
      <c r="E33" s="86">
        <v>-18871.414000000001</v>
      </c>
      <c r="F33" s="86">
        <v>-18533.248</v>
      </c>
      <c r="G33" s="86">
        <v>0</v>
      </c>
      <c r="H33" s="86">
        <v>0</v>
      </c>
      <c r="I33" s="86">
        <v>0</v>
      </c>
      <c r="O33" s="75"/>
      <c r="P33" s="75"/>
      <c r="Q33" s="75"/>
      <c r="R33" s="75"/>
    </row>
    <row r="34" spans="1:18">
      <c r="A34" s="17" t="str">
        <f>HLOOKUP(INDICE!$F$2,Nombres!$C$3:$D$636,149,FALSE)</f>
        <v>Shareholders' funds</v>
      </c>
      <c r="B34" s="86">
        <v>73025.142999999996</v>
      </c>
      <c r="C34" s="86">
        <v>75723.860000000015</v>
      </c>
      <c r="D34" s="86">
        <v>76318.922999999995</v>
      </c>
      <c r="E34" s="86">
        <v>76228.244000000006</v>
      </c>
      <c r="F34" s="86">
        <v>74803.025999999998</v>
      </c>
      <c r="G34" s="86">
        <v>0</v>
      </c>
      <c r="H34" s="86">
        <v>0</v>
      </c>
      <c r="I34" s="86">
        <v>0</v>
      </c>
      <c r="O34" s="75"/>
      <c r="P34" s="75"/>
      <c r="Q34" s="75"/>
      <c r="R34" s="75"/>
    </row>
    <row r="35" spans="1:18">
      <c r="A35" s="25" t="str">
        <f>HLOOKUP(INDICE!$F$2,Nombres!$C$3:$D$636,150,FALSE)</f>
        <v>Total equity</v>
      </c>
      <c r="B35" s="91">
        <f t="shared" ref="B35:I35" si="2">+B32+B33+B34</f>
        <v>59263.716999999997</v>
      </c>
      <c r="C35" s="91">
        <f t="shared" si="2"/>
        <v>60886.634000000013</v>
      </c>
      <c r="D35" s="91">
        <f t="shared" si="2"/>
        <v>61809.352999999996</v>
      </c>
      <c r="E35" s="91">
        <f t="shared" si="2"/>
        <v>61798.001000000004</v>
      </c>
      <c r="F35" s="91">
        <f t="shared" si="2"/>
        <v>60803.744999999995</v>
      </c>
      <c r="G35" s="91">
        <f t="shared" si="2"/>
        <v>0</v>
      </c>
      <c r="H35" s="91">
        <f t="shared" si="2"/>
        <v>0</v>
      </c>
      <c r="I35" s="91">
        <f t="shared" si="2"/>
        <v>0</v>
      </c>
      <c r="O35" s="75"/>
      <c r="P35" s="75"/>
      <c r="Q35" s="75"/>
      <c r="R35" s="75"/>
    </row>
    <row r="36" spans="1:18" ht="5.25" customHeight="1">
      <c r="A36" s="17"/>
      <c r="B36" s="86"/>
      <c r="C36" s="86"/>
      <c r="D36" s="86"/>
      <c r="E36" s="86"/>
      <c r="F36" s="86"/>
      <c r="G36" s="86"/>
      <c r="H36" s="86"/>
      <c r="I36" s="86"/>
      <c r="O36" s="75"/>
      <c r="P36" s="75"/>
      <c r="Q36" s="75"/>
      <c r="R36" s="75"/>
    </row>
    <row r="37" spans="1:18">
      <c r="A37" s="19" t="str">
        <f>HLOOKUP(INDICE!$F$2,Nombres!$C$3:$D$636,151,FALSE)</f>
        <v>Total equity and liabilities</v>
      </c>
      <c r="B37" s="19">
        <f>+B20</f>
        <v>772862.76500000001</v>
      </c>
      <c r="C37" s="19">
        <f t="shared" ref="C37:I37" si="3">+C20</f>
        <v>776974.40199999989</v>
      </c>
      <c r="D37" s="19">
        <f t="shared" si="3"/>
        <v>813062.68</v>
      </c>
      <c r="E37" s="19">
        <f t="shared" si="3"/>
        <v>859575.59999999986</v>
      </c>
      <c r="F37" s="19">
        <f t="shared" si="3"/>
        <v>894267.05300000007</v>
      </c>
      <c r="G37" s="19">
        <f t="shared" si="3"/>
        <v>0</v>
      </c>
      <c r="H37" s="19">
        <f t="shared" si="3"/>
        <v>0</v>
      </c>
      <c r="I37" s="19">
        <f t="shared" si="3"/>
        <v>0</v>
      </c>
      <c r="O37" s="75"/>
      <c r="P37" s="75"/>
      <c r="Q37" s="75"/>
      <c r="R37" s="75"/>
    </row>
    <row r="38" spans="1:18">
      <c r="A38" s="17"/>
      <c r="B38" s="92">
        <f t="shared" ref="B38:I38" si="4">+B37-B20</f>
        <v>0</v>
      </c>
      <c r="C38" s="92">
        <f t="shared" si="4"/>
        <v>0</v>
      </c>
      <c r="D38" s="92">
        <f t="shared" si="4"/>
        <v>0</v>
      </c>
      <c r="E38" s="92">
        <f t="shared" si="4"/>
        <v>0</v>
      </c>
      <c r="F38" s="92">
        <f t="shared" si="4"/>
        <v>0</v>
      </c>
      <c r="G38" s="92">
        <f t="shared" si="4"/>
        <v>0</v>
      </c>
      <c r="H38" s="92">
        <f t="shared" si="4"/>
        <v>0</v>
      </c>
      <c r="I38" s="92">
        <f t="shared" si="4"/>
        <v>0</v>
      </c>
    </row>
    <row r="39" spans="1:18">
      <c r="A39" s="17"/>
      <c r="B39" s="92">
        <f t="shared" ref="B39:I39" si="5">+B6+B7+B8+B9+B10+B11+B16+B17+B18+B19-B20</f>
        <v>0</v>
      </c>
      <c r="C39" s="92">
        <f t="shared" si="5"/>
        <v>0</v>
      </c>
      <c r="D39" s="92">
        <f t="shared" si="5"/>
        <v>0</v>
      </c>
      <c r="E39" s="92">
        <f t="shared" si="5"/>
        <v>0</v>
      </c>
      <c r="F39" s="92">
        <f t="shared" si="5"/>
        <v>0</v>
      </c>
      <c r="G39" s="92">
        <f t="shared" si="5"/>
        <v>0</v>
      </c>
      <c r="H39" s="92">
        <f t="shared" si="5"/>
        <v>0</v>
      </c>
      <c r="I39" s="92">
        <f t="shared" si="5"/>
        <v>0</v>
      </c>
    </row>
    <row r="40" spans="1:18" ht="49.5" customHeight="1">
      <c r="A40" s="300"/>
      <c r="B40" s="300"/>
      <c r="C40" s="300"/>
      <c r="D40" s="300"/>
      <c r="E40" s="300"/>
      <c r="F40" s="300"/>
      <c r="G40" s="300"/>
      <c r="H40" s="300"/>
      <c r="I40" s="300"/>
    </row>
    <row r="41" spans="1:18">
      <c r="A41" s="93"/>
      <c r="B41" s="86"/>
      <c r="C41" s="86"/>
      <c r="D41" s="86"/>
      <c r="E41" s="86"/>
      <c r="F41" s="86"/>
      <c r="G41" s="86"/>
      <c r="H41" s="86"/>
      <c r="I41" s="86"/>
    </row>
    <row r="42" spans="1:18">
      <c r="A42" s="17"/>
      <c r="B42" s="86"/>
      <c r="C42" s="86"/>
      <c r="D42" s="86"/>
      <c r="E42" s="86"/>
      <c r="F42" s="86"/>
      <c r="G42" s="86"/>
      <c r="H42" s="86"/>
      <c r="I42" s="86"/>
    </row>
    <row r="43" spans="1:18">
      <c r="A43" s="93"/>
      <c r="B43" s="94">
        <v>0</v>
      </c>
      <c r="C43" s="94">
        <v>0</v>
      </c>
      <c r="D43" s="94">
        <v>0</v>
      </c>
      <c r="E43" s="94">
        <v>0</v>
      </c>
      <c r="F43" s="94">
        <v>0</v>
      </c>
      <c r="G43" s="94">
        <v>0</v>
      </c>
      <c r="H43" s="94">
        <v>0</v>
      </c>
      <c r="I43" s="94">
        <v>0</v>
      </c>
    </row>
    <row r="44" spans="1:18">
      <c r="B44" s="75"/>
    </row>
    <row r="46" spans="1:18">
      <c r="B46" s="75"/>
    </row>
    <row r="1000" spans="1:1">
      <c r="A1000" s="63" t="s">
        <v>555</v>
      </c>
    </row>
  </sheetData>
  <mergeCells count="1">
    <mergeCell ref="A40:I40"/>
  </mergeCells>
  <conditionalFormatting sqref="B38:I38">
    <cfRule type="cellIs" dxfId="44" priority="2" operator="notBetween">
      <formula>0.001</formula>
      <formula>-0.001</formula>
    </cfRule>
  </conditionalFormatting>
  <conditionalFormatting sqref="B39:I39">
    <cfRule type="cellIs" dxfId="43" priority="6" operator="notBetween">
      <formula>0.5</formula>
      <formula>-0.5</formula>
    </cfRule>
  </conditionalFormatting>
  <conditionalFormatting sqref="B43:I43">
    <cfRule type="cellIs" dxfId="42" priority="1" operator="notBetween">
      <formula>0.1</formula>
      <formula>-0.1</formula>
    </cfRule>
  </conditionalFormatting>
  <pageMargins left="0.7" right="0.7" top="0.75" bottom="0.75" header="0.3" footer="0.3"/>
  <pageSetup paperSize="9" scale="2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R1002"/>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18" ht="17">
      <c r="A1" s="61" t="str">
        <f>HLOOKUP(INDICE!$F$2,Nombres!$C$3:$D$636,7,FALSE)</f>
        <v>Spain</v>
      </c>
      <c r="B1" s="62"/>
      <c r="C1" s="62"/>
      <c r="D1" s="62"/>
      <c r="E1" s="62"/>
      <c r="F1" s="62"/>
      <c r="G1" s="62"/>
      <c r="H1" s="62"/>
      <c r="I1" s="62"/>
    </row>
    <row r="2" spans="1:18" ht="19.5">
      <c r="A2" s="64"/>
      <c r="B2" s="62"/>
      <c r="C2" s="62"/>
      <c r="D2" s="62"/>
      <c r="E2" s="62"/>
      <c r="F2" s="62"/>
      <c r="G2" s="62"/>
      <c r="H2" s="62"/>
      <c r="I2" s="62"/>
    </row>
    <row r="3" spans="1:18" ht="17">
      <c r="A3" s="65" t="str">
        <f>HLOOKUP(INDICE!$F$2,Nombres!$C$3:$D$636,31,FALSE)</f>
        <v xml:space="preserve">Income statement  </v>
      </c>
      <c r="B3" s="66"/>
      <c r="C3" s="66"/>
      <c r="D3" s="66"/>
      <c r="E3" s="66"/>
      <c r="F3" s="66"/>
      <c r="G3" s="66"/>
      <c r="H3" s="66"/>
      <c r="I3" s="66"/>
    </row>
    <row r="4" spans="1:18">
      <c r="A4" s="67" t="str">
        <f>HLOOKUP(INDICE!$F$2,Nombres!$C$3:$D$636,32,FALSE)</f>
        <v>(Million euros)</v>
      </c>
      <c r="B4" s="62"/>
      <c r="C4" s="68"/>
      <c r="D4" s="68"/>
      <c r="E4" s="68"/>
      <c r="F4" s="62"/>
      <c r="G4" s="62"/>
      <c r="H4" s="62"/>
      <c r="I4" s="62"/>
    </row>
    <row r="5" spans="1:18">
      <c r="A5" s="69"/>
      <c r="B5" s="62"/>
      <c r="C5" s="68"/>
      <c r="D5" s="68"/>
      <c r="E5" s="68"/>
      <c r="F5" s="62"/>
      <c r="G5" s="62"/>
      <c r="H5" s="62"/>
      <c r="I5" s="62"/>
    </row>
    <row r="6" spans="1:18">
      <c r="A6" s="70"/>
      <c r="B6" s="301">
        <v>2025</v>
      </c>
      <c r="C6" s="301"/>
      <c r="D6" s="301"/>
      <c r="E6" s="302"/>
      <c r="F6" s="301">
        <v>2026</v>
      </c>
      <c r="G6" s="301"/>
      <c r="H6" s="301"/>
      <c r="I6" s="301"/>
    </row>
    <row r="7" spans="1:18">
      <c r="A7" s="70"/>
      <c r="B7" s="71" t="str">
        <f>HLOOKUP(INDICE!$F$2,Nombres!$C$3:$D$636,167,FALSE)</f>
        <v>1Q</v>
      </c>
      <c r="C7" s="71" t="str">
        <f>HLOOKUP(INDICE!$F$2,Nombres!$C$3:$D$636,168,FALSE)</f>
        <v>2Q</v>
      </c>
      <c r="D7" s="71" t="str">
        <f>HLOOKUP(INDICE!$F$2,Nombres!$C$3:$D$636,169,FALSE)</f>
        <v>3Q</v>
      </c>
      <c r="E7" s="72" t="str">
        <f>HLOOKUP(INDICE!$F$2,Nombres!$C$3:$D$636,170,FALSE)</f>
        <v>4Q</v>
      </c>
      <c r="F7" s="71" t="str">
        <f>HLOOKUP(INDICE!$F$2,Nombres!$C$3:$D$636,167,FALSE)</f>
        <v>1Q</v>
      </c>
      <c r="G7" s="71" t="str">
        <f>HLOOKUP(INDICE!$F$2,Nombres!$C$3:$D$636,168,FALSE)</f>
        <v>2Q</v>
      </c>
      <c r="H7" s="71" t="str">
        <f>HLOOKUP(INDICE!$F$2,Nombres!$C$3:$D$636,169,FALSE)</f>
        <v>3Q</v>
      </c>
      <c r="I7" s="71" t="str">
        <f>HLOOKUP(INDICE!$F$2,Nombres!$C$3:$D$636,170,FALSE)</f>
        <v>4Q</v>
      </c>
    </row>
    <row r="8" spans="1:18">
      <c r="A8" s="25" t="str">
        <f>HLOOKUP(INDICE!$F$2,Nombres!$C$3:$D$636,33,FALSE)</f>
        <v>Net interest income</v>
      </c>
      <c r="B8" s="25">
        <v>1598.226830180417</v>
      </c>
      <c r="C8" s="25">
        <v>1617.0482411475143</v>
      </c>
      <c r="D8" s="25">
        <v>1670.7784655641417</v>
      </c>
      <c r="E8" s="73">
        <v>1676.9222936529536</v>
      </c>
      <c r="F8" s="74">
        <v>1656.2511925473168</v>
      </c>
      <c r="G8" s="74">
        <v>0</v>
      </c>
      <c r="H8" s="74">
        <v>0</v>
      </c>
      <c r="I8" s="74">
        <v>0</v>
      </c>
      <c r="P8" s="75"/>
      <c r="Q8" s="75"/>
      <c r="R8" s="76"/>
    </row>
    <row r="9" spans="1:18">
      <c r="A9" s="17" t="str">
        <f>HLOOKUP(INDICE!$F$2,Nombres!$C$3:$D$636,34,FALSE)</f>
        <v>Net fees and commissions</v>
      </c>
      <c r="B9" s="77">
        <v>584.26139821300046</v>
      </c>
      <c r="C9" s="77">
        <v>584.1287886599996</v>
      </c>
      <c r="D9" s="77">
        <v>562.15158411099867</v>
      </c>
      <c r="E9" s="78">
        <v>619.61142619000555</v>
      </c>
      <c r="F9" s="77">
        <v>604.73832439200044</v>
      </c>
      <c r="G9" s="77">
        <v>0</v>
      </c>
      <c r="H9" s="77">
        <v>0</v>
      </c>
      <c r="I9" s="77">
        <v>0</v>
      </c>
      <c r="P9" s="75"/>
      <c r="Q9" s="75"/>
      <c r="R9" s="76"/>
    </row>
    <row r="10" spans="1:18">
      <c r="A10" s="17" t="str">
        <f>HLOOKUP(INDICE!$F$2,Nombres!$C$3:$D$636,35,FALSE)</f>
        <v>Net trading income</v>
      </c>
      <c r="B10" s="77">
        <v>245.84135167400001</v>
      </c>
      <c r="C10" s="77">
        <v>151.20153411500004</v>
      </c>
      <c r="D10" s="77">
        <v>134.09040443399957</v>
      </c>
      <c r="E10" s="78">
        <v>185.31278308300011</v>
      </c>
      <c r="F10" s="77">
        <v>295.07005612000006</v>
      </c>
      <c r="G10" s="77">
        <v>0</v>
      </c>
      <c r="H10" s="77">
        <v>0</v>
      </c>
      <c r="I10" s="77">
        <v>0</v>
      </c>
      <c r="P10" s="75"/>
      <c r="Q10" s="75"/>
      <c r="R10" s="76"/>
    </row>
    <row r="11" spans="1:18">
      <c r="A11" s="17" t="str">
        <f>HLOOKUP(INDICE!$F$2,Nombres!$C$3:$D$636,36,FALSE)</f>
        <v>Other operating income and expenses</v>
      </c>
      <c r="B11" s="77">
        <v>89.440456089999998</v>
      </c>
      <c r="C11" s="77">
        <v>119.96945792</v>
      </c>
      <c r="D11" s="77">
        <v>79.345278270000037</v>
      </c>
      <c r="E11" s="78">
        <v>62.256979270000166</v>
      </c>
      <c r="F11" s="77">
        <v>96.993733569999947</v>
      </c>
      <c r="G11" s="77">
        <v>0</v>
      </c>
      <c r="H11" s="77">
        <v>0</v>
      </c>
      <c r="I11" s="77">
        <v>0</v>
      </c>
      <c r="P11" s="75"/>
      <c r="Q11" s="75"/>
      <c r="R11" s="76"/>
    </row>
    <row r="12" spans="1:18">
      <c r="A12" s="25" t="str">
        <f>HLOOKUP(INDICE!$F$2,Nombres!$C$3:$D$636,37,FALSE)</f>
        <v>Gross income</v>
      </c>
      <c r="B12" s="25">
        <f>+SUM(B8:B11)</f>
        <v>2517.770036157418</v>
      </c>
      <c r="C12" s="25">
        <f t="shared" ref="C12:I12" si="0">+SUM(C8:C11)</f>
        <v>2472.3480218425138</v>
      </c>
      <c r="D12" s="25">
        <f t="shared" si="0"/>
        <v>2446.3657323791399</v>
      </c>
      <c r="E12" s="73">
        <f t="shared" si="0"/>
        <v>2544.1034821959597</v>
      </c>
      <c r="F12" s="74">
        <f t="shared" si="0"/>
        <v>2653.0533066293174</v>
      </c>
      <c r="G12" s="74">
        <f t="shared" si="0"/>
        <v>0</v>
      </c>
      <c r="H12" s="74">
        <f t="shared" si="0"/>
        <v>0</v>
      </c>
      <c r="I12" s="74">
        <f t="shared" si="0"/>
        <v>0</v>
      </c>
      <c r="P12" s="75"/>
      <c r="Q12" s="75"/>
      <c r="R12" s="76"/>
    </row>
    <row r="13" spans="1:18">
      <c r="A13" s="17" t="str">
        <f>HLOOKUP(INDICE!$F$2,Nombres!$C$3:$D$636,38,FALSE)</f>
        <v>Operating expenses</v>
      </c>
      <c r="B13" s="77">
        <v>-815.16273259042202</v>
      </c>
      <c r="C13" s="77">
        <v>-753.02387178160768</v>
      </c>
      <c r="D13" s="77">
        <v>-849.31482986215497</v>
      </c>
      <c r="E13" s="78">
        <v>-902.08153181936689</v>
      </c>
      <c r="F13" s="77">
        <v>-893.84749418167985</v>
      </c>
      <c r="G13" s="77">
        <v>0</v>
      </c>
      <c r="H13" s="77">
        <v>0</v>
      </c>
      <c r="I13" s="77">
        <v>0</v>
      </c>
      <c r="P13" s="75"/>
      <c r="Q13" s="75"/>
      <c r="R13" s="76"/>
    </row>
    <row r="14" spans="1:18">
      <c r="A14" s="17" t="str">
        <f>HLOOKUP(INDICE!$F$2,Nombres!$C$3:$D$636,39,FALSE)</f>
        <v xml:space="preserve">  Administration expenses</v>
      </c>
      <c r="B14" s="77">
        <v>-722.354062000422</v>
      </c>
      <c r="C14" s="77">
        <v>-658.49624504160761</v>
      </c>
      <c r="D14" s="77">
        <v>-751.243722592155</v>
      </c>
      <c r="E14" s="78">
        <v>-801.26813021936698</v>
      </c>
      <c r="F14" s="77">
        <v>-791.57411874167985</v>
      </c>
      <c r="G14" s="77">
        <v>0</v>
      </c>
      <c r="H14" s="77">
        <v>0</v>
      </c>
      <c r="I14" s="77">
        <v>0</v>
      </c>
      <c r="P14" s="75"/>
      <c r="Q14" s="75"/>
      <c r="R14" s="76"/>
    </row>
    <row r="15" spans="1:18">
      <c r="A15" s="79" t="str">
        <f>HLOOKUP(INDICE!$F$2,Nombres!$C$3:$D$636,40,FALSE)</f>
        <v xml:space="preserve">  Personnel expenses</v>
      </c>
      <c r="B15" s="77">
        <v>-430.71482744000014</v>
      </c>
      <c r="C15" s="77">
        <v>-437.84947994000055</v>
      </c>
      <c r="D15" s="77">
        <v>-443.85561998999935</v>
      </c>
      <c r="E15" s="78">
        <v>-541.75158836000003</v>
      </c>
      <c r="F15" s="77">
        <v>-494.52724292999994</v>
      </c>
      <c r="G15" s="77">
        <v>0</v>
      </c>
      <c r="H15" s="77">
        <v>0</v>
      </c>
      <c r="I15" s="77">
        <v>0</v>
      </c>
      <c r="P15" s="75"/>
      <c r="Q15" s="75"/>
      <c r="R15" s="76"/>
    </row>
    <row r="16" spans="1:18">
      <c r="A16" s="79" t="str">
        <f>HLOOKUP(INDICE!$F$2,Nombres!$C$3:$D$636,41,FALSE)</f>
        <v xml:space="preserve">  General and administrative expenses</v>
      </c>
      <c r="B16" s="77">
        <v>-291.63923456042193</v>
      </c>
      <c r="C16" s="77">
        <v>-220.64676510160709</v>
      </c>
      <c r="D16" s="77">
        <v>-307.3881026021557</v>
      </c>
      <c r="E16" s="78">
        <v>-259.51654185936707</v>
      </c>
      <c r="F16" s="77">
        <v>-297.04687581167997</v>
      </c>
      <c r="G16" s="77">
        <v>0</v>
      </c>
      <c r="H16" s="77">
        <v>0</v>
      </c>
      <c r="I16" s="77">
        <v>0</v>
      </c>
      <c r="P16" s="75"/>
      <c r="Q16" s="75"/>
      <c r="R16" s="76"/>
    </row>
    <row r="17" spans="1:18">
      <c r="A17" s="17" t="str">
        <f>HLOOKUP(INDICE!$F$2,Nombres!$C$3:$D$636,42,FALSE)</f>
        <v xml:space="preserve">  Depreciation</v>
      </c>
      <c r="B17" s="77">
        <v>-92.808670589999991</v>
      </c>
      <c r="C17" s="77">
        <v>-94.527626740000017</v>
      </c>
      <c r="D17" s="77">
        <v>-98.071107269999985</v>
      </c>
      <c r="E17" s="78">
        <v>-100.81340159999991</v>
      </c>
      <c r="F17" s="77">
        <v>-102.27337543999998</v>
      </c>
      <c r="G17" s="77">
        <v>0</v>
      </c>
      <c r="H17" s="77">
        <v>0</v>
      </c>
      <c r="I17" s="77">
        <v>0</v>
      </c>
    </row>
    <row r="18" spans="1:18">
      <c r="A18" s="25" t="str">
        <f>HLOOKUP(INDICE!$F$2,Nombres!$C$3:$D$636,43,FALSE)</f>
        <v>Operating income</v>
      </c>
      <c r="B18" s="25">
        <f>+B12+B13</f>
        <v>1702.6073035669961</v>
      </c>
      <c r="C18" s="25">
        <f t="shared" ref="C18:I18" si="1">+C12+C13</f>
        <v>1719.324150060906</v>
      </c>
      <c r="D18" s="25">
        <f t="shared" si="1"/>
        <v>1597.0509025169849</v>
      </c>
      <c r="E18" s="73">
        <f t="shared" si="1"/>
        <v>1642.0219503765929</v>
      </c>
      <c r="F18" s="74">
        <f t="shared" si="1"/>
        <v>1759.2058124476375</v>
      </c>
      <c r="G18" s="74">
        <f t="shared" si="1"/>
        <v>0</v>
      </c>
      <c r="H18" s="74">
        <f t="shared" si="1"/>
        <v>0</v>
      </c>
      <c r="I18" s="74">
        <f t="shared" si="1"/>
        <v>0</v>
      </c>
      <c r="P18" s="75"/>
      <c r="Q18" s="75"/>
      <c r="R18" s="76"/>
    </row>
    <row r="19" spans="1:18">
      <c r="A19" s="17" t="str">
        <f>HLOOKUP(INDICE!$F$2,Nombres!$C$3:$D$636,44,FALSE)</f>
        <v>Impaiment on financial assets not measured at fair value through profit or loss</v>
      </c>
      <c r="B19" s="77">
        <v>-138.51014453999969</v>
      </c>
      <c r="C19" s="77">
        <v>-162.93590293599968</v>
      </c>
      <c r="D19" s="77">
        <v>-176.22604760000112</v>
      </c>
      <c r="E19" s="78">
        <v>-171.69770045999931</v>
      </c>
      <c r="F19" s="77">
        <v>-165.41929041000006</v>
      </c>
      <c r="G19" s="77">
        <v>0</v>
      </c>
      <c r="H19" s="77">
        <v>0</v>
      </c>
      <c r="I19" s="77">
        <v>0</v>
      </c>
      <c r="P19" s="75"/>
      <c r="Q19" s="75"/>
      <c r="R19" s="76"/>
    </row>
    <row r="20" spans="1:18">
      <c r="A20" s="17" t="str">
        <f>HLOOKUP(INDICE!$F$2,Nombres!$C$3:$D$636,45,FALSE)</f>
        <v>Provisions or reversal of provisions and other results</v>
      </c>
      <c r="B20" s="77">
        <v>-25.692821479999985</v>
      </c>
      <c r="C20" s="77">
        <v>-14.397190210999998</v>
      </c>
      <c r="D20" s="77">
        <v>-12.887929400000019</v>
      </c>
      <c r="E20" s="78">
        <v>-68.493685442</v>
      </c>
      <c r="F20" s="77">
        <v>-18.471528170000003</v>
      </c>
      <c r="G20" s="77">
        <v>0</v>
      </c>
      <c r="H20" s="77">
        <v>0</v>
      </c>
      <c r="I20" s="77">
        <v>0</v>
      </c>
      <c r="P20" s="75"/>
      <c r="Q20" s="75"/>
      <c r="R20" s="76"/>
    </row>
    <row r="21" spans="1:18">
      <c r="A21" s="25" t="str">
        <f>HLOOKUP(INDICE!$F$2,Nombres!$C$3:$D$636,46,FALSE)</f>
        <v>Profit/(loss) before tax</v>
      </c>
      <c r="B21" s="25">
        <f>+B18+B19+B20</f>
        <v>1538.4043375469964</v>
      </c>
      <c r="C21" s="25">
        <f t="shared" ref="C21:I21" si="2">+C18+C19+C20</f>
        <v>1541.9910569139065</v>
      </c>
      <c r="D21" s="25">
        <f t="shared" si="2"/>
        <v>1407.9369255169838</v>
      </c>
      <c r="E21" s="73">
        <f t="shared" si="2"/>
        <v>1401.8305644745935</v>
      </c>
      <c r="F21" s="74">
        <f t="shared" si="2"/>
        <v>1575.3149938676374</v>
      </c>
      <c r="G21" s="74">
        <f t="shared" si="2"/>
        <v>0</v>
      </c>
      <c r="H21" s="74">
        <f t="shared" si="2"/>
        <v>0</v>
      </c>
      <c r="I21" s="74">
        <f t="shared" si="2"/>
        <v>0</v>
      </c>
      <c r="P21" s="75"/>
      <c r="Q21" s="75"/>
      <c r="R21" s="76"/>
    </row>
    <row r="22" spans="1:18">
      <c r="A22" s="17" t="str">
        <f>HLOOKUP(INDICE!$F$2,Nombres!$C$3:$D$636,47,FALSE)</f>
        <v>Income tax</v>
      </c>
      <c r="B22" s="77">
        <v>-525.27169242379182</v>
      </c>
      <c r="C22" s="77">
        <v>-430.18519400807037</v>
      </c>
      <c r="D22" s="77">
        <v>-419.4143604454689</v>
      </c>
      <c r="E22" s="78">
        <v>-372.15162938216503</v>
      </c>
      <c r="F22" s="77">
        <v>-479.69115525691592</v>
      </c>
      <c r="G22" s="77">
        <v>0</v>
      </c>
      <c r="H22" s="77">
        <v>0</v>
      </c>
      <c r="I22" s="77">
        <v>0</v>
      </c>
      <c r="P22" s="75"/>
      <c r="Q22" s="75"/>
      <c r="R22" s="76"/>
    </row>
    <row r="23" spans="1:18">
      <c r="A23" s="25" t="str">
        <f>HLOOKUP(INDICE!$F$2,Nombres!$C$3:$D$636,48,FALSE)</f>
        <v>Profit/(loss) for the year</v>
      </c>
      <c r="B23" s="25">
        <f>+B21+B22</f>
        <v>1013.1326451232046</v>
      </c>
      <c r="C23" s="25">
        <f t="shared" ref="C23:I23" si="3">+C21+C22</f>
        <v>1111.8058629058362</v>
      </c>
      <c r="D23" s="25">
        <f t="shared" si="3"/>
        <v>988.52256507151492</v>
      </c>
      <c r="E23" s="73">
        <f t="shared" si="3"/>
        <v>1029.6789350924284</v>
      </c>
      <c r="F23" s="74">
        <f t="shared" si="3"/>
        <v>1095.6238386107216</v>
      </c>
      <c r="G23" s="74">
        <f t="shared" si="3"/>
        <v>0</v>
      </c>
      <c r="H23" s="74">
        <f t="shared" si="3"/>
        <v>0</v>
      </c>
      <c r="I23" s="74">
        <f t="shared" si="3"/>
        <v>0</v>
      </c>
      <c r="P23" s="75"/>
      <c r="Q23" s="75"/>
      <c r="R23" s="76"/>
    </row>
    <row r="24" spans="1:18">
      <c r="A24" s="17" t="str">
        <f>HLOOKUP(INDICE!$F$2,Nombres!$C$3:$D$636,49,FALSE)</f>
        <v>Non-controlling interests</v>
      </c>
      <c r="B24" s="77">
        <v>-0.72603773292058382</v>
      </c>
      <c r="C24" s="77">
        <v>-0.68767165029397725</v>
      </c>
      <c r="D24" s="77">
        <v>-0.71603284129170419</v>
      </c>
      <c r="E24" s="78">
        <v>-0.99499213010800469</v>
      </c>
      <c r="F24" s="77">
        <v>-0.74945289942417292</v>
      </c>
      <c r="G24" s="77">
        <v>0</v>
      </c>
      <c r="H24" s="77">
        <v>0</v>
      </c>
      <c r="I24" s="77">
        <v>0</v>
      </c>
      <c r="P24" s="75"/>
      <c r="Q24" s="75"/>
      <c r="R24" s="76"/>
    </row>
    <row r="25" spans="1:18">
      <c r="A25" s="19" t="str">
        <f>HLOOKUP(INDICE!$F$2,Nombres!$C$3:$D$636,50,FALSE)</f>
        <v>Net attributable profit</v>
      </c>
      <c r="B25" s="19">
        <f>+B23+B24</f>
        <v>1012.4066073902841</v>
      </c>
      <c r="C25" s="19">
        <f t="shared" ref="C25:I25" si="4">+C23+C24</f>
        <v>1111.1181912555421</v>
      </c>
      <c r="D25" s="19">
        <f t="shared" si="4"/>
        <v>987.80653223022318</v>
      </c>
      <c r="E25" s="95">
        <f t="shared" si="4"/>
        <v>1028.6839429623205</v>
      </c>
      <c r="F25" s="96">
        <f t="shared" si="4"/>
        <v>1094.8743857112975</v>
      </c>
      <c r="G25" s="96">
        <f t="shared" si="4"/>
        <v>0</v>
      </c>
      <c r="H25" s="96">
        <f t="shared" si="4"/>
        <v>0</v>
      </c>
      <c r="I25" s="96">
        <f t="shared" si="4"/>
        <v>0</v>
      </c>
    </row>
    <row r="26" spans="1:18">
      <c r="A26" s="17"/>
      <c r="B26" s="77"/>
      <c r="C26" s="77"/>
      <c r="D26" s="77"/>
      <c r="E26" s="78"/>
      <c r="F26" s="77"/>
      <c r="G26" s="77"/>
      <c r="H26" s="77"/>
      <c r="I26" s="77"/>
    </row>
    <row r="27" spans="1:18">
      <c r="A27" s="17"/>
      <c r="B27" s="77"/>
      <c r="C27" s="77"/>
      <c r="D27" s="77"/>
      <c r="E27" s="78"/>
      <c r="F27" s="77"/>
      <c r="G27" s="77"/>
      <c r="H27" s="77"/>
      <c r="I27" s="77"/>
      <c r="P27" s="75"/>
      <c r="Q27" s="75"/>
      <c r="R27" s="76"/>
    </row>
    <row r="28" spans="1:18">
      <c r="A28" s="300"/>
      <c r="B28" s="300"/>
      <c r="C28" s="300"/>
      <c r="D28" s="300"/>
      <c r="E28" s="300"/>
      <c r="F28" s="300"/>
      <c r="G28" s="300"/>
      <c r="H28" s="300"/>
      <c r="I28" s="300"/>
    </row>
    <row r="29" spans="1:18">
      <c r="A29" s="25"/>
      <c r="B29" s="25"/>
      <c r="C29" s="25"/>
      <c r="D29" s="25"/>
      <c r="E29" s="25"/>
      <c r="F29" s="25"/>
      <c r="G29" s="25"/>
      <c r="H29" s="25"/>
      <c r="I29" s="25"/>
    </row>
    <row r="30" spans="1:18" ht="17">
      <c r="A30" s="65" t="str">
        <f>HLOOKUP(INDICE!$F$2,Nombres!$C$3:$D$636,51,FALSE)</f>
        <v>Balance sheets</v>
      </c>
      <c r="B30" s="66"/>
      <c r="C30" s="66"/>
      <c r="D30" s="66"/>
      <c r="E30" s="66"/>
      <c r="F30" s="66"/>
      <c r="G30" s="66"/>
      <c r="H30" s="66"/>
      <c r="I30" s="66"/>
    </row>
    <row r="31" spans="1:18">
      <c r="A31" s="67" t="str">
        <f>HLOOKUP(INDICE!$F$2,Nombres!$C$3:$D$636,32,FALSE)</f>
        <v>(Million euros)</v>
      </c>
      <c r="B31" s="62"/>
      <c r="C31" s="85"/>
      <c r="D31" s="85"/>
      <c r="E31" s="85"/>
      <c r="F31" s="62"/>
      <c r="G31" s="86"/>
      <c r="H31" s="86"/>
      <c r="I31" s="86"/>
    </row>
    <row r="32" spans="1:18">
      <c r="A32" s="62"/>
      <c r="B32" s="87">
        <v>45747</v>
      </c>
      <c r="C32" s="87">
        <v>45838</v>
      </c>
      <c r="D32" s="87">
        <v>45930</v>
      </c>
      <c r="E32" s="87">
        <v>46022</v>
      </c>
      <c r="F32" s="87">
        <v>46112</v>
      </c>
      <c r="G32" s="87">
        <v>46203</v>
      </c>
      <c r="H32" s="87">
        <v>46295</v>
      </c>
      <c r="I32" s="87">
        <v>46387</v>
      </c>
    </row>
    <row r="33" spans="1:11">
      <c r="A33" s="17" t="str">
        <f>HLOOKUP(INDICE!$F$2,Nombres!$C$3:$D$636,52,FALSE)</f>
        <v>Cash, cash balances at central banks and other demand deposits</v>
      </c>
      <c r="B33" s="77">
        <v>13226.494944610002</v>
      </c>
      <c r="C33" s="77">
        <v>7744.789660280001</v>
      </c>
      <c r="D33" s="77">
        <v>18645.591089060003</v>
      </c>
      <c r="E33" s="78">
        <v>19928.733502299994</v>
      </c>
      <c r="F33" s="77">
        <v>11502.882901039999</v>
      </c>
      <c r="G33" s="77">
        <v>0</v>
      </c>
      <c r="H33" s="77">
        <v>0</v>
      </c>
      <c r="I33" s="77">
        <v>0</v>
      </c>
      <c r="K33" s="75"/>
    </row>
    <row r="34" spans="1:11">
      <c r="A34" s="17" t="str">
        <f>HLOOKUP(INDICE!$F$2,Nombres!$C$3:$D$636,53,FALSE)</f>
        <v xml:space="preserve">Financial assets designated at fair value </v>
      </c>
      <c r="B34" s="86">
        <v>105366.36815427001</v>
      </c>
      <c r="C34" s="86">
        <v>107479.19136481002</v>
      </c>
      <c r="D34" s="86">
        <v>112775.33272958</v>
      </c>
      <c r="E34" s="97">
        <v>119910.33502858999</v>
      </c>
      <c r="F34" s="77">
        <v>134512.93080144998</v>
      </c>
      <c r="G34" s="77">
        <v>0</v>
      </c>
      <c r="H34" s="77">
        <v>0</v>
      </c>
      <c r="I34" s="77">
        <v>0</v>
      </c>
      <c r="K34" s="75"/>
    </row>
    <row r="35" spans="1:11">
      <c r="A35" s="17" t="str">
        <f>HLOOKUP(INDICE!$F$2,Nombres!$C$3:$D$636,54,FALSE)</f>
        <v>Financial assets at amortized cost</v>
      </c>
      <c r="B35" s="77">
        <v>246452.66227894599</v>
      </c>
      <c r="C35" s="77">
        <v>252882.65794042096</v>
      </c>
      <c r="D35" s="77">
        <v>253999.13755773011</v>
      </c>
      <c r="E35" s="78">
        <v>263436.98924207909</v>
      </c>
      <c r="F35" s="77">
        <v>268948.93036979891</v>
      </c>
      <c r="G35" s="77">
        <v>0</v>
      </c>
      <c r="H35" s="77">
        <v>0</v>
      </c>
      <c r="I35" s="77">
        <v>0</v>
      </c>
      <c r="K35" s="75"/>
    </row>
    <row r="36" spans="1:11">
      <c r="A36" s="17" t="str">
        <f>HLOOKUP(INDICE!$F$2,Nombres!$C$3:$D$636,55,FALSE)</f>
        <v xml:space="preserve">    of which loans and advances to customers</v>
      </c>
      <c r="B36" s="77">
        <v>184624.05428378598</v>
      </c>
      <c r="C36" s="77">
        <v>188581.12783923099</v>
      </c>
      <c r="D36" s="77">
        <v>188504.32828988013</v>
      </c>
      <c r="E36" s="78">
        <v>192959.34461361915</v>
      </c>
      <c r="F36" s="77">
        <v>195110.33103945889</v>
      </c>
      <c r="G36" s="77">
        <v>0</v>
      </c>
      <c r="H36" s="77">
        <v>0</v>
      </c>
      <c r="I36" s="77">
        <v>0</v>
      </c>
      <c r="K36" s="75"/>
    </row>
    <row r="37" spans="1:11">
      <c r="A37" s="17" t="str">
        <f>HLOOKUP(INDICE!$F$2,Nombres!$C$3:$D$636,121,FALSE)</f>
        <v>Inter-area positions</v>
      </c>
      <c r="B37" s="77">
        <v>35490.343616791244</v>
      </c>
      <c r="C37" s="77">
        <v>47018.18179091889</v>
      </c>
      <c r="D37" s="77">
        <v>42594.913924988738</v>
      </c>
      <c r="E37" s="78">
        <v>48288.210431552259</v>
      </c>
      <c r="F37" s="77">
        <v>52706.39169045091</v>
      </c>
      <c r="G37" s="77">
        <v>0</v>
      </c>
      <c r="H37" s="77">
        <v>0</v>
      </c>
      <c r="I37" s="77">
        <v>0</v>
      </c>
      <c r="K37" s="75"/>
    </row>
    <row r="38" spans="1:11">
      <c r="A38" s="17" t="str">
        <f>HLOOKUP(INDICE!$F$2,Nombres!$C$3:$D$636,56,FALSE)</f>
        <v>Tangible assets</v>
      </c>
      <c r="B38" s="86">
        <v>2769.0269326399994</v>
      </c>
      <c r="C38" s="86">
        <v>2746.7548909300003</v>
      </c>
      <c r="D38" s="86">
        <v>2724.46767499</v>
      </c>
      <c r="E38" s="97">
        <v>2717.7191777500011</v>
      </c>
      <c r="F38" s="77">
        <v>2691.5988955599987</v>
      </c>
      <c r="G38" s="77">
        <v>0</v>
      </c>
      <c r="H38" s="77">
        <v>0</v>
      </c>
      <c r="I38" s="77">
        <v>0</v>
      </c>
      <c r="K38" s="75"/>
    </row>
    <row r="39" spans="1:11">
      <c r="A39" s="17" t="str">
        <f>HLOOKUP(INDICE!$F$2,Nombres!$C$3:$D$636,57,FALSE)</f>
        <v>Other assets</v>
      </c>
      <c r="B39" s="86">
        <f t="shared" ref="B39:H39" si="5">+B40-B38-B35-B34-B33-B37</f>
        <v>3999.6123257100189</v>
      </c>
      <c r="C39" s="86">
        <f t="shared" si="5"/>
        <v>3830.9852437700538</v>
      </c>
      <c r="D39" s="86">
        <f t="shared" si="5"/>
        <v>4008.4608227698482</v>
      </c>
      <c r="E39" s="97">
        <f t="shared" si="5"/>
        <v>3808.3819007499842</v>
      </c>
      <c r="F39" s="77">
        <f t="shared" si="5"/>
        <v>4002.7368597000095</v>
      </c>
      <c r="G39" s="77">
        <f t="shared" si="5"/>
        <v>0</v>
      </c>
      <c r="H39" s="77">
        <f t="shared" si="5"/>
        <v>0</v>
      </c>
      <c r="I39" s="77">
        <f>+I40-I38-I35-I34-I33-I37</f>
        <v>0</v>
      </c>
      <c r="K39" s="75"/>
    </row>
    <row r="40" spans="1:11">
      <c r="A40" s="19" t="str">
        <f>HLOOKUP(INDICE!$F$2,Nombres!$C$3:$D$636,58,FALSE)</f>
        <v>Total assets / Liabilities and equity</v>
      </c>
      <c r="B40" s="19">
        <v>407304.50825296727</v>
      </c>
      <c r="C40" s="19">
        <v>421702.56089112995</v>
      </c>
      <c r="D40" s="19">
        <v>434747.90379911871</v>
      </c>
      <c r="E40" s="19">
        <v>458090.36928302131</v>
      </c>
      <c r="F40" s="96">
        <v>474365.47151799983</v>
      </c>
      <c r="G40" s="96">
        <v>0</v>
      </c>
      <c r="H40" s="96">
        <v>0</v>
      </c>
      <c r="I40" s="96">
        <v>0</v>
      </c>
      <c r="K40" s="75"/>
    </row>
    <row r="41" spans="1:11">
      <c r="A41" s="17" t="str">
        <f>HLOOKUP(INDICE!$F$2,Nombres!$C$3:$D$636,59,FALSE)</f>
        <v>Financial liabilities held for trading and designated at fair value through profit or loss</v>
      </c>
      <c r="B41" s="86">
        <v>68956.072294089987</v>
      </c>
      <c r="C41" s="86">
        <v>74974.784278909996</v>
      </c>
      <c r="D41" s="86">
        <v>77864.574081999992</v>
      </c>
      <c r="E41" s="97">
        <v>82784.60161355001</v>
      </c>
      <c r="F41" s="77">
        <v>95873.427245230007</v>
      </c>
      <c r="G41" s="77">
        <v>0</v>
      </c>
      <c r="H41" s="77">
        <v>0</v>
      </c>
      <c r="I41" s="77">
        <v>0</v>
      </c>
      <c r="K41" s="75"/>
    </row>
    <row r="42" spans="1:11">
      <c r="A42" s="17" t="str">
        <f>HLOOKUP(INDICE!$F$2,Nombres!$C$3:$D$636,60,FALSE)</f>
        <v>Deposits from central banks and credit institutions</v>
      </c>
      <c r="B42" s="86">
        <v>28053.015198599984</v>
      </c>
      <c r="C42" s="86">
        <v>29694.601306700002</v>
      </c>
      <c r="D42" s="86">
        <v>28595.723550959992</v>
      </c>
      <c r="E42" s="97">
        <v>34582.284121310004</v>
      </c>
      <c r="F42" s="77">
        <v>37671.212879440005</v>
      </c>
      <c r="G42" s="77">
        <v>0</v>
      </c>
      <c r="H42" s="77">
        <v>0</v>
      </c>
      <c r="I42" s="77">
        <v>0</v>
      </c>
      <c r="K42" s="75"/>
    </row>
    <row r="43" spans="1:11" ht="15.75" customHeight="1">
      <c r="A43" s="17" t="str">
        <f>HLOOKUP(INDICE!$F$2,Nombres!$C$3:$D$636,61,FALSE)</f>
        <v>Deposits from customers</v>
      </c>
      <c r="B43" s="86">
        <v>228534.7679191202</v>
      </c>
      <c r="C43" s="86">
        <v>230120.13135054</v>
      </c>
      <c r="D43" s="86">
        <v>237857.8275777401</v>
      </c>
      <c r="E43" s="97">
        <v>251430.28950516024</v>
      </c>
      <c r="F43" s="77">
        <v>248520.39385522026</v>
      </c>
      <c r="G43" s="77">
        <v>0</v>
      </c>
      <c r="H43" s="77">
        <v>0</v>
      </c>
      <c r="I43" s="77">
        <v>0</v>
      </c>
      <c r="K43" s="75"/>
    </row>
    <row r="44" spans="1:11">
      <c r="A44" s="17" t="str">
        <f>HLOOKUP(INDICE!$F$2,Nombres!$C$3:$D$636,62,FALSE)</f>
        <v>Debt certificates</v>
      </c>
      <c r="B44" s="77">
        <v>47765.943500097521</v>
      </c>
      <c r="C44" s="77">
        <v>47856.400096103673</v>
      </c>
      <c r="D44" s="77">
        <v>51899.094598260424</v>
      </c>
      <c r="E44" s="78">
        <v>53300.208609760644</v>
      </c>
      <c r="F44" s="77">
        <v>59147.471922090335</v>
      </c>
      <c r="G44" s="77">
        <v>0</v>
      </c>
      <c r="H44" s="77">
        <v>0</v>
      </c>
      <c r="I44" s="77">
        <v>0</v>
      </c>
      <c r="K44" s="75"/>
    </row>
    <row r="45" spans="1:11">
      <c r="A45" s="17" t="str">
        <f>HLOOKUP(INDICE!$F$2,Nombres!$C$3:$D$636,122,FALSE)</f>
        <v>Inter-area positions</v>
      </c>
      <c r="B45" s="77">
        <v>0</v>
      </c>
      <c r="C45" s="77">
        <v>0</v>
      </c>
      <c r="D45" s="77">
        <v>0</v>
      </c>
      <c r="E45" s="78">
        <v>0</v>
      </c>
      <c r="F45" s="77">
        <v>0</v>
      </c>
      <c r="G45" s="77">
        <v>0</v>
      </c>
      <c r="H45" s="77">
        <v>0</v>
      </c>
      <c r="I45" s="77">
        <v>0</v>
      </c>
      <c r="K45" s="75"/>
    </row>
    <row r="46" spans="1:11">
      <c r="A46" s="17" t="str">
        <f>HLOOKUP(INDICE!$F$2,Nombres!$C$3:$D$636,63,FALSE)</f>
        <v>Other liabilities</v>
      </c>
      <c r="B46" s="77">
        <f>+B40-B41-B42-B43-B44-B47-B45</f>
        <v>18830.55641743368</v>
      </c>
      <c r="C46" s="77">
        <f t="shared" ref="C46:I46" si="6">+C40-C41-C42-C43-C44-C47-C45</f>
        <v>23582.348748904915</v>
      </c>
      <c r="D46" s="77">
        <f t="shared" si="6"/>
        <v>22861.650066139628</v>
      </c>
      <c r="E46" s="78">
        <f t="shared" si="6"/>
        <v>20822.155033358405</v>
      </c>
      <c r="F46" s="77">
        <f t="shared" si="6"/>
        <v>17678.689534036934</v>
      </c>
      <c r="G46" s="77">
        <f t="shared" si="6"/>
        <v>0</v>
      </c>
      <c r="H46" s="77">
        <f t="shared" si="6"/>
        <v>0</v>
      </c>
      <c r="I46" s="77">
        <f t="shared" si="6"/>
        <v>0</v>
      </c>
      <c r="K46" s="75"/>
    </row>
    <row r="47" spans="1:11">
      <c r="A47" s="17" t="str">
        <f>HLOOKUP(INDICE!$F$2,Nombres!$C$3:$D$636,282,FALSE)</f>
        <v>Allocated regulatory capital</v>
      </c>
      <c r="B47" s="77">
        <v>15164.152923625905</v>
      </c>
      <c r="C47" s="77">
        <v>15474.295109971363</v>
      </c>
      <c r="D47" s="77">
        <v>15669.033924018533</v>
      </c>
      <c r="E47" s="78">
        <v>15170.830399882052</v>
      </c>
      <c r="F47" s="77">
        <v>15474.276081982305</v>
      </c>
      <c r="G47" s="77">
        <v>0</v>
      </c>
      <c r="H47" s="77">
        <v>0</v>
      </c>
      <c r="I47" s="77">
        <v>0</v>
      </c>
      <c r="K47" s="75"/>
    </row>
    <row r="48" spans="1:11">
      <c r="A48" s="93"/>
      <c r="B48" s="86"/>
      <c r="C48" s="86"/>
      <c r="D48" s="86"/>
      <c r="E48" s="86"/>
      <c r="F48" s="86"/>
      <c r="G48" s="86"/>
      <c r="H48" s="86"/>
      <c r="I48" s="86"/>
    </row>
    <row r="49" spans="1:12">
      <c r="A49" s="17"/>
      <c r="B49" s="86"/>
      <c r="C49" s="86"/>
      <c r="D49" s="86"/>
      <c r="E49" s="86"/>
      <c r="F49" s="86"/>
      <c r="G49" s="86"/>
      <c r="H49" s="86"/>
      <c r="I49" s="86"/>
    </row>
    <row r="50" spans="1:12" ht="17">
      <c r="A50" s="98" t="str">
        <f>HLOOKUP(INDICE!$F$2,Nombres!$C$3:$D$636,65,FALSE)</f>
        <v>Relevant business indicators</v>
      </c>
      <c r="B50" s="99"/>
      <c r="C50" s="99"/>
      <c r="D50" s="99"/>
      <c r="E50" s="99"/>
      <c r="F50" s="99"/>
      <c r="G50" s="99"/>
      <c r="H50" s="99"/>
      <c r="I50" s="99"/>
    </row>
    <row r="51" spans="1:12">
      <c r="A51" s="67" t="str">
        <f>HLOOKUP(INDICE!$F$2,Nombres!$C$3:$D$636,32,FALSE)</f>
        <v>(Million euros)</v>
      </c>
      <c r="B51" s="62"/>
      <c r="C51" s="62"/>
      <c r="D51" s="62"/>
      <c r="E51" s="62"/>
      <c r="F51" s="62"/>
      <c r="G51" s="86"/>
      <c r="H51" s="86"/>
      <c r="I51" s="86"/>
    </row>
    <row r="52" spans="1:12">
      <c r="A52" s="62"/>
      <c r="B52" s="87">
        <f t="shared" ref="B52:I52" si="7">+B$32</f>
        <v>45747</v>
      </c>
      <c r="C52" s="87">
        <f t="shared" si="7"/>
        <v>45838</v>
      </c>
      <c r="D52" s="87">
        <f t="shared" si="7"/>
        <v>45930</v>
      </c>
      <c r="E52" s="100">
        <f t="shared" si="7"/>
        <v>46022</v>
      </c>
      <c r="F52" s="87">
        <f t="shared" si="7"/>
        <v>46112</v>
      </c>
      <c r="G52" s="87">
        <f t="shared" si="7"/>
        <v>46203</v>
      </c>
      <c r="H52" s="87">
        <f t="shared" si="7"/>
        <v>46295</v>
      </c>
      <c r="I52" s="87">
        <f t="shared" si="7"/>
        <v>46387</v>
      </c>
    </row>
    <row r="53" spans="1:12">
      <c r="A53" s="17" t="str">
        <f>HLOOKUP(INDICE!$F$2,Nombres!$C$3:$D$636,66,FALSE)</f>
        <v>Loans and advances to customers (gross) (*)</v>
      </c>
      <c r="B53" s="77">
        <v>189015.76302019999</v>
      </c>
      <c r="C53" s="77">
        <v>193097.58622643998</v>
      </c>
      <c r="D53" s="77">
        <v>192850.78786783011</v>
      </c>
      <c r="E53" s="78">
        <v>197442.73598793015</v>
      </c>
      <c r="F53" s="77">
        <v>199609.24924295989</v>
      </c>
      <c r="G53" s="77">
        <v>0</v>
      </c>
      <c r="H53" s="77">
        <v>0</v>
      </c>
      <c r="I53" s="77">
        <v>0</v>
      </c>
      <c r="K53" s="75"/>
      <c r="L53" s="75"/>
    </row>
    <row r="54" spans="1:12">
      <c r="A54" s="17" t="str">
        <f>HLOOKUP(INDICE!$F$2,Nombres!$C$3:$D$636,67,FALSE)</f>
        <v>Customer deposits under management (*)</v>
      </c>
      <c r="B54" s="77">
        <v>217147.62844468022</v>
      </c>
      <c r="C54" s="77">
        <v>220363.40532376</v>
      </c>
      <c r="D54" s="77">
        <v>229814.84751208007</v>
      </c>
      <c r="E54" s="78">
        <v>238446.55603080025</v>
      </c>
      <c r="F54" s="77">
        <v>234204.99060975027</v>
      </c>
      <c r="G54" s="77">
        <v>0</v>
      </c>
      <c r="H54" s="77">
        <v>0</v>
      </c>
      <c r="I54" s="77">
        <v>0</v>
      </c>
      <c r="L54" s="63" t="s">
        <v>556</v>
      </c>
    </row>
    <row r="55" spans="1:12">
      <c r="A55" s="17" t="str">
        <f>HLOOKUP(INDICE!$F$2,Nombres!$C$3:$D$636,68,FALSE)</f>
        <v>Investment funds and managed portfolios</v>
      </c>
      <c r="B55" s="77">
        <v>85088.200368120059</v>
      </c>
      <c r="C55" s="77">
        <v>86846.222157730619</v>
      </c>
      <c r="D55" s="77">
        <v>89767.103456719735</v>
      </c>
      <c r="E55" s="78">
        <v>92819.516982829678</v>
      </c>
      <c r="F55" s="77">
        <v>92741.116468121239</v>
      </c>
      <c r="G55" s="77">
        <v>0</v>
      </c>
      <c r="H55" s="77">
        <v>0</v>
      </c>
      <c r="I55" s="77">
        <v>0</v>
      </c>
    </row>
    <row r="56" spans="1:12">
      <c r="A56" s="17" t="str">
        <f>HLOOKUP(INDICE!$F$2,Nombres!$C$3:$D$636,69,FALSE)</f>
        <v>Pension funds</v>
      </c>
      <c r="B56" s="77">
        <v>25483.988177390231</v>
      </c>
      <c r="C56" s="77">
        <v>25834.273409489899</v>
      </c>
      <c r="D56" s="77">
        <v>26300.184957049947</v>
      </c>
      <c r="E56" s="78">
        <v>26715.041938070011</v>
      </c>
      <c r="F56" s="77">
        <v>26234.444232829948</v>
      </c>
      <c r="G56" s="77">
        <v>0</v>
      </c>
      <c r="H56" s="77">
        <v>0</v>
      </c>
      <c r="I56" s="77">
        <v>0</v>
      </c>
    </row>
    <row r="57" spans="1:12">
      <c r="A57" s="17" t="str">
        <f>HLOOKUP(INDICE!$F$2,Nombres!$C$3:$D$636,70,FALSE)</f>
        <v>Other off balance-sheet funds</v>
      </c>
      <c r="B57" s="77">
        <v>0</v>
      </c>
      <c r="C57" s="77">
        <v>0</v>
      </c>
      <c r="D57" s="77">
        <v>0</v>
      </c>
      <c r="E57" s="78">
        <v>0</v>
      </c>
      <c r="F57" s="77">
        <v>0</v>
      </c>
      <c r="G57" s="77">
        <v>0</v>
      </c>
      <c r="H57" s="77">
        <v>0</v>
      </c>
      <c r="I57" s="77">
        <v>0</v>
      </c>
    </row>
    <row r="58" spans="1:12">
      <c r="A58" s="93" t="str">
        <f>HLOOKUP(INDICE!$F$2,Nombres!$C$3:$D$636,71,FALSE)</f>
        <v xml:space="preserve">(*) Excluding repos. </v>
      </c>
      <c r="B58" s="86"/>
      <c r="C58" s="86"/>
      <c r="D58" s="86"/>
      <c r="E58" s="86"/>
      <c r="F58" s="86"/>
      <c r="G58" s="86"/>
      <c r="H58" s="86"/>
      <c r="I58" s="86"/>
    </row>
    <row r="59" spans="1:12">
      <c r="A59" s="93">
        <f>HLOOKUP(INDICE!$F$2,Nombres!$C$3:$D$636,72,FALSE)</f>
        <v>0</v>
      </c>
      <c r="B59" s="62"/>
      <c r="C59" s="62"/>
      <c r="D59" s="62"/>
      <c r="E59" s="62"/>
      <c r="F59" s="62"/>
      <c r="G59" s="62"/>
      <c r="H59" s="62"/>
      <c r="I59" s="62"/>
    </row>
    <row r="60" spans="1:12">
      <c r="A60" s="93"/>
      <c r="B60" s="62"/>
      <c r="C60" s="62"/>
      <c r="D60" s="62"/>
      <c r="E60" s="62"/>
      <c r="F60" s="62"/>
      <c r="G60" s="62"/>
      <c r="H60" s="62"/>
      <c r="I60" s="62"/>
    </row>
    <row r="63" spans="1:12">
      <c r="B63" s="75"/>
      <c r="C63" s="75"/>
      <c r="D63" s="75"/>
      <c r="E63" s="75"/>
      <c r="F63" s="75"/>
      <c r="G63" s="75"/>
      <c r="H63" s="75"/>
      <c r="I63" s="75"/>
    </row>
    <row r="1002" spans="1:1">
      <c r="A1002" s="63" t="s">
        <v>555</v>
      </c>
    </row>
  </sheetData>
  <mergeCells count="3">
    <mergeCell ref="B6:E6"/>
    <mergeCell ref="F6:I6"/>
    <mergeCell ref="A28:I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O1006"/>
  <sheetViews>
    <sheetView showGridLines="0" workbookViewId="0"/>
  </sheetViews>
  <sheetFormatPr baseColWidth="10" defaultColWidth="11.453125" defaultRowHeight="14.5"/>
  <cols>
    <col min="1" max="1" width="62" style="63" customWidth="1"/>
    <col min="2" max="5" width="11.453125" style="63" customWidth="1"/>
    <col min="6" max="6" width="11.453125" style="63"/>
    <col min="7" max="9" width="0" style="63" hidden="1" customWidth="1"/>
    <col min="10" max="16384" width="11.453125" style="63"/>
  </cols>
  <sheetData>
    <row r="1" spans="1:9" ht="17">
      <c r="A1" s="61" t="str">
        <f>HLOOKUP(INDICE!$F$2,Nombres!$C$3:$D$636,11,FALSE)</f>
        <v>Mexico</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25">
        <v>2766.8090000000007</v>
      </c>
      <c r="C8" s="25">
        <v>2744.5329999999985</v>
      </c>
      <c r="D8" s="25">
        <v>2881.5809999999951</v>
      </c>
      <c r="E8" s="73">
        <v>3030.7170000000042</v>
      </c>
      <c r="F8" s="74">
        <v>3136.0480000000011</v>
      </c>
      <c r="G8" s="74">
        <v>0</v>
      </c>
      <c r="H8" s="74">
        <v>0</v>
      </c>
      <c r="I8" s="74">
        <v>0</v>
      </c>
    </row>
    <row r="9" spans="1:9">
      <c r="A9" s="17" t="str">
        <f>HLOOKUP(INDICE!$F$2,Nombres!$C$3:$D$636,34,FALSE)</f>
        <v>Net fees and commissions</v>
      </c>
      <c r="B9" s="77">
        <v>582.62822570100002</v>
      </c>
      <c r="C9" s="77">
        <v>561.55554345200017</v>
      </c>
      <c r="D9" s="77">
        <v>585.97161934200051</v>
      </c>
      <c r="E9" s="78">
        <v>637.02284419099965</v>
      </c>
      <c r="F9" s="77">
        <v>648.11052225499986</v>
      </c>
      <c r="G9" s="77">
        <v>0</v>
      </c>
      <c r="H9" s="77">
        <v>0</v>
      </c>
      <c r="I9" s="77">
        <v>0</v>
      </c>
    </row>
    <row r="10" spans="1:9">
      <c r="A10" s="17" t="str">
        <f>HLOOKUP(INDICE!$F$2,Nombres!$C$3:$D$636,35,FALSE)</f>
        <v>Net trading income</v>
      </c>
      <c r="B10" s="77">
        <v>220.07824371099997</v>
      </c>
      <c r="C10" s="77">
        <v>179.79515819200017</v>
      </c>
      <c r="D10" s="77">
        <v>170.44410593099994</v>
      </c>
      <c r="E10" s="78">
        <v>217.89271474700016</v>
      </c>
      <c r="F10" s="77">
        <v>285.58787185400001</v>
      </c>
      <c r="G10" s="77">
        <v>0</v>
      </c>
      <c r="H10" s="77">
        <v>0</v>
      </c>
      <c r="I10" s="77">
        <v>0</v>
      </c>
    </row>
    <row r="11" spans="1:9">
      <c r="A11" s="17" t="str">
        <f>HLOOKUP(INDICE!$F$2,Nombres!$C$3:$D$636,36,FALSE)</f>
        <v>Other operating income and expenses</v>
      </c>
      <c r="B11" s="77">
        <v>135.36700000000005</v>
      </c>
      <c r="C11" s="77">
        <v>157.81899999999996</v>
      </c>
      <c r="D11" s="77">
        <v>137.16399999999987</v>
      </c>
      <c r="E11" s="78">
        <v>189.05100000000002</v>
      </c>
      <c r="F11" s="77">
        <v>204.392</v>
      </c>
      <c r="G11" s="77">
        <v>0</v>
      </c>
      <c r="H11" s="77">
        <v>0</v>
      </c>
      <c r="I11" s="77">
        <v>0</v>
      </c>
    </row>
    <row r="12" spans="1:9">
      <c r="A12" s="25" t="str">
        <f>HLOOKUP(INDICE!$F$2,Nombres!$C$3:$D$636,37,FALSE)</f>
        <v>Gross income</v>
      </c>
      <c r="B12" s="25">
        <f>+SUM(B8:B11)</f>
        <v>3704.8824694120012</v>
      </c>
      <c r="C12" s="25">
        <f t="shared" ref="C12:I12" si="0">+SUM(C8:C11)</f>
        <v>3643.7027016439988</v>
      </c>
      <c r="D12" s="25">
        <f t="shared" si="0"/>
        <v>3775.160725272995</v>
      </c>
      <c r="E12" s="73">
        <f t="shared" si="0"/>
        <v>4074.6835589380039</v>
      </c>
      <c r="F12" s="74">
        <f t="shared" si="0"/>
        <v>4274.1383941090007</v>
      </c>
      <c r="G12" s="74">
        <f t="shared" si="0"/>
        <v>0</v>
      </c>
      <c r="H12" s="74">
        <f t="shared" si="0"/>
        <v>0</v>
      </c>
      <c r="I12" s="74">
        <f t="shared" si="0"/>
        <v>0</v>
      </c>
    </row>
    <row r="13" spans="1:9">
      <c r="A13" s="17" t="str">
        <f>HLOOKUP(INDICE!$F$2,Nombres!$C$3:$D$636,38,FALSE)</f>
        <v>Operating expenses</v>
      </c>
      <c r="B13" s="77">
        <v>-1148.277651242958</v>
      </c>
      <c r="C13" s="77">
        <v>-1106.9891220504651</v>
      </c>
      <c r="D13" s="77">
        <v>-1146.522412561621</v>
      </c>
      <c r="E13" s="78">
        <v>-1237.6999391446457</v>
      </c>
      <c r="F13" s="77">
        <v>-1318.3617906493921</v>
      </c>
      <c r="G13" s="77">
        <v>0</v>
      </c>
      <c r="H13" s="77">
        <v>0</v>
      </c>
      <c r="I13" s="77">
        <v>0</v>
      </c>
    </row>
    <row r="14" spans="1:9">
      <c r="A14" s="17" t="str">
        <f>HLOOKUP(INDICE!$F$2,Nombres!$C$3:$D$636,39,FALSE)</f>
        <v xml:space="preserve">  Administration expenses</v>
      </c>
      <c r="B14" s="77">
        <v>-1040.018022632958</v>
      </c>
      <c r="C14" s="77">
        <v>-999.73122287446506</v>
      </c>
      <c r="D14" s="77">
        <v>-1035.952582373041</v>
      </c>
      <c r="E14" s="78">
        <v>-1123.3383769876457</v>
      </c>
      <c r="F14" s="77">
        <v>-1195.3197906493922</v>
      </c>
      <c r="G14" s="77">
        <v>0</v>
      </c>
      <c r="H14" s="77">
        <v>0</v>
      </c>
      <c r="I14" s="77">
        <v>0</v>
      </c>
    </row>
    <row r="15" spans="1:9">
      <c r="A15" s="79" t="str">
        <f>HLOOKUP(INDICE!$F$2,Nombres!$C$3:$D$636,40,FALSE)</f>
        <v xml:space="preserve">  Personnel expenses</v>
      </c>
      <c r="B15" s="77">
        <v>-552.81629981648007</v>
      </c>
      <c r="C15" s="77">
        <v>-514.44121890191502</v>
      </c>
      <c r="D15" s="77">
        <v>-524.38439250119632</v>
      </c>
      <c r="E15" s="78">
        <v>-584.77911444632264</v>
      </c>
      <c r="F15" s="77">
        <v>-607.44700000000012</v>
      </c>
      <c r="G15" s="77">
        <v>0</v>
      </c>
      <c r="H15" s="77">
        <v>0</v>
      </c>
      <c r="I15" s="77">
        <v>0</v>
      </c>
    </row>
    <row r="16" spans="1:9">
      <c r="A16" s="79" t="str">
        <f>HLOOKUP(INDICE!$F$2,Nombres!$C$3:$D$636,41,FALSE)</f>
        <v xml:space="preserve">  General and administrative expenses</v>
      </c>
      <c r="B16" s="77">
        <v>-487.20172281647802</v>
      </c>
      <c r="C16" s="77">
        <v>-485.29000397255004</v>
      </c>
      <c r="D16" s="77">
        <v>-511.5681898718446</v>
      </c>
      <c r="E16" s="78">
        <v>-538.55926254132282</v>
      </c>
      <c r="F16" s="77">
        <v>-587.87279064939185</v>
      </c>
      <c r="G16" s="77">
        <v>0</v>
      </c>
      <c r="H16" s="77">
        <v>0</v>
      </c>
      <c r="I16" s="77">
        <v>0</v>
      </c>
    </row>
    <row r="17" spans="1:9">
      <c r="A17" s="17" t="str">
        <f>HLOOKUP(INDICE!$F$2,Nombres!$C$3:$D$636,42,FALSE)</f>
        <v xml:space="preserve">  Depreciation</v>
      </c>
      <c r="B17" s="77">
        <v>-108.25962860999998</v>
      </c>
      <c r="C17" s="77">
        <v>-107.25789917599997</v>
      </c>
      <c r="D17" s="77">
        <v>-110.56983018858001</v>
      </c>
      <c r="E17" s="78">
        <v>-114.36156215700005</v>
      </c>
      <c r="F17" s="77">
        <v>-123.04200000000002</v>
      </c>
      <c r="G17" s="77">
        <v>0</v>
      </c>
      <c r="H17" s="77">
        <v>0</v>
      </c>
      <c r="I17" s="77">
        <v>0</v>
      </c>
    </row>
    <row r="18" spans="1:9">
      <c r="A18" s="25" t="str">
        <f>HLOOKUP(INDICE!$F$2,Nombres!$C$3:$D$636,43,FALSE)</f>
        <v>Operating income</v>
      </c>
      <c r="B18" s="25">
        <f>+B12+B13</f>
        <v>2556.604818169043</v>
      </c>
      <c r="C18" s="25">
        <f t="shared" ref="C18:I18" si="1">+C12+C13</f>
        <v>2536.7135795935337</v>
      </c>
      <c r="D18" s="25">
        <f t="shared" si="1"/>
        <v>2628.6383127113741</v>
      </c>
      <c r="E18" s="73">
        <f t="shared" si="1"/>
        <v>2836.9836197933582</v>
      </c>
      <c r="F18" s="74">
        <f t="shared" si="1"/>
        <v>2955.7766034596089</v>
      </c>
      <c r="G18" s="74">
        <f t="shared" si="1"/>
        <v>0</v>
      </c>
      <c r="H18" s="74">
        <f t="shared" si="1"/>
        <v>0</v>
      </c>
      <c r="I18" s="74">
        <f t="shared" si="1"/>
        <v>0</v>
      </c>
    </row>
    <row r="19" spans="1:9">
      <c r="A19" s="17" t="str">
        <f>HLOOKUP(INDICE!$F$2,Nombres!$C$3:$D$636,44,FALSE)</f>
        <v>Impaiment on financial assets not measured at fair value through profit or loss</v>
      </c>
      <c r="B19" s="77">
        <v>-695.67700000000002</v>
      </c>
      <c r="C19" s="77">
        <v>-790.37100000000055</v>
      </c>
      <c r="D19" s="77">
        <v>-792.65800000000013</v>
      </c>
      <c r="E19" s="78">
        <v>-851.75099999999907</v>
      </c>
      <c r="F19" s="77">
        <v>-883.4849999999999</v>
      </c>
      <c r="G19" s="77">
        <v>0</v>
      </c>
      <c r="H19" s="77">
        <v>0</v>
      </c>
      <c r="I19" s="77">
        <v>0</v>
      </c>
    </row>
    <row r="20" spans="1:9">
      <c r="A20" s="17" t="str">
        <f>HLOOKUP(INDICE!$F$2,Nombres!$C$3:$D$636,45,FALSE)</f>
        <v>Provisions or reversal of provisions and other results</v>
      </c>
      <c r="B20" s="77">
        <v>-13.581999999999997</v>
      </c>
      <c r="C20" s="77">
        <v>-21.102</v>
      </c>
      <c r="D20" s="77">
        <v>-34.670000000000016</v>
      </c>
      <c r="E20" s="78">
        <v>-35.737000000000016</v>
      </c>
      <c r="F20" s="77">
        <v>-8.6320000000000014</v>
      </c>
      <c r="G20" s="77">
        <v>0</v>
      </c>
      <c r="H20" s="77">
        <v>0</v>
      </c>
      <c r="I20" s="77">
        <v>0</v>
      </c>
    </row>
    <row r="21" spans="1:9">
      <c r="A21" s="25" t="str">
        <f>HLOOKUP(INDICE!$F$2,Nombres!$C$3:$D$636,46,FALSE)</f>
        <v>Profit/(loss) before tax</v>
      </c>
      <c r="B21" s="25">
        <f>+B18+B19+B20</f>
        <v>1847.3458181690428</v>
      </c>
      <c r="C21" s="25">
        <f t="shared" ref="C21:I21" si="2">+C18+C19+C20</f>
        <v>1725.2405795935331</v>
      </c>
      <c r="D21" s="25">
        <f t="shared" si="2"/>
        <v>1801.3103127113739</v>
      </c>
      <c r="E21" s="73">
        <f t="shared" si="2"/>
        <v>1949.4956197933591</v>
      </c>
      <c r="F21" s="74">
        <f t="shared" si="2"/>
        <v>2063.6596034596091</v>
      </c>
      <c r="G21" s="74">
        <f t="shared" si="2"/>
        <v>0</v>
      </c>
      <c r="H21" s="74">
        <f t="shared" si="2"/>
        <v>0</v>
      </c>
      <c r="I21" s="74">
        <f t="shared" si="2"/>
        <v>0</v>
      </c>
    </row>
    <row r="22" spans="1:9">
      <c r="A22" s="17" t="str">
        <f>HLOOKUP(INDICE!$F$2,Nombres!$C$3:$D$636,47,FALSE)</f>
        <v>Income tax</v>
      </c>
      <c r="B22" s="77">
        <v>-518.34278535704652</v>
      </c>
      <c r="C22" s="77">
        <v>-482.30336023407568</v>
      </c>
      <c r="D22" s="77">
        <v>-506.10788085033323</v>
      </c>
      <c r="E22" s="78">
        <v>-563.63257662663125</v>
      </c>
      <c r="F22" s="77">
        <v>-610.69074683092254</v>
      </c>
      <c r="G22" s="77">
        <v>0</v>
      </c>
      <c r="H22" s="77">
        <v>0</v>
      </c>
      <c r="I22" s="77">
        <v>0</v>
      </c>
    </row>
    <row r="23" spans="1:9">
      <c r="A23" s="25" t="str">
        <f>HLOOKUP(INDICE!$F$2,Nombres!$C$3:$D$636,48,FALSE)</f>
        <v>Profit/(loss) for the year</v>
      </c>
      <c r="B23" s="25">
        <f>+B21+B22</f>
        <v>1329.0030328119963</v>
      </c>
      <c r="C23" s="25">
        <f t="shared" ref="C23:I23" si="3">+C21+C22</f>
        <v>1242.9372193594575</v>
      </c>
      <c r="D23" s="25">
        <f t="shared" si="3"/>
        <v>1295.2024318610406</v>
      </c>
      <c r="E23" s="73">
        <f t="shared" si="3"/>
        <v>1385.8630431667279</v>
      </c>
      <c r="F23" s="74">
        <f t="shared" si="3"/>
        <v>1452.9688566286866</v>
      </c>
      <c r="G23" s="74">
        <f t="shared" si="3"/>
        <v>0</v>
      </c>
      <c r="H23" s="74">
        <f t="shared" si="3"/>
        <v>0</v>
      </c>
      <c r="I23" s="74">
        <f t="shared" si="3"/>
        <v>0</v>
      </c>
    </row>
    <row r="24" spans="1:9">
      <c r="A24" s="17" t="str">
        <f>HLOOKUP(INDICE!$F$2,Nombres!$C$3:$D$636,49,FALSE)</f>
        <v>Non-controlling interests</v>
      </c>
      <c r="B24" s="77">
        <v>-0.24499995717447179</v>
      </c>
      <c r="C24" s="77">
        <v>-0.22899996322838187</v>
      </c>
      <c r="D24" s="77">
        <v>-0.23699996214647043</v>
      </c>
      <c r="E24" s="78">
        <v>-0.25399994900946887</v>
      </c>
      <c r="F24" s="77">
        <v>-0.26599997189607827</v>
      </c>
      <c r="G24" s="77">
        <v>0</v>
      </c>
      <c r="H24" s="77">
        <v>0</v>
      </c>
      <c r="I24" s="77">
        <v>0</v>
      </c>
    </row>
    <row r="25" spans="1:9">
      <c r="A25" s="19" t="str">
        <f>HLOOKUP(INDICE!$F$2,Nombres!$C$3:$D$636,50,FALSE)</f>
        <v>Net attributable profit</v>
      </c>
      <c r="B25" s="19">
        <f>+B23+B24</f>
        <v>1328.7580328548217</v>
      </c>
      <c r="C25" s="19">
        <f t="shared" ref="C25:I25" si="4">+C23+C24</f>
        <v>1242.708219396229</v>
      </c>
      <c r="D25" s="19">
        <f t="shared" si="4"/>
        <v>1294.9654318988942</v>
      </c>
      <c r="E25" s="19">
        <f t="shared" si="4"/>
        <v>1385.6090432177184</v>
      </c>
      <c r="F25" s="96">
        <f t="shared" si="4"/>
        <v>1452.7028566567906</v>
      </c>
      <c r="G25" s="96">
        <f t="shared" si="4"/>
        <v>0</v>
      </c>
      <c r="H25" s="96">
        <f t="shared" si="4"/>
        <v>0</v>
      </c>
      <c r="I25" s="96">
        <f t="shared" si="4"/>
        <v>0</v>
      </c>
    </row>
    <row r="26" spans="1:9">
      <c r="A26" s="93"/>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 sheets</v>
      </c>
      <c r="B28" s="66"/>
      <c r="C28" s="66"/>
      <c r="D28" s="66"/>
      <c r="E28" s="66"/>
      <c r="F28" s="66"/>
      <c r="G28" s="66"/>
      <c r="H28" s="66"/>
      <c r="I28" s="66"/>
    </row>
    <row r="29" spans="1:9">
      <c r="A29" s="67"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Cash, cash balances at central banks and other demand deposits</v>
      </c>
      <c r="B31" s="77">
        <v>13135.222999999996</v>
      </c>
      <c r="C31" s="77">
        <v>10672.175999999998</v>
      </c>
      <c r="D31" s="77">
        <v>12325.749999999998</v>
      </c>
      <c r="E31" s="78">
        <v>10417.313999999997</v>
      </c>
      <c r="F31" s="77">
        <v>9433.8060000000005</v>
      </c>
      <c r="G31" s="77">
        <v>0</v>
      </c>
      <c r="H31" s="77">
        <v>0</v>
      </c>
      <c r="I31" s="77">
        <v>0</v>
      </c>
    </row>
    <row r="32" spans="1:9">
      <c r="A32" s="17" t="str">
        <f>HLOOKUP(INDICE!$F$2,Nombres!$C$3:$D$636,53,FALSE)</f>
        <v xml:space="preserve">Financial assets designated at fair value </v>
      </c>
      <c r="B32" s="86">
        <v>49627.682999999997</v>
      </c>
      <c r="C32" s="86">
        <v>53184.304999999993</v>
      </c>
      <c r="D32" s="86">
        <v>54879.899000000005</v>
      </c>
      <c r="E32" s="97">
        <v>60135.851999999999</v>
      </c>
      <c r="F32" s="77">
        <v>59480.631999999998</v>
      </c>
      <c r="G32" s="77">
        <v>0</v>
      </c>
      <c r="H32" s="77">
        <v>0</v>
      </c>
      <c r="I32" s="77">
        <v>0</v>
      </c>
    </row>
    <row r="33" spans="1:9">
      <c r="A33" s="17" t="str">
        <f>HLOOKUP(INDICE!$F$2,Nombres!$C$3:$D$636,54,FALSE)</f>
        <v>Financial assets at amortized cost</v>
      </c>
      <c r="B33" s="77">
        <v>93721.475999999995</v>
      </c>
      <c r="C33" s="77">
        <v>95386.501999999993</v>
      </c>
      <c r="D33" s="77">
        <v>98611.212999999974</v>
      </c>
      <c r="E33" s="78">
        <v>105493.79699999996</v>
      </c>
      <c r="F33" s="77">
        <v>109712.01500000001</v>
      </c>
      <c r="G33" s="77">
        <v>0</v>
      </c>
      <c r="H33" s="77">
        <v>0</v>
      </c>
      <c r="I33" s="77">
        <v>0</v>
      </c>
    </row>
    <row r="34" spans="1:9">
      <c r="A34" s="17" t="str">
        <f>HLOOKUP(INDICE!$F$2,Nombres!$C$3:$D$636,55,FALSE)</f>
        <v xml:space="preserve">    of which loans and advances to customers</v>
      </c>
      <c r="B34" s="77">
        <v>88521.657999999996</v>
      </c>
      <c r="C34" s="77">
        <v>88758.415999999997</v>
      </c>
      <c r="D34" s="77">
        <v>92147.225999999966</v>
      </c>
      <c r="E34" s="78">
        <v>97259.438999999969</v>
      </c>
      <c r="F34" s="77">
        <v>101835.44700000003</v>
      </c>
      <c r="G34" s="77">
        <v>0</v>
      </c>
      <c r="H34" s="77">
        <v>0</v>
      </c>
      <c r="I34" s="77">
        <v>0</v>
      </c>
    </row>
    <row r="35" spans="1:9" ht="1.9" customHeight="1">
      <c r="A35" s="17"/>
      <c r="B35" s="77"/>
      <c r="C35" s="77"/>
      <c r="D35" s="77"/>
      <c r="E35" s="78"/>
      <c r="F35" s="77"/>
      <c r="G35" s="77"/>
      <c r="H35" s="77"/>
      <c r="I35" s="77"/>
    </row>
    <row r="36" spans="1:9">
      <c r="A36" s="17" t="str">
        <f>HLOOKUP(INDICE!$F$2,Nombres!$C$3:$D$636,56,FALSE)</f>
        <v>Tangible assets</v>
      </c>
      <c r="B36" s="77">
        <v>1962.4190000000003</v>
      </c>
      <c r="C36" s="77">
        <v>1963.4849999999997</v>
      </c>
      <c r="D36" s="77">
        <v>2005.7540000000001</v>
      </c>
      <c r="E36" s="78">
        <v>2081.4810000000002</v>
      </c>
      <c r="F36" s="77">
        <v>2097.21</v>
      </c>
      <c r="G36" s="77">
        <v>0</v>
      </c>
      <c r="H36" s="77">
        <v>0</v>
      </c>
      <c r="I36" s="77">
        <v>0</v>
      </c>
    </row>
    <row r="37" spans="1:9">
      <c r="A37" s="17" t="str">
        <f>HLOOKUP(INDICE!$F$2,Nombres!$C$3:$D$636,57,FALSE)</f>
        <v>Other assets</v>
      </c>
      <c r="B37" s="86">
        <f>+B38-B36-B33-B32-B31</f>
        <v>4460.9459999999908</v>
      </c>
      <c r="C37" s="86">
        <f t="shared" ref="C37:I37" si="5">+C38-C36-C33-C32-C31</f>
        <v>4440.4840000045024</v>
      </c>
      <c r="D37" s="86">
        <f t="shared" si="5"/>
        <v>4720.8879999999936</v>
      </c>
      <c r="E37" s="97">
        <f t="shared" si="5"/>
        <v>4525.4090000001033</v>
      </c>
      <c r="F37" s="77">
        <f t="shared" si="5"/>
        <v>5023.9140000000152</v>
      </c>
      <c r="G37" s="77">
        <f t="shared" si="5"/>
        <v>0</v>
      </c>
      <c r="H37" s="77">
        <f t="shared" si="5"/>
        <v>0</v>
      </c>
      <c r="I37" s="77">
        <f t="shared" si="5"/>
        <v>0</v>
      </c>
    </row>
    <row r="38" spans="1:9">
      <c r="A38" s="19" t="str">
        <f>HLOOKUP(INDICE!$F$2,Nombres!$C$3:$D$636,58,FALSE)</f>
        <v>Total assets / Liabilities and equity</v>
      </c>
      <c r="B38" s="19">
        <v>162907.74699999997</v>
      </c>
      <c r="C38" s="19">
        <v>165646.95200000447</v>
      </c>
      <c r="D38" s="19">
        <v>172543.50399999996</v>
      </c>
      <c r="E38" s="95">
        <v>182653.85300000006</v>
      </c>
      <c r="F38" s="19">
        <v>185747.57700000002</v>
      </c>
      <c r="G38" s="96">
        <v>0</v>
      </c>
      <c r="H38" s="96">
        <v>0</v>
      </c>
      <c r="I38" s="96">
        <v>0</v>
      </c>
    </row>
    <row r="39" spans="1:9">
      <c r="A39" s="17" t="str">
        <f>HLOOKUP(INDICE!$F$2,Nombres!$C$3:$D$636,59,FALSE)</f>
        <v>Financial liabilities held for trading and designated at fair value through profit or loss</v>
      </c>
      <c r="B39" s="86">
        <v>25061.718000000001</v>
      </c>
      <c r="C39" s="86">
        <v>28406.71</v>
      </c>
      <c r="D39" s="86">
        <v>30546.241999999995</v>
      </c>
      <c r="E39" s="97">
        <v>32584.429000000004</v>
      </c>
      <c r="F39" s="77">
        <v>30965.567999999999</v>
      </c>
      <c r="G39" s="77">
        <v>0</v>
      </c>
      <c r="H39" s="77">
        <v>0</v>
      </c>
      <c r="I39" s="77">
        <v>0</v>
      </c>
    </row>
    <row r="40" spans="1:9">
      <c r="A40" s="17" t="str">
        <f>HLOOKUP(INDICE!$F$2,Nombres!$C$3:$D$636,60,FALSE)</f>
        <v>Deposits from central banks and credit institutions</v>
      </c>
      <c r="B40" s="86">
        <v>8001.6170000000002</v>
      </c>
      <c r="C40" s="86">
        <v>7770.2839999999997</v>
      </c>
      <c r="D40" s="86">
        <v>6813.04</v>
      </c>
      <c r="E40" s="97">
        <v>6028.0260000000007</v>
      </c>
      <c r="F40" s="77">
        <v>6057.509</v>
      </c>
      <c r="G40" s="77">
        <v>0</v>
      </c>
      <c r="H40" s="77">
        <v>0</v>
      </c>
      <c r="I40" s="77">
        <v>0</v>
      </c>
    </row>
    <row r="41" spans="1:9" ht="15.75" customHeight="1">
      <c r="A41" s="17" t="str">
        <f>HLOOKUP(INDICE!$F$2,Nombres!$C$3:$D$636,61,FALSE)</f>
        <v>Deposits from customers</v>
      </c>
      <c r="B41" s="86">
        <v>86730.772999999986</v>
      </c>
      <c r="C41" s="86">
        <v>85536.717000000004</v>
      </c>
      <c r="D41" s="86">
        <v>87553.634000000005</v>
      </c>
      <c r="E41" s="97">
        <v>93854.753000000012</v>
      </c>
      <c r="F41" s="77">
        <v>99307.823000000019</v>
      </c>
      <c r="G41" s="77">
        <v>0</v>
      </c>
      <c r="H41" s="77">
        <v>0</v>
      </c>
      <c r="I41" s="77">
        <v>0</v>
      </c>
    </row>
    <row r="42" spans="1:9">
      <c r="A42" s="17" t="str">
        <f>HLOOKUP(INDICE!$F$2,Nombres!$C$3:$D$636,62,FALSE)</f>
        <v>Debt certificates</v>
      </c>
      <c r="B42" s="77">
        <v>11098.449357424352</v>
      </c>
      <c r="C42" s="77">
        <v>11076.634846682367</v>
      </c>
      <c r="D42" s="77">
        <v>11858.715531184465</v>
      </c>
      <c r="E42" s="78">
        <v>11664.279281765977</v>
      </c>
      <c r="F42" s="77">
        <v>12505.554305100628</v>
      </c>
      <c r="G42" s="77">
        <v>0</v>
      </c>
      <c r="H42" s="77">
        <v>0</v>
      </c>
      <c r="I42" s="77">
        <v>0</v>
      </c>
    </row>
    <row r="43" spans="1:9" hidden="1">
      <c r="A43" s="17"/>
      <c r="B43" s="77"/>
      <c r="C43" s="77"/>
      <c r="D43" s="77"/>
      <c r="E43" s="78"/>
      <c r="F43" s="77"/>
      <c r="G43" s="77"/>
      <c r="H43" s="77"/>
      <c r="I43" s="77"/>
    </row>
    <row r="44" spans="1:9">
      <c r="A44" s="17" t="str">
        <f>HLOOKUP(INDICE!$F$2,Nombres!$C$3:$D$636,63,FALSE)</f>
        <v>Other liabilities</v>
      </c>
      <c r="B44" s="86">
        <f>+B38-B39-B40-B41-B42-B45</f>
        <v>19900.26638771424</v>
      </c>
      <c r="C44" s="86">
        <f t="shared" ref="C44:I44" si="6">+C38-C39-C40-C41-C42-C45</f>
        <v>21019.273154158524</v>
      </c>
      <c r="D44" s="86">
        <f t="shared" si="6"/>
        <v>23627.505808741669</v>
      </c>
      <c r="E44" s="97">
        <f t="shared" si="6"/>
        <v>27507.19759242273</v>
      </c>
      <c r="F44" s="77">
        <f t="shared" si="6"/>
        <v>25326.906303678261</v>
      </c>
      <c r="G44" s="77">
        <f t="shared" si="6"/>
        <v>0</v>
      </c>
      <c r="H44" s="77">
        <f t="shared" si="6"/>
        <v>0</v>
      </c>
      <c r="I44" s="77">
        <f t="shared" si="6"/>
        <v>0</v>
      </c>
    </row>
    <row r="45" spans="1:9">
      <c r="A45" s="17" t="str">
        <f>HLOOKUP(INDICE!$F$2,Nombres!$C$3:$D$636,282,FALSE)</f>
        <v>Allocated regulatory capital</v>
      </c>
      <c r="B45" s="77">
        <v>12114.9232548614</v>
      </c>
      <c r="C45" s="77">
        <v>11837.332999163586</v>
      </c>
      <c r="D45" s="77">
        <v>12144.366660073805</v>
      </c>
      <c r="E45" s="97">
        <v>11015.168125811324</v>
      </c>
      <c r="F45" s="77">
        <v>11584.216391221124</v>
      </c>
      <c r="G45" s="77">
        <v>0</v>
      </c>
      <c r="H45" s="77">
        <v>0</v>
      </c>
      <c r="I45" s="77">
        <v>0</v>
      </c>
    </row>
    <row r="46" spans="1:9">
      <c r="A46" s="93"/>
      <c r="B46" s="86"/>
      <c r="C46" s="86"/>
      <c r="D46" s="86"/>
      <c r="E46" s="86"/>
      <c r="F46" s="103"/>
      <c r="G46" s="103"/>
      <c r="H46" s="103"/>
      <c r="I46" s="103"/>
    </row>
    <row r="47" spans="1:9">
      <c r="A47" s="17"/>
      <c r="B47" s="86"/>
      <c r="C47" s="86"/>
      <c r="D47" s="86"/>
      <c r="E47" s="86"/>
      <c r="F47" s="103"/>
      <c r="G47" s="103"/>
      <c r="H47" s="103"/>
      <c r="I47" s="103"/>
    </row>
    <row r="48" spans="1:9" ht="17">
      <c r="A48" s="98" t="str">
        <f>HLOOKUP(INDICE!$F$2,Nombres!$C$3:$D$636,65,FALSE)</f>
        <v>Relevant business indicators</v>
      </c>
      <c r="B48" s="99"/>
      <c r="C48" s="99"/>
      <c r="D48" s="99"/>
      <c r="E48" s="99"/>
      <c r="F48" s="104"/>
      <c r="G48" s="104"/>
      <c r="H48" s="104"/>
      <c r="I48" s="104"/>
    </row>
    <row r="49" spans="1:12">
      <c r="A49" s="67" t="str">
        <f>HLOOKUP(INDICE!$F$2,Nombres!$C$3:$D$636,32,FALSE)</f>
        <v>(Million euros)</v>
      </c>
      <c r="B49" s="62"/>
      <c r="C49" s="62"/>
      <c r="D49" s="62"/>
      <c r="E49" s="62"/>
      <c r="F49" s="105"/>
      <c r="G49" s="103"/>
      <c r="H49" s="103"/>
      <c r="I49" s="103"/>
    </row>
    <row r="50" spans="1:12">
      <c r="A50" s="62"/>
      <c r="B50" s="87">
        <f t="shared" ref="B50:I50" si="7">+B$30</f>
        <v>45747</v>
      </c>
      <c r="C50" s="87">
        <f t="shared" si="7"/>
        <v>45838</v>
      </c>
      <c r="D50" s="87">
        <f t="shared" si="7"/>
        <v>45930</v>
      </c>
      <c r="E50" s="100">
        <f t="shared" si="7"/>
        <v>46022</v>
      </c>
      <c r="F50" s="102">
        <f t="shared" si="7"/>
        <v>46112</v>
      </c>
      <c r="G50" s="102">
        <f t="shared" si="7"/>
        <v>46203</v>
      </c>
      <c r="H50" s="102">
        <f t="shared" si="7"/>
        <v>46295</v>
      </c>
      <c r="I50" s="102">
        <f t="shared" si="7"/>
        <v>46387</v>
      </c>
    </row>
    <row r="51" spans="1:12">
      <c r="A51" s="17" t="str">
        <f>HLOOKUP(INDICE!$F$2,Nombres!$C$3:$D$636,66,FALSE)</f>
        <v>Loans and advances to customers (gross) (*)</v>
      </c>
      <c r="B51" s="77">
        <v>90968.974000000002</v>
      </c>
      <c r="C51" s="77">
        <v>91654.629000000001</v>
      </c>
      <c r="D51" s="77">
        <v>95195.685999999972</v>
      </c>
      <c r="E51" s="78">
        <v>100560.93599999997</v>
      </c>
      <c r="F51" s="77">
        <v>105062.45800000003</v>
      </c>
      <c r="G51" s="77">
        <v>0</v>
      </c>
      <c r="H51" s="77">
        <v>0</v>
      </c>
      <c r="I51" s="77">
        <v>0</v>
      </c>
      <c r="L51" s="75"/>
    </row>
    <row r="52" spans="1:12">
      <c r="A52" s="17" t="str">
        <f>HLOOKUP(INDICE!$F$2,Nombres!$C$3:$D$636,67,FALSE)</f>
        <v>Customer deposits under management (*)</v>
      </c>
      <c r="B52" s="77">
        <v>85776.790999999997</v>
      </c>
      <c r="C52" s="77">
        <v>85534.271000000022</v>
      </c>
      <c r="D52" s="77">
        <v>87551.79800000001</v>
      </c>
      <c r="E52" s="78">
        <v>93816.763999999996</v>
      </c>
      <c r="F52" s="77">
        <v>98390.624000000011</v>
      </c>
      <c r="G52" s="77">
        <v>0</v>
      </c>
      <c r="H52" s="77">
        <v>0</v>
      </c>
      <c r="I52" s="77">
        <v>0</v>
      </c>
      <c r="L52" s="75"/>
    </row>
    <row r="53" spans="1:12">
      <c r="A53" s="17" t="str">
        <f>HLOOKUP(INDICE!$F$2,Nombres!$C$3:$D$636,68,FALSE)</f>
        <v>Investment funds and managed portfolios</v>
      </c>
      <c r="B53" s="77">
        <v>53844.043959866569</v>
      </c>
      <c r="C53" s="77">
        <v>56300.495369076074</v>
      </c>
      <c r="D53" s="77">
        <v>61051.691282672778</v>
      </c>
      <c r="E53" s="78">
        <v>62656.833036683587</v>
      </c>
      <c r="F53" s="77">
        <v>64610.940157999998</v>
      </c>
      <c r="G53" s="77">
        <v>0</v>
      </c>
      <c r="H53" s="77">
        <v>0</v>
      </c>
      <c r="I53" s="77">
        <v>0</v>
      </c>
    </row>
    <row r="54" spans="1:12">
      <c r="A54" s="17" t="str">
        <f>HLOOKUP(INDICE!$F$2,Nombres!$C$3:$D$636,69,FALSE)</f>
        <v>Pension funds</v>
      </c>
      <c r="B54" s="77">
        <v>0</v>
      </c>
      <c r="C54" s="77">
        <v>0</v>
      </c>
      <c r="D54" s="77">
        <v>0</v>
      </c>
      <c r="E54" s="78">
        <v>0</v>
      </c>
      <c r="F54" s="77">
        <v>0</v>
      </c>
      <c r="G54" s="77">
        <v>0</v>
      </c>
      <c r="H54" s="77">
        <v>0</v>
      </c>
      <c r="I54" s="77">
        <v>0</v>
      </c>
    </row>
    <row r="55" spans="1:12">
      <c r="A55" s="17" t="str">
        <f>HLOOKUP(INDICE!$F$2,Nombres!$C$3:$D$636,70,FALSE)</f>
        <v>Other off balance-sheet funds</v>
      </c>
      <c r="B55" s="77">
        <v>4811.1747404828411</v>
      </c>
      <c r="C55" s="77">
        <v>5435.6119709538971</v>
      </c>
      <c r="D55" s="77">
        <v>6541.0300632261542</v>
      </c>
      <c r="E55" s="78">
        <v>6876.1352405793496</v>
      </c>
      <c r="F55" s="77">
        <v>7558.2736959309022</v>
      </c>
      <c r="G55" s="77">
        <v>0</v>
      </c>
      <c r="H55" s="77">
        <v>0</v>
      </c>
      <c r="I55" s="77">
        <v>0</v>
      </c>
    </row>
    <row r="56" spans="1:12">
      <c r="A56" s="93" t="str">
        <f>HLOOKUP(INDICE!$F$2,Nombres!$C$3:$D$636,71,FALSE)</f>
        <v xml:space="preserve">(*) Excluding repos. </v>
      </c>
      <c r="B56" s="86"/>
      <c r="C56" s="86"/>
      <c r="D56" s="86"/>
      <c r="E56" s="86"/>
      <c r="F56" s="86"/>
      <c r="G56" s="86"/>
      <c r="H56" s="86"/>
      <c r="I56" s="86"/>
    </row>
    <row r="57" spans="1:12">
      <c r="A57" s="93">
        <f>HLOOKUP(INDICE!$F$2,Nombres!$C$3:$D$636,72,FALSE)</f>
        <v>0</v>
      </c>
      <c r="B57" s="62"/>
      <c r="C57" s="62"/>
      <c r="D57" s="62"/>
      <c r="E57" s="62"/>
      <c r="F57" s="62"/>
      <c r="G57" s="62"/>
      <c r="H57" s="62"/>
      <c r="I57" s="62"/>
    </row>
    <row r="58" spans="1:12">
      <c r="A58" s="93"/>
      <c r="B58" s="62"/>
      <c r="C58" s="62"/>
      <c r="D58" s="62"/>
      <c r="E58" s="62"/>
      <c r="F58" s="62"/>
      <c r="G58" s="62"/>
      <c r="H58" s="62"/>
      <c r="I58" s="62"/>
    </row>
    <row r="59" spans="1:12" ht="17">
      <c r="A59" s="65" t="str">
        <f>HLOOKUP(INDICE!$F$2,Nombres!$C$3:$D$636,31,FALSE)</f>
        <v xml:space="preserve">Income statement  </v>
      </c>
      <c r="B59" s="66"/>
      <c r="C59" s="66"/>
      <c r="D59" s="66"/>
      <c r="E59" s="66"/>
      <c r="F59" s="66"/>
      <c r="G59" s="66"/>
      <c r="H59" s="66"/>
      <c r="I59" s="66"/>
    </row>
    <row r="60" spans="1:12">
      <c r="A60" s="67" t="str">
        <f>HLOOKUP(INDICE!$F$2,Nombres!$C$3:$D$636,73,FALSE)</f>
        <v xml:space="preserve">(Constant million euros)    </v>
      </c>
      <c r="B60" s="62"/>
      <c r="C60" s="68"/>
      <c r="D60" s="68"/>
      <c r="E60" s="68"/>
      <c r="F60" s="62"/>
      <c r="G60" s="62"/>
      <c r="H60" s="62"/>
      <c r="I60" s="62"/>
    </row>
    <row r="61" spans="1:12">
      <c r="A61" s="69"/>
      <c r="B61" s="62"/>
      <c r="C61" s="68"/>
      <c r="D61" s="68"/>
      <c r="E61" s="68"/>
      <c r="F61" s="62"/>
      <c r="G61" s="62"/>
      <c r="H61" s="62"/>
      <c r="I61" s="62"/>
    </row>
    <row r="62" spans="1:12">
      <c r="A62" s="70"/>
      <c r="B62" s="301">
        <f>+B$6</f>
        <v>2025</v>
      </c>
      <c r="C62" s="301"/>
      <c r="D62" s="301"/>
      <c r="E62" s="302"/>
      <c r="F62" s="301">
        <f>+F$6</f>
        <v>2026</v>
      </c>
      <c r="G62" s="301"/>
      <c r="H62" s="301"/>
      <c r="I62" s="301"/>
    </row>
    <row r="63" spans="1:12">
      <c r="A63" s="70"/>
      <c r="B63" s="71" t="str">
        <f>+B$7</f>
        <v>1Q</v>
      </c>
      <c r="C63" s="71" t="str">
        <f t="shared" ref="C63:I63" si="8">+C$7</f>
        <v>2Q</v>
      </c>
      <c r="D63" s="71" t="str">
        <f t="shared" si="8"/>
        <v>3Q</v>
      </c>
      <c r="E63" s="72" t="str">
        <f t="shared" si="8"/>
        <v>4Q</v>
      </c>
      <c r="F63" s="71" t="str">
        <f t="shared" si="8"/>
        <v>1Q</v>
      </c>
      <c r="G63" s="71" t="str">
        <f t="shared" si="8"/>
        <v>2Q</v>
      </c>
      <c r="H63" s="71" t="str">
        <f t="shared" si="8"/>
        <v>3Q</v>
      </c>
      <c r="I63" s="71" t="str">
        <f t="shared" si="8"/>
        <v>4Q</v>
      </c>
    </row>
    <row r="64" spans="1:12">
      <c r="A64" s="25" t="str">
        <f>HLOOKUP(INDICE!$F$2,Nombres!$C$3:$D$636,33,FALSE)</f>
        <v>Net interest income</v>
      </c>
      <c r="B64" s="25">
        <v>2894.794207566511</v>
      </c>
      <c r="C64" s="25">
        <v>2955.9487798822574</v>
      </c>
      <c r="D64" s="25">
        <v>3053.2410577162923</v>
      </c>
      <c r="E64" s="73">
        <v>3145.659209106635</v>
      </c>
      <c r="F64" s="74">
        <v>3136.0480000000316</v>
      </c>
      <c r="G64" s="74">
        <v>0</v>
      </c>
      <c r="H64" s="74">
        <v>0</v>
      </c>
      <c r="I64" s="74">
        <v>0</v>
      </c>
    </row>
    <row r="65" spans="1:9">
      <c r="A65" s="17" t="str">
        <f>HLOOKUP(INDICE!$F$2,Nombres!$C$3:$D$636,34,FALSE)</f>
        <v>Net fees and commissions</v>
      </c>
      <c r="B65" s="77">
        <v>609.57905403712675</v>
      </c>
      <c r="C65" s="77">
        <v>605.06615646401929</v>
      </c>
      <c r="D65" s="77">
        <v>620.86263043211727</v>
      </c>
      <c r="E65" s="78">
        <v>661.38922717556147</v>
      </c>
      <c r="F65" s="77">
        <v>648.11052225351693</v>
      </c>
      <c r="G65" s="77">
        <v>0</v>
      </c>
      <c r="H65" s="77">
        <v>0</v>
      </c>
      <c r="I65" s="77">
        <v>0</v>
      </c>
    </row>
    <row r="66" spans="1:9">
      <c r="A66" s="17" t="str">
        <f>HLOOKUP(INDICE!$F$2,Nombres!$C$3:$D$636,35,FALSE)</f>
        <v>Net trading income</v>
      </c>
      <c r="B66" s="77">
        <v>230.25847649982839</v>
      </c>
      <c r="C66" s="77">
        <v>194.24003984179191</v>
      </c>
      <c r="D66" s="77">
        <v>180.54670931245016</v>
      </c>
      <c r="E66" s="78">
        <v>226.35807412350829</v>
      </c>
      <c r="F66" s="77">
        <v>285.58787185400257</v>
      </c>
      <c r="G66" s="77">
        <v>0</v>
      </c>
      <c r="H66" s="77">
        <v>0</v>
      </c>
      <c r="I66" s="77">
        <v>0</v>
      </c>
    </row>
    <row r="67" spans="1:9">
      <c r="A67" s="17" t="str">
        <f>HLOOKUP(INDICE!$F$2,Nombres!$C$3:$D$636,36,FALSE)</f>
        <v>Other operating income and expenses</v>
      </c>
      <c r="B67" s="77">
        <v>141.34378946139688</v>
      </c>
      <c r="C67" s="77">
        <v>169.43466972588951</v>
      </c>
      <c r="D67" s="77">
        <v>145.22164327777887</v>
      </c>
      <c r="E67" s="78">
        <v>196.72299723944386</v>
      </c>
      <c r="F67" s="77">
        <v>204.39200000035865</v>
      </c>
      <c r="G67" s="77">
        <v>0</v>
      </c>
      <c r="H67" s="77">
        <v>0</v>
      </c>
      <c r="I67" s="77">
        <v>0</v>
      </c>
    </row>
    <row r="68" spans="1:9">
      <c r="A68" s="25" t="str">
        <f>HLOOKUP(INDICE!$F$2,Nombres!$C$3:$D$636,37,FALSE)</f>
        <v>Gross income</v>
      </c>
      <c r="B68" s="25">
        <f>+SUM(B64:B67)</f>
        <v>3875.9755275648627</v>
      </c>
      <c r="C68" s="25">
        <f t="shared" ref="C68:I68" si="9">+SUM(C64:C67)</f>
        <v>3924.689645913958</v>
      </c>
      <c r="D68" s="25">
        <f t="shared" si="9"/>
        <v>3999.872040738639</v>
      </c>
      <c r="E68" s="73">
        <f t="shared" si="9"/>
        <v>4230.1295076451479</v>
      </c>
      <c r="F68" s="74">
        <f t="shared" si="9"/>
        <v>4274.1383941079102</v>
      </c>
      <c r="G68" s="74">
        <f t="shared" si="9"/>
        <v>0</v>
      </c>
      <c r="H68" s="74">
        <f t="shared" si="9"/>
        <v>0</v>
      </c>
      <c r="I68" s="74">
        <f t="shared" si="9"/>
        <v>0</v>
      </c>
    </row>
    <row r="69" spans="1:9">
      <c r="A69" s="17" t="str">
        <f>HLOOKUP(INDICE!$F$2,Nombres!$C$3:$D$636,38,FALSE)</f>
        <v>Operating expenses</v>
      </c>
      <c r="B69" s="77">
        <v>-1201.1204818430974</v>
      </c>
      <c r="C69" s="77">
        <v>-1192.587499794445</v>
      </c>
      <c r="D69" s="77">
        <v>-1214.6716796863109</v>
      </c>
      <c r="E69" s="78">
        <v>-1284.7354613782518</v>
      </c>
      <c r="F69" s="77">
        <v>-1318.3617906482714</v>
      </c>
      <c r="G69" s="77">
        <v>0</v>
      </c>
      <c r="H69" s="77">
        <v>0</v>
      </c>
      <c r="I69" s="77">
        <v>0</v>
      </c>
    </row>
    <row r="70" spans="1:9">
      <c r="A70" s="17" t="str">
        <f>HLOOKUP(INDICE!$F$2,Nombres!$C$3:$D$636,39,FALSE)</f>
        <v xml:space="preserve">  Administration expenses</v>
      </c>
      <c r="B70" s="77">
        <v>-1087.853051451795</v>
      </c>
      <c r="C70" s="77">
        <v>-1077.0653423927502</v>
      </c>
      <c r="D70" s="77">
        <v>-1097.5178300456887</v>
      </c>
      <c r="E70" s="78">
        <v>-1166.0938489228038</v>
      </c>
      <c r="F70" s="77">
        <v>-1195.3197906482701</v>
      </c>
      <c r="G70" s="77">
        <v>0</v>
      </c>
      <c r="H70" s="77">
        <v>0</v>
      </c>
      <c r="I70" s="77">
        <v>0</v>
      </c>
    </row>
    <row r="71" spans="1:9">
      <c r="A71" s="79" t="str">
        <f>HLOOKUP(INDICE!$F$2,Nombres!$C$3:$D$636,40,FALSE)</f>
        <v xml:space="preserve">  Personnel expenses</v>
      </c>
      <c r="B71" s="77">
        <v>-578.14037725647881</v>
      </c>
      <c r="C71" s="77">
        <v>-554.44153780718773</v>
      </c>
      <c r="D71" s="77">
        <v>-555.47856192322229</v>
      </c>
      <c r="E71" s="78">
        <v>-607.07066851608624</v>
      </c>
      <c r="F71" s="77">
        <v>-607.44699999998454</v>
      </c>
      <c r="G71" s="77">
        <v>0</v>
      </c>
      <c r="H71" s="77">
        <v>0</v>
      </c>
      <c r="I71" s="77">
        <v>0</v>
      </c>
    </row>
    <row r="72" spans="1:9">
      <c r="A72" s="79" t="str">
        <f>HLOOKUP(INDICE!$F$2,Nombres!$C$3:$D$636,41,FALSE)</f>
        <v xml:space="preserve">  General and administrative expenses</v>
      </c>
      <c r="B72" s="77">
        <v>-509.71267419531614</v>
      </c>
      <c r="C72" s="77">
        <v>-522.62380458556243</v>
      </c>
      <c r="D72" s="77">
        <v>-542.0392681224663</v>
      </c>
      <c r="E72" s="78">
        <v>-559.02318040671776</v>
      </c>
      <c r="F72" s="77">
        <v>-587.87279064828567</v>
      </c>
      <c r="G72" s="77">
        <v>0</v>
      </c>
      <c r="H72" s="77">
        <v>0</v>
      </c>
      <c r="I72" s="77">
        <v>0</v>
      </c>
    </row>
    <row r="73" spans="1:9">
      <c r="A73" s="17" t="str">
        <f>HLOOKUP(INDICE!$F$2,Nombres!$C$3:$D$636,42,FALSE)</f>
        <v xml:space="preserve">  Depreciation</v>
      </c>
      <c r="B73" s="77">
        <v>-113.26743039130268</v>
      </c>
      <c r="C73" s="77">
        <v>-115.52215740169478</v>
      </c>
      <c r="D73" s="77">
        <v>-117.15384964062208</v>
      </c>
      <c r="E73" s="78">
        <v>-118.64161245544791</v>
      </c>
      <c r="F73" s="77">
        <v>-123.04200000000115</v>
      </c>
      <c r="G73" s="77">
        <v>0</v>
      </c>
      <c r="H73" s="77">
        <v>0</v>
      </c>
      <c r="I73" s="77">
        <v>0</v>
      </c>
    </row>
    <row r="74" spans="1:9">
      <c r="A74" s="25" t="str">
        <f>HLOOKUP(INDICE!$F$2,Nombres!$C$3:$D$636,43,FALSE)</f>
        <v>Operating income</v>
      </c>
      <c r="B74" s="25">
        <f>+B68+B69</f>
        <v>2674.8550457217652</v>
      </c>
      <c r="C74" s="25">
        <f t="shared" ref="C74:I74" si="10">+C68+C69</f>
        <v>2732.1021461195132</v>
      </c>
      <c r="D74" s="25">
        <f t="shared" si="10"/>
        <v>2785.2003610523279</v>
      </c>
      <c r="E74" s="73">
        <f t="shared" si="10"/>
        <v>2945.3940462668961</v>
      </c>
      <c r="F74" s="74">
        <f t="shared" si="10"/>
        <v>2955.7766034596389</v>
      </c>
      <c r="G74" s="74">
        <f t="shared" si="10"/>
        <v>0</v>
      </c>
      <c r="H74" s="74">
        <f t="shared" si="10"/>
        <v>0</v>
      </c>
      <c r="I74" s="74">
        <f t="shared" si="10"/>
        <v>0</v>
      </c>
    </row>
    <row r="75" spans="1:9">
      <c r="A75" s="17" t="str">
        <f>HLOOKUP(INDICE!$F$2,Nombres!$C$3:$D$636,44,FALSE)</f>
        <v>Impaiment on financial assets not measured at fair value through profit or loss</v>
      </c>
      <c r="B75" s="77">
        <v>-727.85716322928306</v>
      </c>
      <c r="C75" s="77">
        <v>-849.7050557388485</v>
      </c>
      <c r="D75" s="77">
        <v>-839.89852356720303</v>
      </c>
      <c r="E75" s="78">
        <v>-884.54195300107926</v>
      </c>
      <c r="F75" s="77">
        <v>-883.4850000000082</v>
      </c>
      <c r="G75" s="77">
        <v>0</v>
      </c>
      <c r="H75" s="77">
        <v>0</v>
      </c>
      <c r="I75" s="77">
        <v>0</v>
      </c>
    </row>
    <row r="76" spans="1:9">
      <c r="A76" s="17" t="str">
        <f>HLOOKUP(INDICE!$F$2,Nombres!$C$3:$D$636,45,FALSE)</f>
        <v>Provisions or reversal of provisions and other results</v>
      </c>
      <c r="B76" s="77">
        <v>-14.210267108126779</v>
      </c>
      <c r="C76" s="77">
        <v>-22.609652573263432</v>
      </c>
      <c r="D76" s="77">
        <v>-36.757177292855516</v>
      </c>
      <c r="E76" s="78">
        <v>-37.272777429592942</v>
      </c>
      <c r="F76" s="77">
        <v>-8.6319999999999215</v>
      </c>
      <c r="G76" s="77">
        <v>0</v>
      </c>
      <c r="H76" s="77">
        <v>0</v>
      </c>
      <c r="I76" s="77">
        <v>0</v>
      </c>
    </row>
    <row r="77" spans="1:9">
      <c r="A77" s="25" t="str">
        <f>HLOOKUP(INDICE!$F$2,Nombres!$C$3:$D$636,46,FALSE)</f>
        <v>Profit/(loss) before tax</v>
      </c>
      <c r="B77" s="25">
        <f>+B74+B75+B76</f>
        <v>1932.7876153843554</v>
      </c>
      <c r="C77" s="25">
        <f t="shared" ref="C77:I77" si="11">+C74+C75+C76</f>
        <v>1859.7874378074014</v>
      </c>
      <c r="D77" s="25">
        <f t="shared" si="11"/>
        <v>1908.5446601922695</v>
      </c>
      <c r="E77" s="73">
        <f t="shared" si="11"/>
        <v>2023.5793158362237</v>
      </c>
      <c r="F77" s="74">
        <f t="shared" si="11"/>
        <v>2063.6596034596305</v>
      </c>
      <c r="G77" s="74">
        <f t="shared" si="11"/>
        <v>0</v>
      </c>
      <c r="H77" s="74">
        <f t="shared" si="11"/>
        <v>0</v>
      </c>
      <c r="I77" s="74">
        <f t="shared" si="11"/>
        <v>0</v>
      </c>
    </row>
    <row r="78" spans="1:9">
      <c r="A78" s="17" t="str">
        <f>HLOOKUP(INDICE!$F$2,Nombres!$C$3:$D$636,47,FALSE)</f>
        <v>Income tax</v>
      </c>
      <c r="B78" s="77">
        <v>-542.31762418208928</v>
      </c>
      <c r="C78" s="77">
        <v>-519.9469347959415</v>
      </c>
      <c r="D78" s="77">
        <v>-536.23831850879697</v>
      </c>
      <c r="E78" s="78">
        <v>-585.33780420375251</v>
      </c>
      <c r="F78" s="77">
        <v>-610.69074683092833</v>
      </c>
      <c r="G78" s="77">
        <v>0</v>
      </c>
      <c r="H78" s="77">
        <v>0</v>
      </c>
      <c r="I78" s="77">
        <v>0</v>
      </c>
    </row>
    <row r="79" spans="1:9">
      <c r="A79" s="25" t="str">
        <f>HLOOKUP(INDICE!$F$2,Nombres!$C$3:$D$636,48,FALSE)</f>
        <v>Profit/(loss) for the year</v>
      </c>
      <c r="B79" s="25">
        <f>+B77+B78</f>
        <v>1390.4699912022661</v>
      </c>
      <c r="C79" s="25">
        <f t="shared" ref="C79:I79" si="12">+C77+C78</f>
        <v>1339.84050301146</v>
      </c>
      <c r="D79" s="25">
        <f t="shared" si="12"/>
        <v>1372.3063416834725</v>
      </c>
      <c r="E79" s="73">
        <f t="shared" si="12"/>
        <v>1438.2415116324712</v>
      </c>
      <c r="F79" s="74">
        <f t="shared" si="12"/>
        <v>1452.9688566287023</v>
      </c>
      <c r="G79" s="74">
        <f t="shared" si="12"/>
        <v>0</v>
      </c>
      <c r="H79" s="74">
        <f t="shared" si="12"/>
        <v>0</v>
      </c>
      <c r="I79" s="74">
        <f t="shared" si="12"/>
        <v>0</v>
      </c>
    </row>
    <row r="80" spans="1:9">
      <c r="A80" s="17" t="str">
        <f>HLOOKUP(INDICE!$F$2,Nombres!$C$3:$D$636,49,FALSE)</f>
        <v>Non-controlling interests</v>
      </c>
      <c r="B80" s="77">
        <v>-0.25633300396377556</v>
      </c>
      <c r="C80" s="77">
        <v>-0.24685691554465866</v>
      </c>
      <c r="D80" s="77">
        <v>-0.25110410539301098</v>
      </c>
      <c r="E80" s="78">
        <v>-0.26358677457759749</v>
      </c>
      <c r="F80" s="77">
        <v>-0.26599997189612623</v>
      </c>
      <c r="G80" s="77">
        <v>0</v>
      </c>
      <c r="H80" s="77">
        <v>0</v>
      </c>
      <c r="I80" s="77">
        <v>0</v>
      </c>
    </row>
    <row r="81" spans="1:9">
      <c r="A81" s="19" t="str">
        <f>HLOOKUP(INDICE!$F$2,Nombres!$C$3:$D$636,50,FALSE)</f>
        <v>Net attributable profit</v>
      </c>
      <c r="B81" s="19">
        <f>+B79+B80</f>
        <v>1390.2136581983023</v>
      </c>
      <c r="C81" s="19">
        <f t="shared" ref="C81:I81" si="13">+C79+C80</f>
        <v>1339.5936460959153</v>
      </c>
      <c r="D81" s="19">
        <f t="shared" si="13"/>
        <v>1372.0552375780794</v>
      </c>
      <c r="E81" s="19">
        <f t="shared" si="13"/>
        <v>1437.9779248578936</v>
      </c>
      <c r="F81" s="96">
        <f t="shared" si="13"/>
        <v>1452.702856656806</v>
      </c>
      <c r="G81" s="96">
        <f t="shared" si="13"/>
        <v>0</v>
      </c>
      <c r="H81" s="96">
        <f t="shared" si="13"/>
        <v>0</v>
      </c>
      <c r="I81" s="96">
        <f t="shared" si="13"/>
        <v>0</v>
      </c>
    </row>
    <row r="82" spans="1:9">
      <c r="A82" s="93"/>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Cash, cash balances at central banks and other demand deposits</v>
      </c>
      <c r="B87" s="77">
        <v>13992.039888235064</v>
      </c>
      <c r="C87" s="77">
        <v>11383.057015701936</v>
      </c>
      <c r="D87" s="77">
        <v>12814.488159975512</v>
      </c>
      <c r="E87" s="78">
        <v>10622.49876704823</v>
      </c>
      <c r="F87" s="77">
        <v>9433.8060000003188</v>
      </c>
      <c r="G87" s="77">
        <v>0</v>
      </c>
      <c r="H87" s="77">
        <v>0</v>
      </c>
      <c r="I87" s="77">
        <v>0</v>
      </c>
    </row>
    <row r="88" spans="1:9">
      <c r="A88" s="17" t="str">
        <f>HLOOKUP(INDICE!$F$2,Nombres!$C$3:$D$636,53,FALSE)</f>
        <v xml:space="preserve">Financial assets designated at fair value </v>
      </c>
      <c r="B88" s="86">
        <v>52868.922976226648</v>
      </c>
      <c r="C88" s="86">
        <v>56727.682580377266</v>
      </c>
      <c r="D88" s="86">
        <v>57056.269999512457</v>
      </c>
      <c r="E88" s="97">
        <v>61320.269942616273</v>
      </c>
      <c r="F88" s="77">
        <v>59480.632000000573</v>
      </c>
      <c r="G88" s="77">
        <v>0</v>
      </c>
      <c r="H88" s="77">
        <v>0</v>
      </c>
      <c r="I88" s="77">
        <v>0</v>
      </c>
    </row>
    <row r="89" spans="1:9">
      <c r="A89" s="17" t="str">
        <f>HLOOKUP(INDICE!$F$2,Nombres!$C$3:$D$636,54,FALSE)</f>
        <v>Financial assets at amortized cost</v>
      </c>
      <c r="B89" s="77">
        <v>99842.099188418171</v>
      </c>
      <c r="C89" s="77">
        <v>101741.57973688813</v>
      </c>
      <c r="D89" s="77">
        <v>102521.83579833929</v>
      </c>
      <c r="E89" s="78">
        <v>107571.57160277599</v>
      </c>
      <c r="F89" s="77">
        <v>109712.01500000079</v>
      </c>
      <c r="G89" s="77">
        <v>0</v>
      </c>
      <c r="H89" s="77">
        <v>0</v>
      </c>
      <c r="I89" s="77">
        <v>0</v>
      </c>
    </row>
    <row r="90" spans="1:9">
      <c r="A90" s="17" t="str">
        <f>HLOOKUP(INDICE!$F$2,Nombres!$C$3:$D$636,55,FALSE)</f>
        <v xml:space="preserve">    of which loans and advances to customers</v>
      </c>
      <c r="B90" s="77">
        <v>94303.107371138918</v>
      </c>
      <c r="C90" s="77">
        <v>94671.900839638882</v>
      </c>
      <c r="D90" s="77">
        <v>95801.506601938076</v>
      </c>
      <c r="E90" s="78">
        <v>99175.032124719481</v>
      </c>
      <c r="F90" s="77">
        <v>101835.44700000054</v>
      </c>
      <c r="G90" s="77">
        <v>0</v>
      </c>
      <c r="H90" s="77">
        <v>0</v>
      </c>
      <c r="I90" s="77">
        <v>0</v>
      </c>
    </row>
    <row r="91" spans="1:9" hidden="1">
      <c r="A91" s="17"/>
      <c r="B91" s="77"/>
      <c r="C91" s="77"/>
      <c r="D91" s="77"/>
      <c r="E91" s="78"/>
      <c r="F91" s="77"/>
      <c r="G91" s="77"/>
      <c r="H91" s="77"/>
      <c r="I91" s="77"/>
    </row>
    <row r="92" spans="1:9">
      <c r="A92" s="17" t="str">
        <f>HLOOKUP(INDICE!$F$2,Nombres!$C$3:$D$636,56,FALSE)</f>
        <v>Tangible assets</v>
      </c>
      <c r="B92" s="77">
        <v>2090.5867992684721</v>
      </c>
      <c r="C92" s="77">
        <v>2094.3012009151239</v>
      </c>
      <c r="D92" s="77">
        <v>2085.2961441603193</v>
      </c>
      <c r="E92" s="78">
        <v>2122.4772337211516</v>
      </c>
      <c r="F92" s="77">
        <v>2097.2100000000032</v>
      </c>
      <c r="G92" s="77">
        <v>0</v>
      </c>
      <c r="H92" s="77">
        <v>0</v>
      </c>
      <c r="I92" s="77">
        <v>0</v>
      </c>
    </row>
    <row r="93" spans="1:9">
      <c r="A93" s="17" t="str">
        <f>HLOOKUP(INDICE!$F$2,Nombres!$C$3:$D$636,57,FALSE)</f>
        <v>Other assets</v>
      </c>
      <c r="B93" s="86">
        <f>+B94-B92-B89-B88-B87</f>
        <v>4752.0545726440105</v>
      </c>
      <c r="C93" s="86">
        <f t="shared" ref="C93:I93" si="15">+C94-C92-C89-C88-C87</f>
        <v>4736.3186988100679</v>
      </c>
      <c r="D93" s="86">
        <f t="shared" si="15"/>
        <v>4908.1027482838454</v>
      </c>
      <c r="E93" s="97">
        <f t="shared" si="15"/>
        <v>4614.5401984744894</v>
      </c>
      <c r="F93" s="77">
        <f t="shared" si="15"/>
        <v>5023.9140000043462</v>
      </c>
      <c r="G93" s="77">
        <f t="shared" si="15"/>
        <v>0</v>
      </c>
      <c r="H93" s="77">
        <f t="shared" si="15"/>
        <v>0</v>
      </c>
      <c r="I93" s="77">
        <f t="shared" si="15"/>
        <v>0</v>
      </c>
    </row>
    <row r="94" spans="1:9">
      <c r="A94" s="19" t="str">
        <f>HLOOKUP(INDICE!$F$2,Nombres!$C$3:$D$636,58,FALSE)</f>
        <v>Total assets / Liabilities and equity</v>
      </c>
      <c r="B94" s="19">
        <v>173545.70342479236</v>
      </c>
      <c r="C94" s="19">
        <v>176682.93923269253</v>
      </c>
      <c r="D94" s="19">
        <v>179385.99285027143</v>
      </c>
      <c r="E94" s="19">
        <v>186251.35774463613</v>
      </c>
      <c r="F94" s="96">
        <v>185747.57700000601</v>
      </c>
      <c r="G94" s="96">
        <v>0</v>
      </c>
      <c r="H94" s="96">
        <v>0</v>
      </c>
      <c r="I94" s="96">
        <v>0</v>
      </c>
    </row>
    <row r="95" spans="1:9">
      <c r="A95" s="17" t="str">
        <f>HLOOKUP(INDICE!$F$2,Nombres!$C$3:$D$636,59,FALSE)</f>
        <v>Financial liabilities held for trading and designated at fair value through profit or loss</v>
      </c>
      <c r="B95" s="86">
        <v>26698.527082029817</v>
      </c>
      <c r="C95" s="86">
        <v>30299.292771295237</v>
      </c>
      <c r="D95" s="86">
        <v>31757.613676047426</v>
      </c>
      <c r="E95" s="97">
        <v>33226.202269587826</v>
      </c>
      <c r="F95" s="77">
        <v>30965.568000000043</v>
      </c>
      <c r="G95" s="77">
        <v>0</v>
      </c>
      <c r="H95" s="77">
        <v>0</v>
      </c>
      <c r="I95" s="77">
        <v>0</v>
      </c>
    </row>
    <row r="96" spans="1:9">
      <c r="A96" s="17" t="str">
        <f>HLOOKUP(INDICE!$F$2,Nombres!$C$3:$D$636,60,FALSE)</f>
        <v>Deposits from central banks and credit institutions</v>
      </c>
      <c r="B96" s="86">
        <v>8524.2116352353405</v>
      </c>
      <c r="C96" s="86">
        <v>8287.9752647185796</v>
      </c>
      <c r="D96" s="86">
        <v>7083.2245838742783</v>
      </c>
      <c r="E96" s="97">
        <v>6146.7522159853215</v>
      </c>
      <c r="F96" s="77">
        <v>6057.5090000003884</v>
      </c>
      <c r="G96" s="77">
        <v>0</v>
      </c>
      <c r="H96" s="77">
        <v>0</v>
      </c>
      <c r="I96" s="77">
        <v>0</v>
      </c>
    </row>
    <row r="97" spans="1:9">
      <c r="A97" s="17" t="str">
        <f>HLOOKUP(INDICE!$F$2,Nombres!$C$3:$D$636,61,FALSE)</f>
        <v>Deposits from customers</v>
      </c>
      <c r="B97" s="86">
        <v>92395.257650968648</v>
      </c>
      <c r="C97" s="86">
        <v>91235.557763581732</v>
      </c>
      <c r="D97" s="86">
        <v>91025.746620672508</v>
      </c>
      <c r="E97" s="97">
        <v>95703.288436953037</v>
      </c>
      <c r="F97" s="77">
        <v>99307.823000000702</v>
      </c>
      <c r="G97" s="77">
        <v>0</v>
      </c>
      <c r="H97" s="77">
        <v>0</v>
      </c>
      <c r="I97" s="77">
        <v>0</v>
      </c>
    </row>
    <row r="98" spans="1:9">
      <c r="A98" s="17" t="str">
        <f>HLOOKUP(INDICE!$F$2,Nombres!$C$3:$D$636,62,FALSE)</f>
        <v>Debt certificates</v>
      </c>
      <c r="B98" s="77">
        <v>11823.300178160827</v>
      </c>
      <c r="C98" s="77">
        <v>11814.597428143341</v>
      </c>
      <c r="D98" s="77">
        <v>12328.992523741714</v>
      </c>
      <c r="E98" s="78">
        <v>11894.015991073853</v>
      </c>
      <c r="F98" s="77">
        <v>12505.554305100646</v>
      </c>
      <c r="G98" s="77">
        <v>0</v>
      </c>
      <c r="H98" s="77">
        <v>0</v>
      </c>
      <c r="I98" s="77">
        <v>0</v>
      </c>
    </row>
    <row r="99" spans="1:9" hidden="1">
      <c r="A99" s="17"/>
      <c r="B99" s="77"/>
      <c r="C99" s="77"/>
      <c r="D99" s="77"/>
      <c r="E99" s="78"/>
      <c r="F99" s="77"/>
      <c r="G99" s="77"/>
      <c r="H99" s="77"/>
      <c r="I99" s="77"/>
    </row>
    <row r="100" spans="1:9">
      <c r="A100" s="17" t="str">
        <f>HLOOKUP(INDICE!$F$2,Nombres!$C$3:$D$636,63,FALSE)</f>
        <v>Other liabilities</v>
      </c>
      <c r="B100" s="86">
        <f>+B94-B95-B96-B97-B98-B101</f>
        <v>21198.248440935749</v>
      </c>
      <c r="C100" s="86">
        <f t="shared" ref="C100:I100" si="16">+C94-C95-C96-C97-C98-C101</f>
        <v>22419.563125333189</v>
      </c>
      <c r="D100" s="86">
        <f t="shared" si="16"/>
        <v>24564.450968802692</v>
      </c>
      <c r="E100" s="97">
        <f t="shared" si="16"/>
        <v>28048.977723063057</v>
      </c>
      <c r="F100" s="77">
        <f t="shared" si="16"/>
        <v>25326.906303678807</v>
      </c>
      <c r="G100" s="77">
        <f t="shared" si="16"/>
        <v>0</v>
      </c>
      <c r="H100" s="77">
        <f t="shared" si="16"/>
        <v>0</v>
      </c>
      <c r="I100" s="77">
        <f t="shared" si="16"/>
        <v>0</v>
      </c>
    </row>
    <row r="101" spans="1:9">
      <c r="A101" s="17" t="str">
        <f>HLOOKUP(INDICE!$F$2,Nombres!$C$3:$D$636,282,FALSE)</f>
        <v>Allocated regulatory capital</v>
      </c>
      <c r="B101" s="77">
        <v>12906.158437461972</v>
      </c>
      <c r="C101" s="77">
        <v>12625.952879620449</v>
      </c>
      <c r="D101" s="77">
        <v>12625.96447713282</v>
      </c>
      <c r="E101" s="77">
        <v>11232.121107973022</v>
      </c>
      <c r="F101" s="77">
        <v>11584.216391225404</v>
      </c>
      <c r="G101" s="77">
        <v>0</v>
      </c>
      <c r="H101" s="77">
        <v>0</v>
      </c>
      <c r="I101" s="77">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98" t="str">
        <f>HLOOKUP(INDICE!$F$2,Nombres!$C$3:$D$636,65,FALSE)</f>
        <v>Relevant business indicators</v>
      </c>
      <c r="B104" s="99"/>
      <c r="C104" s="99"/>
      <c r="D104" s="99"/>
      <c r="E104" s="99"/>
      <c r="F104" s="108"/>
      <c r="G104" s="108"/>
      <c r="H104" s="108"/>
      <c r="I104" s="108"/>
    </row>
    <row r="105" spans="1:9">
      <c r="A105" s="67" t="str">
        <f>HLOOKUP(INDICE!$F$2,Nombres!$C$3:$D$636,73,FALSE)</f>
        <v xml:space="preserve">(Constant million euros)    </v>
      </c>
      <c r="B105" s="62"/>
      <c r="C105" s="62"/>
      <c r="D105" s="62"/>
      <c r="E105" s="62"/>
      <c r="F105" s="107"/>
      <c r="G105" s="107"/>
      <c r="H105" s="107"/>
      <c r="I105" s="10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Loans and advances to customers (gross) (*)</v>
      </c>
      <c r="B107" s="77">
        <v>96910.26034063143</v>
      </c>
      <c r="C107" s="77">
        <v>97761.072574592807</v>
      </c>
      <c r="D107" s="77">
        <v>98970.859315993221</v>
      </c>
      <c r="E107" s="78">
        <v>102541.55443248912</v>
      </c>
      <c r="F107" s="77">
        <v>105062.45800000054</v>
      </c>
      <c r="G107" s="77">
        <v>0</v>
      </c>
      <c r="H107" s="77">
        <v>0</v>
      </c>
      <c r="I107" s="77">
        <v>0</v>
      </c>
    </row>
    <row r="108" spans="1:9">
      <c r="A108" s="17" t="str">
        <f>HLOOKUP(INDICE!$F$2,Nombres!$C$3:$D$636,67,FALSE)</f>
        <v>Customer deposits under management (*)</v>
      </c>
      <c r="B108" s="77">
        <v>91378.970010082732</v>
      </c>
      <c r="C108" s="77">
        <v>91232.948800061538</v>
      </c>
      <c r="D108" s="77">
        <v>91023.837810459154</v>
      </c>
      <c r="E108" s="78">
        <v>95664.551216846201</v>
      </c>
      <c r="F108" s="77">
        <v>98390.624000000535</v>
      </c>
      <c r="G108" s="77">
        <v>0</v>
      </c>
      <c r="H108" s="77">
        <v>0</v>
      </c>
      <c r="I108" s="77">
        <v>0</v>
      </c>
    </row>
    <row r="109" spans="1:9">
      <c r="A109" s="17" t="str">
        <f>HLOOKUP(INDICE!$F$2,Nombres!$C$3:$D$636,68,FALSE)</f>
        <v>Investment funds and managed portfolios</v>
      </c>
      <c r="B109" s="77">
        <v>57360.659228090575</v>
      </c>
      <c r="C109" s="77">
        <v>60051.4875660217</v>
      </c>
      <c r="D109" s="77">
        <v>63472.816918836092</v>
      </c>
      <c r="E109" s="78">
        <v>63890.90347566273</v>
      </c>
      <c r="F109" s="77">
        <v>64610.940158000092</v>
      </c>
      <c r="G109" s="77">
        <v>0</v>
      </c>
      <c r="H109" s="77">
        <v>0</v>
      </c>
      <c r="I109" s="77">
        <v>0</v>
      </c>
    </row>
    <row r="110" spans="1:9">
      <c r="A110" s="17" t="str">
        <f>HLOOKUP(INDICE!$F$2,Nombres!$C$3:$D$636,69,FALSE)</f>
        <v>Pension funds</v>
      </c>
      <c r="B110" s="77">
        <v>0</v>
      </c>
      <c r="C110" s="77">
        <v>0</v>
      </c>
      <c r="D110" s="77">
        <v>0</v>
      </c>
      <c r="E110" s="78">
        <v>0</v>
      </c>
      <c r="F110" s="77">
        <v>0</v>
      </c>
      <c r="G110" s="77">
        <v>0</v>
      </c>
      <c r="H110" s="77">
        <v>0</v>
      </c>
      <c r="I110" s="77">
        <v>0</v>
      </c>
    </row>
    <row r="111" spans="1:9">
      <c r="A111" s="17" t="str">
        <f>HLOOKUP(INDICE!$F$2,Nombres!$C$3:$D$636,70,FALSE)</f>
        <v>Other off balance-sheet funds</v>
      </c>
      <c r="B111" s="77">
        <v>5125.3979916763637</v>
      </c>
      <c r="C111" s="77">
        <v>5797.7568855769823</v>
      </c>
      <c r="D111" s="77">
        <v>6800.42755476602</v>
      </c>
      <c r="E111" s="78">
        <v>7011.5655651514871</v>
      </c>
      <c r="F111" s="77">
        <v>7558.2736959309022</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Income statement  </v>
      </c>
      <c r="B115" s="66"/>
      <c r="C115" s="66"/>
      <c r="D115" s="66"/>
      <c r="E115" s="66"/>
      <c r="F115" s="66"/>
      <c r="G115" s="66"/>
      <c r="H115" s="66"/>
      <c r="I115" s="66"/>
    </row>
    <row r="116" spans="1:9">
      <c r="A116" s="67" t="str">
        <f>HLOOKUP(INDICE!$F$2,Nombres!$C$3:$D$636,74,FALSE)</f>
        <v>(Million Mexican pesos)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1Q</v>
      </c>
      <c r="C119" s="71" t="str">
        <f t="shared" ref="C119:I119" si="18">+C$7</f>
        <v>2Q</v>
      </c>
      <c r="D119" s="71" t="str">
        <f t="shared" si="18"/>
        <v>3Q</v>
      </c>
      <c r="E119" s="72" t="str">
        <f t="shared" si="18"/>
        <v>4Q</v>
      </c>
      <c r="F119" s="71" t="str">
        <f t="shared" si="18"/>
        <v>1Q</v>
      </c>
      <c r="G119" s="71" t="str">
        <f t="shared" si="18"/>
        <v>2Q</v>
      </c>
      <c r="H119" s="71" t="str">
        <f t="shared" si="18"/>
        <v>3Q</v>
      </c>
      <c r="I119" s="71" t="str">
        <f t="shared" si="18"/>
        <v>4Q</v>
      </c>
    </row>
    <row r="120" spans="1:9">
      <c r="A120" s="25" t="str">
        <f>HLOOKUP(INDICE!$F$2,Nombres!$C$3:$D$636,33,FALSE)</f>
        <v>Net interest income</v>
      </c>
      <c r="B120" s="25">
        <v>59483.001391759281</v>
      </c>
      <c r="C120" s="25">
        <v>60739.621810807243</v>
      </c>
      <c r="D120" s="25">
        <v>62738.809415467484</v>
      </c>
      <c r="E120" s="73">
        <v>64637.842173446224</v>
      </c>
      <c r="F120" s="74">
        <v>64440.348492143938</v>
      </c>
      <c r="G120" s="74">
        <v>0</v>
      </c>
      <c r="H120" s="74">
        <v>0</v>
      </c>
      <c r="I120" s="74">
        <v>0</v>
      </c>
    </row>
    <row r="121" spans="1:9">
      <c r="A121" s="17" t="str">
        <f>HLOOKUP(INDICE!$F$2,Nombres!$C$3:$D$636,34,FALSE)</f>
        <v>Net fees and commissions</v>
      </c>
      <c r="B121" s="77">
        <v>12525.792550261835</v>
      </c>
      <c r="C121" s="77">
        <v>12433.060330499755</v>
      </c>
      <c r="D121" s="77">
        <v>12757.650479455169</v>
      </c>
      <c r="E121" s="78">
        <v>13590.40176940612</v>
      </c>
      <c r="F121" s="77">
        <v>13317.547408535082</v>
      </c>
      <c r="G121" s="77">
        <v>0</v>
      </c>
      <c r="H121" s="77">
        <v>0</v>
      </c>
      <c r="I121" s="77">
        <v>0</v>
      </c>
    </row>
    <row r="122" spans="1:9">
      <c r="A122" s="17" t="str">
        <f>HLOOKUP(INDICE!$F$2,Nombres!$C$3:$D$636,35,FALSE)</f>
        <v>Net trading income</v>
      </c>
      <c r="B122" s="77">
        <v>4731.4124238273553</v>
      </c>
      <c r="C122" s="77">
        <v>3991.2960064810432</v>
      </c>
      <c r="D122" s="77">
        <v>3709.9218083409396</v>
      </c>
      <c r="E122" s="78">
        <v>4651.265918292479</v>
      </c>
      <c r="F122" s="77">
        <v>5868.335557173069</v>
      </c>
      <c r="G122" s="77">
        <v>0</v>
      </c>
      <c r="H122" s="77">
        <v>0</v>
      </c>
      <c r="I122" s="77">
        <v>0</v>
      </c>
    </row>
    <row r="123" spans="1:9">
      <c r="A123" s="17" t="str">
        <f>HLOOKUP(INDICE!$F$2,Nombres!$C$3:$D$636,36,FALSE)</f>
        <v>Other operating income and expenses</v>
      </c>
      <c r="B123" s="77">
        <v>2910.2245400427728</v>
      </c>
      <c r="C123" s="77">
        <v>3485.2395785372628</v>
      </c>
      <c r="D123" s="77">
        <v>2985.9459726373029</v>
      </c>
      <c r="E123" s="78">
        <v>4043.6661896511409</v>
      </c>
      <c r="F123" s="77">
        <v>4199.9011842386517</v>
      </c>
      <c r="G123" s="77">
        <v>0</v>
      </c>
      <c r="H123" s="77">
        <v>0</v>
      </c>
      <c r="I123" s="77">
        <v>0</v>
      </c>
    </row>
    <row r="124" spans="1:9">
      <c r="A124" s="25" t="str">
        <f>HLOOKUP(INDICE!$F$2,Nombres!$C$3:$D$636,37,FALSE)</f>
        <v>Gross income</v>
      </c>
      <c r="B124" s="25">
        <f>+SUM(B120:B123)</f>
        <v>79650.430905891248</v>
      </c>
      <c r="C124" s="25">
        <f t="shared" ref="C124:I124" si="19">+SUM(C120:C123)</f>
        <v>80649.217726325311</v>
      </c>
      <c r="D124" s="25">
        <f t="shared" si="19"/>
        <v>82192.327675900888</v>
      </c>
      <c r="E124" s="73">
        <f t="shared" si="19"/>
        <v>86923.17605079597</v>
      </c>
      <c r="F124" s="74">
        <f t="shared" si="19"/>
        <v>87826.132642090743</v>
      </c>
      <c r="G124" s="74">
        <f t="shared" si="19"/>
        <v>0</v>
      </c>
      <c r="H124" s="74">
        <f t="shared" si="19"/>
        <v>0</v>
      </c>
      <c r="I124" s="74">
        <f t="shared" si="19"/>
        <v>0</v>
      </c>
    </row>
    <row r="125" spans="1:9">
      <c r="A125" s="17" t="str">
        <f>HLOOKUP(INDICE!$F$2,Nombres!$C$3:$D$636,38,FALSE)</f>
        <v>Operating expenses</v>
      </c>
      <c r="B125" s="77">
        <v>-24686.561713139741</v>
      </c>
      <c r="C125" s="77">
        <v>-24509.094718101023</v>
      </c>
      <c r="D125" s="77">
        <v>-24961.609506871293</v>
      </c>
      <c r="E125" s="78">
        <v>-26400.362169275704</v>
      </c>
      <c r="F125" s="77">
        <v>-27090.048758214387</v>
      </c>
      <c r="G125" s="77">
        <v>0</v>
      </c>
      <c r="H125" s="77">
        <v>0</v>
      </c>
      <c r="I125" s="77">
        <v>0</v>
      </c>
    </row>
    <row r="126" spans="1:9">
      <c r="A126" s="17" t="str">
        <f>HLOOKUP(INDICE!$F$2,Nombres!$C$3:$D$636,39,FALSE)</f>
        <v xml:space="preserve">  Administration expenses</v>
      </c>
      <c r="B126" s="77">
        <v>-22359.112424345331</v>
      </c>
      <c r="C126" s="77">
        <v>-22135.314698940143</v>
      </c>
      <c r="D126" s="77">
        <v>-22554.301041555122</v>
      </c>
      <c r="E126" s="78">
        <v>-23962.482757895883</v>
      </c>
      <c r="F126" s="77">
        <v>-24561.74901306687</v>
      </c>
      <c r="G126" s="77">
        <v>0</v>
      </c>
      <c r="H126" s="77">
        <v>0</v>
      </c>
      <c r="I126" s="77">
        <v>0</v>
      </c>
    </row>
    <row r="127" spans="1:9">
      <c r="A127" s="79" t="str">
        <f>HLOOKUP(INDICE!$F$2,Nombres!$C$3:$D$636,40,FALSE)</f>
        <v xml:space="preserve">  Personnel expenses</v>
      </c>
      <c r="B127" s="77">
        <v>-11884.872693189194</v>
      </c>
      <c r="C127" s="77">
        <v>-11395.935961579564</v>
      </c>
      <c r="D127" s="77">
        <v>-11416.171681122831</v>
      </c>
      <c r="E127" s="78">
        <v>-12475.397959976144</v>
      </c>
      <c r="F127" s="77">
        <v>-12481.982536780686</v>
      </c>
      <c r="G127" s="77">
        <v>0</v>
      </c>
      <c r="H127" s="77">
        <v>0</v>
      </c>
      <c r="I127" s="77">
        <v>0</v>
      </c>
    </row>
    <row r="128" spans="1:9">
      <c r="A128" s="79" t="str">
        <f>HLOOKUP(INDICE!$F$2,Nombres!$C$3:$D$636,41,FALSE)</f>
        <v xml:space="preserve">  General and administrative expenses</v>
      </c>
      <c r="B128" s="77">
        <v>-10474.239731156138</v>
      </c>
      <c r="C128" s="77">
        <v>-10739.378737360581</v>
      </c>
      <c r="D128" s="77">
        <v>-11138.129360432289</v>
      </c>
      <c r="E128" s="78">
        <v>-11487.084797919735</v>
      </c>
      <c r="F128" s="77">
        <v>-12079.766476286184</v>
      </c>
      <c r="G128" s="77">
        <v>0</v>
      </c>
      <c r="H128" s="77">
        <v>0</v>
      </c>
      <c r="I128" s="77">
        <v>0</v>
      </c>
    </row>
    <row r="129" spans="1:9">
      <c r="A129" s="17" t="str">
        <f>HLOOKUP(INDICE!$F$2,Nombres!$C$3:$D$636,42,FALSE)</f>
        <v xml:space="preserve">  Depreciation</v>
      </c>
      <c r="B129" s="77">
        <v>-2327.4492887944089</v>
      </c>
      <c r="C129" s="77">
        <v>-2373.7800191608817</v>
      </c>
      <c r="D129" s="77">
        <v>-2407.3084653161709</v>
      </c>
      <c r="E129" s="78">
        <v>-2437.8794113798235</v>
      </c>
      <c r="F129" s="77">
        <v>-2528.2997451475144</v>
      </c>
      <c r="G129" s="77">
        <v>0</v>
      </c>
      <c r="H129" s="77">
        <v>0</v>
      </c>
      <c r="I129" s="77">
        <v>0</v>
      </c>
    </row>
    <row r="130" spans="1:9">
      <c r="A130" s="25" t="str">
        <f>HLOOKUP(INDICE!$F$2,Nombres!$C$3:$D$636,43,FALSE)</f>
        <v>Operating income</v>
      </c>
      <c r="B130" s="25">
        <f>+B124+B125</f>
        <v>54963.869192751503</v>
      </c>
      <c r="C130" s="25">
        <f t="shared" ref="C130:I130" si="20">+C124+C125</f>
        <v>56140.123008224284</v>
      </c>
      <c r="D130" s="25">
        <f t="shared" si="20"/>
        <v>57230.718169029598</v>
      </c>
      <c r="E130" s="73">
        <f t="shared" si="20"/>
        <v>60522.813881520269</v>
      </c>
      <c r="F130" s="74">
        <f t="shared" si="20"/>
        <v>60736.083883876359</v>
      </c>
      <c r="G130" s="74">
        <f t="shared" si="20"/>
        <v>0</v>
      </c>
      <c r="H130" s="74">
        <f t="shared" si="20"/>
        <v>0</v>
      </c>
      <c r="I130" s="74">
        <f t="shared" si="20"/>
        <v>0</v>
      </c>
    </row>
    <row r="131" spans="1:9">
      <c r="A131" s="17" t="str">
        <f>HLOOKUP(INDICE!$F$2,Nombres!$C$3:$D$636,44,FALSE)</f>
        <v>Impaiment on financial assets not measured at fair value through profit or loss</v>
      </c>
      <c r="B131" s="77">
        <v>-14956.202599895738</v>
      </c>
      <c r="C131" s="77">
        <v>-17459.96550669743</v>
      </c>
      <c r="D131" s="77">
        <v>-17258.458275098856</v>
      </c>
      <c r="E131" s="78">
        <v>-18175.803338249483</v>
      </c>
      <c r="F131" s="77">
        <v>-18154.084786834188</v>
      </c>
      <c r="G131" s="77">
        <v>0</v>
      </c>
      <c r="H131" s="77">
        <v>0</v>
      </c>
      <c r="I131" s="77">
        <v>0</v>
      </c>
    </row>
    <row r="132" spans="1:9">
      <c r="A132" s="17" t="str">
        <f>HLOOKUP(INDICE!$F$2,Nombres!$C$3:$D$636,45,FALSE)</f>
        <v>Provisions or reversal of provisions and other results</v>
      </c>
      <c r="B132" s="77">
        <v>-291.99634846600918</v>
      </c>
      <c r="C132" s="77">
        <v>-464.58915523849794</v>
      </c>
      <c r="D132" s="77">
        <v>-755.29625641543305</v>
      </c>
      <c r="E132" s="78">
        <v>-765.89094517464719</v>
      </c>
      <c r="F132" s="77">
        <v>-177.37263211027883</v>
      </c>
      <c r="G132" s="77">
        <v>0</v>
      </c>
      <c r="H132" s="77">
        <v>0</v>
      </c>
      <c r="I132" s="77">
        <v>0</v>
      </c>
    </row>
    <row r="133" spans="1:9">
      <c r="A133" s="25" t="str">
        <f>HLOOKUP(INDICE!$F$2,Nombres!$C$3:$D$636,46,FALSE)</f>
        <v>Profit/(loss) before tax</v>
      </c>
      <c r="B133" s="25">
        <f>+B130+B131+B132</f>
        <v>39715.670244389752</v>
      </c>
      <c r="C133" s="25">
        <f t="shared" ref="C133:I133" si="21">+C130+C131+C132</f>
        <v>38215.568346288353</v>
      </c>
      <c r="D133" s="25">
        <f t="shared" si="21"/>
        <v>39216.963637515313</v>
      </c>
      <c r="E133" s="73">
        <f t="shared" si="21"/>
        <v>41581.119598096142</v>
      </c>
      <c r="F133" s="74">
        <f t="shared" si="21"/>
        <v>42404.626464931891</v>
      </c>
      <c r="G133" s="74">
        <f t="shared" si="21"/>
        <v>0</v>
      </c>
      <c r="H133" s="74">
        <f t="shared" si="21"/>
        <v>0</v>
      </c>
      <c r="I133" s="74">
        <f t="shared" si="21"/>
        <v>0</v>
      </c>
    </row>
    <row r="134" spans="1:9">
      <c r="A134" s="17" t="str">
        <f>HLOOKUP(INDICE!$F$2,Nombres!$C$3:$D$636,47,FALSE)</f>
        <v>Income tax</v>
      </c>
      <c r="B134" s="77">
        <v>-11143.734396845459</v>
      </c>
      <c r="C134" s="77">
        <v>-10684.035413212048</v>
      </c>
      <c r="D134" s="77">
        <v>-11018.69801536159</v>
      </c>
      <c r="E134" s="78">
        <v>-12027.689751119926</v>
      </c>
      <c r="F134" s="77">
        <v>-12548.635909498924</v>
      </c>
      <c r="G134" s="77">
        <v>0</v>
      </c>
      <c r="H134" s="77">
        <v>0</v>
      </c>
      <c r="I134" s="77">
        <v>0</v>
      </c>
    </row>
    <row r="135" spans="1:9">
      <c r="A135" s="25" t="str">
        <f>HLOOKUP(INDICE!$F$2,Nombres!$C$3:$D$636,48,FALSE)</f>
        <v>Profit/(loss) for the year</v>
      </c>
      <c r="B135" s="25">
        <f>+B133+B134</f>
        <v>28571.935847544293</v>
      </c>
      <c r="C135" s="25">
        <f t="shared" ref="C135:I135" si="22">+C133+C134</f>
        <v>27531.532933076305</v>
      </c>
      <c r="D135" s="25">
        <f t="shared" si="22"/>
        <v>28198.265622153725</v>
      </c>
      <c r="E135" s="73">
        <f t="shared" si="22"/>
        <v>29553.429846976214</v>
      </c>
      <c r="F135" s="74">
        <f t="shared" si="22"/>
        <v>29855.990555432967</v>
      </c>
      <c r="G135" s="74">
        <f t="shared" si="22"/>
        <v>0</v>
      </c>
      <c r="H135" s="74">
        <f t="shared" si="22"/>
        <v>0</v>
      </c>
      <c r="I135" s="74">
        <f t="shared" si="22"/>
        <v>0</v>
      </c>
    </row>
    <row r="136" spans="1:9">
      <c r="A136" s="17" t="str">
        <f>HLOOKUP(INDICE!$F$2,Nombres!$C$3:$D$636,49,FALSE)</f>
        <v>Non-controlling interests</v>
      </c>
      <c r="B136" s="77">
        <v>-5.2671987092696471</v>
      </c>
      <c r="C136" s="77">
        <v>-5.0724815044850695</v>
      </c>
      <c r="D136" s="77">
        <v>-5.1597539050235648</v>
      </c>
      <c r="E136" s="78">
        <v>-5.4162511153383184</v>
      </c>
      <c r="F136" s="77">
        <v>-5.4658381784611398</v>
      </c>
      <c r="G136" s="77">
        <v>0</v>
      </c>
      <c r="H136" s="77">
        <v>0</v>
      </c>
      <c r="I136" s="77">
        <v>0</v>
      </c>
    </row>
    <row r="137" spans="1:9">
      <c r="A137" s="19" t="str">
        <f>HLOOKUP(INDICE!$F$2,Nombres!$C$3:$D$636,50,FALSE)</f>
        <v>Net attributable profit</v>
      </c>
      <c r="B137" s="19">
        <f>+B135+B136</f>
        <v>28566.668648835024</v>
      </c>
      <c r="C137" s="19">
        <f t="shared" ref="C137:I137" si="23">+C135+C136</f>
        <v>27526.46045157182</v>
      </c>
      <c r="D137" s="19">
        <f t="shared" si="23"/>
        <v>28193.105868248702</v>
      </c>
      <c r="E137" s="19">
        <f t="shared" si="23"/>
        <v>29548.013595860877</v>
      </c>
      <c r="F137" s="96">
        <f t="shared" si="23"/>
        <v>29850.524717254506</v>
      </c>
      <c r="G137" s="96">
        <f t="shared" si="23"/>
        <v>0</v>
      </c>
      <c r="H137" s="96">
        <f t="shared" si="23"/>
        <v>0</v>
      </c>
      <c r="I137" s="96">
        <f t="shared" si="23"/>
        <v>0</v>
      </c>
    </row>
    <row r="138" spans="1:9">
      <c r="A138" s="93"/>
      <c r="B138" s="101">
        <v>0</v>
      </c>
      <c r="C138" s="101">
        <v>0</v>
      </c>
      <c r="D138" s="101">
        <v>0</v>
      </c>
      <c r="E138" s="101">
        <v>0</v>
      </c>
      <c r="F138" s="101">
        <v>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 sheets</v>
      </c>
      <c r="B140" s="66"/>
      <c r="C140" s="66"/>
      <c r="D140" s="66"/>
      <c r="E140" s="66"/>
      <c r="F140" s="106"/>
      <c r="G140" s="106"/>
      <c r="H140" s="106"/>
      <c r="I140" s="106"/>
    </row>
    <row r="141" spans="1:9">
      <c r="A141" s="67" t="str">
        <f>HLOOKUP(INDICE!$F$2,Nombres!$C$3:$D$636,74,FALSE)</f>
        <v>(Million Mexican pesos)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Cash, cash balances at central banks and other demand deposits</v>
      </c>
      <c r="B143" s="77">
        <v>289798.48448407336</v>
      </c>
      <c r="C143" s="77">
        <v>235747.30062030492</v>
      </c>
      <c r="D143" s="77">
        <v>265390.6535475314</v>
      </c>
      <c r="E143" s="78">
        <v>219992.83705275215</v>
      </c>
      <c r="F143" s="77">
        <v>195375.06564087051</v>
      </c>
      <c r="G143" s="77">
        <v>0</v>
      </c>
      <c r="H143" s="77">
        <v>0</v>
      </c>
      <c r="I143" s="77">
        <v>0</v>
      </c>
    </row>
    <row r="144" spans="1:9">
      <c r="A144" s="17" t="str">
        <f>HLOOKUP(INDICE!$F$2,Nombres!$C$3:$D$636,53,FALSE)</f>
        <v xml:space="preserve">Financial assets designated at fair value </v>
      </c>
      <c r="B144" s="86">
        <v>1094920.6817314303</v>
      </c>
      <c r="C144" s="86">
        <v>1174835.9790094579</v>
      </c>
      <c r="D144" s="86">
        <v>1181641.0573184988</v>
      </c>
      <c r="E144" s="97">
        <v>1269948.9225402926</v>
      </c>
      <c r="F144" s="77">
        <v>1231849.836784876</v>
      </c>
      <c r="G144" s="77">
        <v>0</v>
      </c>
      <c r="H144" s="77">
        <v>0</v>
      </c>
      <c r="I144" s="77">
        <v>0</v>
      </c>
    </row>
    <row r="145" spans="1:9">
      <c r="A145" s="17" t="str">
        <f>HLOOKUP(INDICE!$F$2,Nombres!$C$3:$D$636,54,FALSE)</f>
        <v>Financial assets at amortized cost</v>
      </c>
      <c r="B145" s="77">
        <v>2067748.8085590524</v>
      </c>
      <c r="C145" s="77">
        <v>2107078.2905117734</v>
      </c>
      <c r="D145" s="77">
        <v>2123237.4715700541</v>
      </c>
      <c r="E145" s="78">
        <v>2227818.0050536604</v>
      </c>
      <c r="F145" s="77">
        <v>2272146.8018545848</v>
      </c>
      <c r="G145" s="77">
        <v>0</v>
      </c>
      <c r="H145" s="77">
        <v>0</v>
      </c>
      <c r="I145" s="77">
        <v>0</v>
      </c>
    </row>
    <row r="146" spans="1:9">
      <c r="A146" s="17" t="str">
        <f>HLOOKUP(INDICE!$F$2,Nombres!$C$3:$D$636,55,FALSE)</f>
        <v xml:space="preserve">    of which loans and advances to customers</v>
      </c>
      <c r="B146" s="77">
        <v>1953026.7839696624</v>
      </c>
      <c r="C146" s="77">
        <v>1960664.5335816541</v>
      </c>
      <c r="D146" s="77">
        <v>1984058.781879477</v>
      </c>
      <c r="E146" s="78">
        <v>2053924.8328089274</v>
      </c>
      <c r="F146" s="77">
        <v>2109022.2909175591</v>
      </c>
      <c r="G146" s="77">
        <v>0</v>
      </c>
      <c r="H146" s="77">
        <v>0</v>
      </c>
      <c r="I146" s="77">
        <v>0</v>
      </c>
    </row>
    <row r="147" spans="1:9" hidden="1">
      <c r="A147" s="17"/>
      <c r="B147" s="77"/>
      <c r="C147" s="77"/>
      <c r="D147" s="77"/>
      <c r="E147" s="78"/>
      <c r="F147" s="77"/>
      <c r="G147" s="77"/>
      <c r="H147" s="77"/>
      <c r="I147" s="77"/>
    </row>
    <row r="148" spans="1:9">
      <c r="A148" s="17" t="str">
        <f>HLOOKUP(INDICE!$F$2,Nombres!$C$3:$D$636,56,FALSE)</f>
        <v>Tangible assets</v>
      </c>
      <c r="B148" s="77">
        <v>43296.261671588465</v>
      </c>
      <c r="C148" s="77">
        <v>43373.187301130885</v>
      </c>
      <c r="D148" s="77">
        <v>43186.691675232949</v>
      </c>
      <c r="E148" s="78">
        <v>43956.71575814778</v>
      </c>
      <c r="F148" s="77">
        <v>43433.428821058733</v>
      </c>
      <c r="G148" s="77">
        <v>0</v>
      </c>
      <c r="H148" s="77">
        <v>0</v>
      </c>
      <c r="I148" s="77">
        <v>0</v>
      </c>
    </row>
    <row r="149" spans="1:9">
      <c r="A149" s="17" t="str">
        <f>HLOOKUP(INDICE!$F$2,Nombres!$C$3:$D$636,57,FALSE)</f>
        <v>Other assets</v>
      </c>
      <c r="B149" s="86">
        <f>+B150-B148-B145-B144-B143</f>
        <v>98420.51331530523</v>
      </c>
      <c r="C149" s="86">
        <f t="shared" ref="C149:I149" si="25">+C150-C148-C145-C144-C143</f>
        <v>98089.847510294028</v>
      </c>
      <c r="D149" s="86">
        <f t="shared" si="25"/>
        <v>101647.32788176514</v>
      </c>
      <c r="E149" s="97">
        <f t="shared" si="25"/>
        <v>95567.587262544897</v>
      </c>
      <c r="F149" s="77">
        <f t="shared" si="25"/>
        <v>104045.76133163084</v>
      </c>
      <c r="G149" s="77">
        <f t="shared" si="25"/>
        <v>0</v>
      </c>
      <c r="H149" s="77">
        <f t="shared" si="25"/>
        <v>0</v>
      </c>
      <c r="I149" s="77">
        <f t="shared" si="25"/>
        <v>0</v>
      </c>
    </row>
    <row r="150" spans="1:9">
      <c r="A150" s="19" t="str">
        <f>HLOOKUP(INDICE!$F$2,Nombres!$C$3:$D$636,58,FALSE)</f>
        <v>Total assets / Liabilities and equity</v>
      </c>
      <c r="B150" s="19">
        <v>3594184.7497614496</v>
      </c>
      <c r="C150" s="19">
        <v>3659124.6049529612</v>
      </c>
      <c r="D150" s="19">
        <v>3715103.2019930822</v>
      </c>
      <c r="E150" s="19">
        <v>3857284.0676673977</v>
      </c>
      <c r="F150" s="96">
        <v>3846850.8944330211</v>
      </c>
      <c r="G150" s="96">
        <v>0</v>
      </c>
      <c r="H150" s="96">
        <v>0</v>
      </c>
      <c r="I150" s="96">
        <v>0</v>
      </c>
    </row>
    <row r="151" spans="1:9">
      <c r="A151" s="17" t="str">
        <f>HLOOKUP(INDICE!$F$2,Nombres!$C$3:$D$636,59,FALSE)</f>
        <v>Financial liabilities held for trading and designated at fair value through profit or loss</v>
      </c>
      <c r="B151" s="86">
        <v>552929.16572229262</v>
      </c>
      <c r="C151" s="86">
        <v>627501.383223649</v>
      </c>
      <c r="D151" s="86">
        <v>657703.35499319807</v>
      </c>
      <c r="E151" s="97">
        <v>688117.97162432037</v>
      </c>
      <c r="F151" s="77">
        <v>641300.00983766699</v>
      </c>
      <c r="G151" s="77">
        <v>0</v>
      </c>
      <c r="H151" s="77">
        <v>0</v>
      </c>
      <c r="I151" s="77">
        <v>0</v>
      </c>
    </row>
    <row r="152" spans="1:9">
      <c r="A152" s="17" t="str">
        <f>HLOOKUP(INDICE!$F$2,Nombres!$C$3:$D$636,60,FALSE)</f>
        <v>Deposits from central banks and credit institutions</v>
      </c>
      <c r="B152" s="86">
        <v>176537.2753871259</v>
      </c>
      <c r="C152" s="86">
        <v>171644.79653008014</v>
      </c>
      <c r="D152" s="86">
        <v>146694.28945469283</v>
      </c>
      <c r="E152" s="97">
        <v>127299.85306844953</v>
      </c>
      <c r="F152" s="77">
        <v>125451.6171410775</v>
      </c>
      <c r="G152" s="77">
        <v>0</v>
      </c>
      <c r="H152" s="77">
        <v>0</v>
      </c>
      <c r="I152" s="77">
        <v>0</v>
      </c>
    </row>
    <row r="153" spans="1:9">
      <c r="A153" s="17" t="str">
        <f>HLOOKUP(INDICE!$F$2,Nombres!$C$3:$D$636,61,FALSE)</f>
        <v>Deposits from customers</v>
      </c>
      <c r="B153" s="86">
        <v>1913515.02547991</v>
      </c>
      <c r="C153" s="86">
        <v>1889497.5248421063</v>
      </c>
      <c r="D153" s="86">
        <v>1885152.3150913359</v>
      </c>
      <c r="E153" s="97">
        <v>1982024.6738608177</v>
      </c>
      <c r="F153" s="77">
        <v>2056674.9451150917</v>
      </c>
      <c r="G153" s="77">
        <v>0</v>
      </c>
      <c r="H153" s="77">
        <v>0</v>
      </c>
      <c r="I153" s="77">
        <v>0</v>
      </c>
    </row>
    <row r="154" spans="1:9">
      <c r="A154" s="17" t="str">
        <f>HLOOKUP(INDICE!$F$2,Nombres!$C$3:$D$636,62,FALSE)</f>
        <v>Debt certificates</v>
      </c>
      <c r="B154" s="77">
        <v>244861.75863967778</v>
      </c>
      <c r="C154" s="77">
        <v>244681.75609764643</v>
      </c>
      <c r="D154" s="77">
        <v>255334.74758597501</v>
      </c>
      <c r="E154" s="78">
        <v>246326.24987316204</v>
      </c>
      <c r="F154" s="77">
        <v>258991.2802144147</v>
      </c>
      <c r="G154" s="77">
        <v>0</v>
      </c>
      <c r="H154" s="77">
        <v>0</v>
      </c>
      <c r="I154" s="77">
        <v>0</v>
      </c>
    </row>
    <row r="155" spans="1:9" hidden="1">
      <c r="A155" s="17"/>
      <c r="B155" s="77"/>
      <c r="C155" s="77"/>
      <c r="D155" s="77"/>
      <c r="E155" s="78"/>
      <c r="F155" s="77"/>
      <c r="G155" s="77"/>
      <c r="H155" s="77"/>
      <c r="I155" s="77"/>
    </row>
    <row r="156" spans="1:9">
      <c r="A156" s="17" t="str">
        <f>HLOOKUP(INDICE!$F$2,Nombres!$C$3:$D$636,63,FALSE)</f>
        <v>Other liabilities</v>
      </c>
      <c r="B156" s="86">
        <f>+B150-B151-B152-B153-B154-B157</f>
        <v>439053.60723519424</v>
      </c>
      <c r="C156" s="86">
        <f t="shared" ref="C156:I156" si="26">+C150-C151-C152-C153-C154-C157</f>
        <v>464313.64204403927</v>
      </c>
      <c r="D156" s="86">
        <f t="shared" si="26"/>
        <v>508733.2785659465</v>
      </c>
      <c r="E156" s="97">
        <f t="shared" si="26"/>
        <v>580896.99875876296</v>
      </c>
      <c r="F156" s="77">
        <f t="shared" si="26"/>
        <v>524522.76224052906</v>
      </c>
      <c r="G156" s="77">
        <f t="shared" si="26"/>
        <v>0</v>
      </c>
      <c r="H156" s="77">
        <f t="shared" si="26"/>
        <v>0</v>
      </c>
      <c r="I156" s="77">
        <f t="shared" si="26"/>
        <v>0</v>
      </c>
    </row>
    <row r="157" spans="1:9">
      <c r="A157" s="17" t="str">
        <f>HLOOKUP(INDICE!$F$2,Nombres!$C$3:$D$636,282,FALSE)</f>
        <v>Allocated regulatory capital</v>
      </c>
      <c r="B157" s="77">
        <v>267287.91729724925</v>
      </c>
      <c r="C157" s="77">
        <v>261485.50221544009</v>
      </c>
      <c r="D157" s="77">
        <v>261485.21630193372</v>
      </c>
      <c r="E157" s="77">
        <v>232618.32048188511</v>
      </c>
      <c r="F157" s="77">
        <v>239910.27988424135</v>
      </c>
      <c r="G157" s="77">
        <v>0</v>
      </c>
      <c r="H157" s="77">
        <v>0</v>
      </c>
      <c r="I157" s="77">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98" t="str">
        <f>HLOOKUP(INDICE!$F$2,Nombres!$C$3:$D$636,65,FALSE)</f>
        <v>Relevant business indicators</v>
      </c>
      <c r="B160" s="99"/>
      <c r="C160" s="99"/>
      <c r="D160" s="99"/>
      <c r="E160" s="99"/>
      <c r="F160" s="108"/>
      <c r="G160" s="108"/>
      <c r="H160" s="108"/>
      <c r="I160" s="108"/>
    </row>
    <row r="161" spans="1:15">
      <c r="A161" s="67" t="str">
        <f>HLOOKUP(INDICE!$F$2,Nombres!$C$3:$D$636,74,FALSE)</f>
        <v>(Million Mexican pesos)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Loans and advances to customers (gross) (*)</v>
      </c>
      <c r="B163" s="77">
        <v>2007021.182683222</v>
      </c>
      <c r="C163" s="77">
        <v>2024641.5891298095</v>
      </c>
      <c r="D163" s="77">
        <v>2049696.3935229192</v>
      </c>
      <c r="E163" s="78">
        <v>2123645.8464551619</v>
      </c>
      <c r="F163" s="77">
        <v>2175854.0114287497</v>
      </c>
      <c r="G163" s="77">
        <v>0</v>
      </c>
      <c r="H163" s="77">
        <v>0</v>
      </c>
      <c r="I163" s="77">
        <v>0</v>
      </c>
    </row>
    <row r="164" spans="1:15" ht="15.75" customHeight="1">
      <c r="A164" s="17" t="str">
        <f>HLOOKUP(INDICE!$F$2,Nombres!$C$3:$D$636,67,FALSE)</f>
        <v>Customer deposits under management (*)</v>
      </c>
      <c r="B164" s="77">
        <v>1892467.6068083695</v>
      </c>
      <c r="C164" s="77">
        <v>1889443.4929467065</v>
      </c>
      <c r="D164" s="77">
        <v>1885112.7834409364</v>
      </c>
      <c r="E164" s="78">
        <v>1981222.4221586827</v>
      </c>
      <c r="F164" s="77">
        <v>2037679.6621051631</v>
      </c>
      <c r="G164" s="77">
        <v>0</v>
      </c>
      <c r="H164" s="77">
        <v>0</v>
      </c>
      <c r="I164" s="77">
        <v>0</v>
      </c>
    </row>
    <row r="165" spans="1:15" ht="15.75" customHeight="1">
      <c r="A165" s="17" t="str">
        <f>HLOOKUP(INDICE!$F$2,Nombres!$C$3:$D$636,68,FALSE)</f>
        <v>Investment funds and managed portfolios</v>
      </c>
      <c r="B165" s="77">
        <v>1187944.9886812826</v>
      </c>
      <c r="C165" s="77">
        <v>1243672.3126427459</v>
      </c>
      <c r="D165" s="77">
        <v>1314528.3856725628</v>
      </c>
      <c r="E165" s="78">
        <v>1323187.0000731102</v>
      </c>
      <c r="F165" s="77">
        <v>1338099.0317680049</v>
      </c>
      <c r="G165" s="77">
        <v>0</v>
      </c>
      <c r="H165" s="77">
        <v>0</v>
      </c>
      <c r="I165" s="77">
        <v>0</v>
      </c>
    </row>
    <row r="166" spans="1:15" ht="15.75" customHeight="1">
      <c r="A166" s="17" t="str">
        <f>HLOOKUP(INDICE!$F$2,Nombres!$C$3:$D$636,69,FALSE)</f>
        <v>Pension funds</v>
      </c>
      <c r="B166" s="77">
        <v>0</v>
      </c>
      <c r="C166" s="77">
        <v>0</v>
      </c>
      <c r="D166" s="77">
        <v>0</v>
      </c>
      <c r="E166" s="78">
        <v>0</v>
      </c>
      <c r="F166" s="77">
        <v>0</v>
      </c>
      <c r="G166" s="77">
        <v>0</v>
      </c>
      <c r="H166" s="77">
        <v>0</v>
      </c>
      <c r="I166" s="77">
        <v>0</v>
      </c>
    </row>
    <row r="167" spans="1:15">
      <c r="A167" s="17" t="str">
        <f>HLOOKUP(INDICE!$F$2,Nombres!$C$3:$D$636,70,FALSE)</f>
        <v>Other off balance-sheet funds</v>
      </c>
      <c r="B167" s="77">
        <v>106147.50494756001</v>
      </c>
      <c r="C167" s="77">
        <v>120072.12487615002</v>
      </c>
      <c r="D167" s="77">
        <v>140837.53470214995</v>
      </c>
      <c r="E167" s="78">
        <v>145210.22401103997</v>
      </c>
      <c r="F167" s="77">
        <v>156532.60407031002</v>
      </c>
      <c r="G167" s="77">
        <v>0</v>
      </c>
      <c r="H167" s="77">
        <v>0</v>
      </c>
      <c r="I167" s="77">
        <v>0</v>
      </c>
    </row>
    <row r="168" spans="1:15">
      <c r="A168" s="93" t="str">
        <f>HLOOKUP(INDICE!$F$2,Nombres!$C$3:$D$636,71,FALSE)</f>
        <v xml:space="preserve">(*) Excluding repos. </v>
      </c>
      <c r="B168" s="86"/>
      <c r="C168" s="86"/>
      <c r="D168" s="86"/>
      <c r="E168" s="86"/>
      <c r="F168" s="77"/>
      <c r="G168" s="77"/>
      <c r="H168" s="77"/>
      <c r="I168" s="77"/>
    </row>
    <row r="169" spans="1:15">
      <c r="A169" s="93">
        <f>HLOOKUP(INDICE!$F$2,Nombres!$C$3:$D$636,72,FALSE)</f>
        <v>0</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26:I26">
    <cfRule type="cellIs" dxfId="41" priority="3" operator="notBetween">
      <formula>0.5</formula>
      <formula>-0.5</formula>
    </cfRule>
  </conditionalFormatting>
  <conditionalFormatting sqref="B82:I82">
    <cfRule type="cellIs" dxfId="40" priority="2" operator="notBetween">
      <formula>0.5</formula>
      <formula>-0.5</formula>
    </cfRule>
  </conditionalFormatting>
  <conditionalFormatting sqref="B138:I138">
    <cfRule type="cellIs" dxfId="39" priority="1" operator="notBetween">
      <formula>0.5</formula>
      <formula>-0.5</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O1006"/>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9" ht="17">
      <c r="A1" s="61" t="str">
        <f>HLOOKUP(INDICE!$F$2,Nombres!$C$3:$D$636,12,FALSE)</f>
        <v xml:space="preserve">Turkey </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25">
        <v>701.18899999600217</v>
      </c>
      <c r="C8" s="25">
        <v>605.34799999299617</v>
      </c>
      <c r="D8" s="25">
        <v>830.78599999900098</v>
      </c>
      <c r="E8" s="73">
        <v>942.07500000600237</v>
      </c>
      <c r="F8" s="74">
        <v>1121.0409999999999</v>
      </c>
      <c r="G8" s="74">
        <v>0</v>
      </c>
      <c r="H8" s="74">
        <v>0</v>
      </c>
      <c r="I8" s="74">
        <v>0</v>
      </c>
    </row>
    <row r="9" spans="1:9">
      <c r="A9" s="17" t="str">
        <f>HLOOKUP(INDICE!$F$2,Nombres!$C$3:$D$636,34,FALSE)</f>
        <v>Net fees and commissions</v>
      </c>
      <c r="B9" s="77">
        <v>549.4779999980002</v>
      </c>
      <c r="C9" s="77">
        <v>508.20899999899996</v>
      </c>
      <c r="D9" s="77">
        <v>544.30956342299987</v>
      </c>
      <c r="E9" s="78">
        <v>520.96967213899973</v>
      </c>
      <c r="F9" s="77">
        <v>564.57716726099989</v>
      </c>
      <c r="G9" s="77">
        <v>0</v>
      </c>
      <c r="H9" s="77">
        <v>0</v>
      </c>
      <c r="I9" s="77">
        <v>0</v>
      </c>
    </row>
    <row r="10" spans="1:9">
      <c r="A10" s="17" t="str">
        <f>HLOOKUP(INDICE!$F$2,Nombres!$C$3:$D$636,35,FALSE)</f>
        <v>Net trading income</v>
      </c>
      <c r="B10" s="77">
        <v>123.546153687</v>
      </c>
      <c r="C10" s="77">
        <v>97.597247127999992</v>
      </c>
      <c r="D10" s="77">
        <v>118.50622063800007</v>
      </c>
      <c r="E10" s="78">
        <v>54.454707911999854</v>
      </c>
      <c r="F10" s="77">
        <v>146.07859285000004</v>
      </c>
      <c r="G10" s="77">
        <v>0</v>
      </c>
      <c r="H10" s="77">
        <v>0</v>
      </c>
      <c r="I10" s="77">
        <v>0</v>
      </c>
    </row>
    <row r="11" spans="1:9">
      <c r="A11" s="17" t="str">
        <f>HLOOKUP(INDICE!$F$2,Nombres!$C$3:$D$636,36,FALSE)</f>
        <v>Other operating income and expenses</v>
      </c>
      <c r="B11" s="77">
        <v>-107.22100000000006</v>
      </c>
      <c r="C11" s="77">
        <v>-69.442999999999969</v>
      </c>
      <c r="D11" s="77">
        <v>-126.34899999999999</v>
      </c>
      <c r="E11" s="78">
        <v>-80.774799999999956</v>
      </c>
      <c r="F11" s="77">
        <v>-119.643998</v>
      </c>
      <c r="G11" s="77">
        <v>0</v>
      </c>
      <c r="H11" s="77">
        <v>0</v>
      </c>
      <c r="I11" s="77">
        <v>0</v>
      </c>
    </row>
    <row r="12" spans="1:9">
      <c r="A12" s="25" t="str">
        <f>HLOOKUP(INDICE!$F$2,Nombres!$C$3:$D$636,37,FALSE)</f>
        <v>Gross income</v>
      </c>
      <c r="B12" s="25">
        <f>+SUM(B8:B11)</f>
        <v>1266.9921536810023</v>
      </c>
      <c r="C12" s="25">
        <f t="shared" ref="C12:I12" si="0">+SUM(C8:C11)</f>
        <v>1141.7112471199962</v>
      </c>
      <c r="D12" s="25">
        <f t="shared" si="0"/>
        <v>1367.252784060001</v>
      </c>
      <c r="E12" s="73">
        <f t="shared" si="0"/>
        <v>1436.724580057002</v>
      </c>
      <c r="F12" s="74">
        <f t="shared" si="0"/>
        <v>1712.0527621109998</v>
      </c>
      <c r="G12" s="74">
        <f t="shared" si="0"/>
        <v>0</v>
      </c>
      <c r="H12" s="74">
        <f t="shared" si="0"/>
        <v>0</v>
      </c>
      <c r="I12" s="74">
        <f t="shared" si="0"/>
        <v>0</v>
      </c>
    </row>
    <row r="13" spans="1:9">
      <c r="A13" s="17" t="str">
        <f>HLOOKUP(INDICE!$F$2,Nombres!$C$3:$D$636,38,FALSE)</f>
        <v>Operating expenses</v>
      </c>
      <c r="B13" s="77">
        <v>-576.9803163250001</v>
      </c>
      <c r="C13" s="77">
        <v>-502.70361532100009</v>
      </c>
      <c r="D13" s="77">
        <v>-570.96352262599964</v>
      </c>
      <c r="E13" s="78">
        <v>-664.48747609100053</v>
      </c>
      <c r="F13" s="77">
        <v>-678.56838078499982</v>
      </c>
      <c r="G13" s="77">
        <v>0</v>
      </c>
      <c r="H13" s="77">
        <v>0</v>
      </c>
      <c r="I13" s="77">
        <v>0</v>
      </c>
    </row>
    <row r="14" spans="1:9">
      <c r="A14" s="17" t="str">
        <f>HLOOKUP(INDICE!$F$2,Nombres!$C$3:$D$636,39,FALSE)</f>
        <v xml:space="preserve">  Administration expenses</v>
      </c>
      <c r="B14" s="77">
        <v>-518.19529632500007</v>
      </c>
      <c r="C14" s="77">
        <v>-447.16359632100011</v>
      </c>
      <c r="D14" s="77">
        <v>-509.50050262599967</v>
      </c>
      <c r="E14" s="78">
        <v>-609.06846209100058</v>
      </c>
      <c r="F14" s="77">
        <v>-613.0163807849998</v>
      </c>
      <c r="G14" s="77">
        <v>0</v>
      </c>
      <c r="H14" s="77">
        <v>0</v>
      </c>
      <c r="I14" s="77">
        <v>0</v>
      </c>
    </row>
    <row r="15" spans="1:9">
      <c r="A15" s="79" t="str">
        <f>HLOOKUP(INDICE!$F$2,Nombres!$C$3:$D$636,40,FALSE)</f>
        <v xml:space="preserve">  Personnel expenses</v>
      </c>
      <c r="B15" s="77">
        <v>-333.20900000000006</v>
      </c>
      <c r="C15" s="77">
        <v>-282.348999999</v>
      </c>
      <c r="D15" s="77">
        <v>-336.52300000099967</v>
      </c>
      <c r="E15" s="78">
        <v>-358.95700000100027</v>
      </c>
      <c r="F15" s="77">
        <v>-395.18199999999979</v>
      </c>
      <c r="G15" s="77">
        <v>0</v>
      </c>
      <c r="H15" s="77">
        <v>0</v>
      </c>
      <c r="I15" s="77">
        <v>0</v>
      </c>
    </row>
    <row r="16" spans="1:9">
      <c r="A16" s="79" t="str">
        <f>HLOOKUP(INDICE!$F$2,Nombres!$C$3:$D$636,41,FALSE)</f>
        <v xml:space="preserve">  General and administrative expenses</v>
      </c>
      <c r="B16" s="77">
        <v>-184.98629632499996</v>
      </c>
      <c r="C16" s="77">
        <v>-164.81459632200006</v>
      </c>
      <c r="D16" s="77">
        <v>-172.97750262500003</v>
      </c>
      <c r="E16" s="78">
        <v>-250.11146209000029</v>
      </c>
      <c r="F16" s="77">
        <v>-217.83438078500006</v>
      </c>
      <c r="G16" s="77">
        <v>0</v>
      </c>
      <c r="H16" s="77">
        <v>0</v>
      </c>
      <c r="I16" s="77">
        <v>0</v>
      </c>
    </row>
    <row r="17" spans="1:9">
      <c r="A17" s="17" t="str">
        <f>HLOOKUP(INDICE!$F$2,Nombres!$C$3:$D$636,42,FALSE)</f>
        <v xml:space="preserve">  Depreciation</v>
      </c>
      <c r="B17" s="77">
        <v>-58.785020000000003</v>
      </c>
      <c r="C17" s="77">
        <v>-55.540019000000001</v>
      </c>
      <c r="D17" s="77">
        <v>-61.46302</v>
      </c>
      <c r="E17" s="78">
        <v>-55.419013999999997</v>
      </c>
      <c r="F17" s="77">
        <v>-65.552000000000007</v>
      </c>
      <c r="G17" s="77">
        <v>0</v>
      </c>
      <c r="H17" s="77">
        <v>0</v>
      </c>
      <c r="I17" s="77">
        <v>0</v>
      </c>
    </row>
    <row r="18" spans="1:9">
      <c r="A18" s="25" t="str">
        <f>HLOOKUP(INDICE!$F$2,Nombres!$C$3:$D$636,43,FALSE)</f>
        <v>Operating income</v>
      </c>
      <c r="B18" s="25">
        <f>+B12+B13</f>
        <v>690.01183735600216</v>
      </c>
      <c r="C18" s="25">
        <f t="shared" ref="C18:I18" si="1">+C12+C13</f>
        <v>639.00763179899604</v>
      </c>
      <c r="D18" s="25">
        <f t="shared" si="1"/>
        <v>796.28926143400133</v>
      </c>
      <c r="E18" s="73">
        <f t="shared" si="1"/>
        <v>772.23710396600143</v>
      </c>
      <c r="F18" s="74">
        <f t="shared" si="1"/>
        <v>1033.4843813259999</v>
      </c>
      <c r="G18" s="74">
        <f t="shared" si="1"/>
        <v>0</v>
      </c>
      <c r="H18" s="74">
        <f t="shared" si="1"/>
        <v>0</v>
      </c>
      <c r="I18" s="74">
        <f t="shared" si="1"/>
        <v>0</v>
      </c>
    </row>
    <row r="19" spans="1:9">
      <c r="A19" s="17" t="str">
        <f>HLOOKUP(INDICE!$F$2,Nombres!$C$3:$D$636,44,FALSE)</f>
        <v>Impaiment on financial assets not measured at fair value through profit or loss</v>
      </c>
      <c r="B19" s="77">
        <v>-234.32600000000005</v>
      </c>
      <c r="C19" s="77">
        <v>-173.03399999999993</v>
      </c>
      <c r="D19" s="77">
        <v>-259.94400000000007</v>
      </c>
      <c r="E19" s="78">
        <v>-332.48090002300023</v>
      </c>
      <c r="F19" s="77">
        <v>-352.05700000000002</v>
      </c>
      <c r="G19" s="77">
        <v>0</v>
      </c>
      <c r="H19" s="77">
        <v>0</v>
      </c>
      <c r="I19" s="77">
        <v>0</v>
      </c>
    </row>
    <row r="20" spans="1:9">
      <c r="A20" s="17" t="str">
        <f>HLOOKUP(INDICE!$F$2,Nombres!$C$3:$D$636,45,FALSE)</f>
        <v>Provisions or reversal of provisions and other results</v>
      </c>
      <c r="B20" s="77">
        <v>-2.4689999999999963</v>
      </c>
      <c r="C20" s="77">
        <v>12.991000000000001</v>
      </c>
      <c r="D20" s="77">
        <v>-23.372000000000003</v>
      </c>
      <c r="E20" s="78">
        <v>-21.50631800099999</v>
      </c>
      <c r="F20" s="77">
        <v>-15.702002</v>
      </c>
      <c r="G20" s="77">
        <v>0</v>
      </c>
      <c r="H20" s="77">
        <v>0</v>
      </c>
      <c r="I20" s="77">
        <v>0</v>
      </c>
    </row>
    <row r="21" spans="1:9">
      <c r="A21" s="25" t="str">
        <f>HLOOKUP(INDICE!$F$2,Nombres!$C$3:$D$636,46,FALSE)</f>
        <v>Profit/(loss) before tax</v>
      </c>
      <c r="B21" s="25">
        <f>+B18+B19+B20</f>
        <v>453.21683735600215</v>
      </c>
      <c r="C21" s="25">
        <f t="shared" ref="C21:I21" si="2">+C18+C19+C20</f>
        <v>478.96463179899609</v>
      </c>
      <c r="D21" s="25">
        <f t="shared" si="2"/>
        <v>512.9732614340013</v>
      </c>
      <c r="E21" s="73">
        <f t="shared" si="2"/>
        <v>418.24988594200119</v>
      </c>
      <c r="F21" s="74">
        <f t="shared" si="2"/>
        <v>665.72537932599994</v>
      </c>
      <c r="G21" s="74">
        <f t="shared" si="2"/>
        <v>0</v>
      </c>
      <c r="H21" s="74">
        <f t="shared" si="2"/>
        <v>0</v>
      </c>
      <c r="I21" s="74">
        <f t="shared" si="2"/>
        <v>0</v>
      </c>
    </row>
    <row r="22" spans="1:9">
      <c r="A22" s="17" t="str">
        <f>HLOOKUP(INDICE!$F$2,Nombres!$C$3:$D$636,47,FALSE)</f>
        <v>Income tax</v>
      </c>
      <c r="B22" s="77">
        <v>-264.56865120679987</v>
      </c>
      <c r="C22" s="77">
        <v>-177.70158953970014</v>
      </c>
      <c r="D22" s="77">
        <v>-232.01527843019963</v>
      </c>
      <c r="E22" s="78">
        <v>-230.07890051835045</v>
      </c>
      <c r="F22" s="77">
        <v>-354.10937027239999</v>
      </c>
      <c r="G22" s="77">
        <v>0</v>
      </c>
      <c r="H22" s="77">
        <v>0</v>
      </c>
      <c r="I22" s="77">
        <v>0</v>
      </c>
    </row>
    <row r="23" spans="1:9">
      <c r="A23" s="25" t="str">
        <f>HLOOKUP(INDICE!$F$2,Nombres!$C$3:$D$636,48,FALSE)</f>
        <v>Profit/(loss) for the year</v>
      </c>
      <c r="B23" s="25">
        <f>+B21+B22</f>
        <v>188.64818614920227</v>
      </c>
      <c r="C23" s="25">
        <f t="shared" ref="C23:I23" si="3">+C21+C22</f>
        <v>301.26304225929596</v>
      </c>
      <c r="D23" s="25">
        <f t="shared" si="3"/>
        <v>280.9579830038017</v>
      </c>
      <c r="E23" s="73">
        <f t="shared" si="3"/>
        <v>188.17098542365073</v>
      </c>
      <c r="F23" s="74">
        <f t="shared" si="3"/>
        <v>311.61600905359995</v>
      </c>
      <c r="G23" s="74">
        <f t="shared" si="3"/>
        <v>0</v>
      </c>
      <c r="H23" s="74">
        <f t="shared" si="3"/>
        <v>0</v>
      </c>
      <c r="I23" s="74">
        <f t="shared" si="3"/>
        <v>0</v>
      </c>
    </row>
    <row r="24" spans="1:9">
      <c r="A24" s="17" t="str">
        <f>HLOOKUP(INDICE!$F$2,Nombres!$C$3:$D$636,49,FALSE)</f>
        <v>Non-controlling interests</v>
      </c>
      <c r="B24" s="77">
        <v>-30.527999997999959</v>
      </c>
      <c r="C24" s="77">
        <v>-47.391000001999998</v>
      </c>
      <c r="D24" s="77">
        <v>-44.666999999000112</v>
      </c>
      <c r="E24" s="78">
        <v>-31.45699999899999</v>
      </c>
      <c r="F24" s="77">
        <v>-49.01199900000001</v>
      </c>
      <c r="G24" s="77">
        <v>0</v>
      </c>
      <c r="H24" s="77">
        <v>0</v>
      </c>
      <c r="I24" s="77">
        <v>0</v>
      </c>
    </row>
    <row r="25" spans="1:9">
      <c r="A25" s="19" t="str">
        <f>HLOOKUP(INDICE!$F$2,Nombres!$C$3:$D$636,50,FALSE)</f>
        <v>Net attributable profit</v>
      </c>
      <c r="B25" s="19">
        <f>+B23+B24</f>
        <v>158.12018615120232</v>
      </c>
      <c r="C25" s="19">
        <f t="shared" ref="C25:I25" si="4">+C23+C24</f>
        <v>253.87204225729596</v>
      </c>
      <c r="D25" s="19">
        <f t="shared" si="4"/>
        <v>236.2909830048016</v>
      </c>
      <c r="E25" s="19">
        <f t="shared" si="4"/>
        <v>156.71398542465073</v>
      </c>
      <c r="F25" s="96">
        <f t="shared" si="4"/>
        <v>262.60401005359995</v>
      </c>
      <c r="G25" s="96">
        <f t="shared" si="4"/>
        <v>0</v>
      </c>
      <c r="H25" s="96">
        <f t="shared" si="4"/>
        <v>0</v>
      </c>
      <c r="I25" s="96">
        <f t="shared" si="4"/>
        <v>0</v>
      </c>
    </row>
    <row r="26" spans="1:9">
      <c r="A26" s="93"/>
      <c r="B26" s="101">
        <v>0</v>
      </c>
      <c r="C26" s="101">
        <v>0</v>
      </c>
      <c r="D26" s="101">
        <v>0</v>
      </c>
      <c r="E26" s="101">
        <v>0</v>
      </c>
      <c r="F26" s="101">
        <v>0</v>
      </c>
      <c r="G26" s="101">
        <v>0</v>
      </c>
      <c r="H26" s="101">
        <v>0</v>
      </c>
      <c r="I26" s="101">
        <v>0</v>
      </c>
    </row>
    <row r="27" spans="1:9">
      <c r="A27" s="25"/>
      <c r="B27" s="25"/>
      <c r="C27" s="25"/>
      <c r="D27" s="25"/>
      <c r="E27" s="25"/>
      <c r="F27" s="25"/>
      <c r="G27" s="25"/>
      <c r="H27" s="25"/>
      <c r="I27" s="25"/>
    </row>
    <row r="28" spans="1:9" ht="17">
      <c r="A28" s="65" t="str">
        <f>HLOOKUP(INDICE!$F$2,Nombres!$C$3:$D$636,51,FALSE)</f>
        <v>Balance sheets</v>
      </c>
      <c r="B28" s="66"/>
      <c r="C28" s="66"/>
      <c r="D28" s="66"/>
      <c r="E28" s="66"/>
      <c r="F28" s="66"/>
      <c r="G28" s="66"/>
      <c r="H28" s="66"/>
      <c r="I28" s="66"/>
    </row>
    <row r="29" spans="1:9">
      <c r="A29" s="67"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Cash, cash balances at central banks and other demand deposits</v>
      </c>
      <c r="B31" s="77">
        <v>10536.392000000002</v>
      </c>
      <c r="C31" s="77">
        <v>9500.5740000000005</v>
      </c>
      <c r="D31" s="77">
        <v>9995.8310000000001</v>
      </c>
      <c r="E31" s="78">
        <v>9060.5519999999997</v>
      </c>
      <c r="F31" s="77">
        <v>9593.3829999999998</v>
      </c>
      <c r="G31" s="77">
        <v>0</v>
      </c>
      <c r="H31" s="77">
        <v>0</v>
      </c>
      <c r="I31" s="77">
        <v>0</v>
      </c>
    </row>
    <row r="32" spans="1:9">
      <c r="A32" s="17" t="str">
        <f>HLOOKUP(INDICE!$F$2,Nombres!$C$3:$D$636,53,FALSE)</f>
        <v xml:space="preserve">Financial assets designated at fair value </v>
      </c>
      <c r="B32" s="86">
        <v>4839.5640000000003</v>
      </c>
      <c r="C32" s="86">
        <v>4560.0420000000004</v>
      </c>
      <c r="D32" s="86">
        <v>4824.3200000000006</v>
      </c>
      <c r="E32" s="97">
        <v>5009.6960000000008</v>
      </c>
      <c r="F32" s="77">
        <v>8133.2349999999997</v>
      </c>
      <c r="G32" s="77">
        <v>0</v>
      </c>
      <c r="H32" s="77">
        <v>0</v>
      </c>
      <c r="I32" s="77">
        <v>0</v>
      </c>
    </row>
    <row r="33" spans="1:9">
      <c r="A33" s="17" t="str">
        <f>HLOOKUP(INDICE!$F$2,Nombres!$C$3:$D$636,54,FALSE)</f>
        <v>Financial assets at amortized cost</v>
      </c>
      <c r="B33" s="77">
        <v>66112.928000500004</v>
      </c>
      <c r="C33" s="77">
        <v>64147.194999599997</v>
      </c>
      <c r="D33" s="77">
        <v>67483.791000199999</v>
      </c>
      <c r="E33" s="78">
        <v>72047.0870001</v>
      </c>
      <c r="F33" s="77">
        <v>71519.4840004</v>
      </c>
      <c r="G33" s="77">
        <v>0</v>
      </c>
      <c r="H33" s="77">
        <v>0</v>
      </c>
      <c r="I33" s="77">
        <v>0</v>
      </c>
    </row>
    <row r="34" spans="1:9">
      <c r="A34" s="17" t="str">
        <f>HLOOKUP(INDICE!$F$2,Nombres!$C$3:$D$636,55,FALSE)</f>
        <v xml:space="preserve">    of which loans and advances to customers</v>
      </c>
      <c r="B34" s="77">
        <v>47891.609000500001</v>
      </c>
      <c r="C34" s="77">
        <v>48046.207999599996</v>
      </c>
      <c r="D34" s="77">
        <v>50627.991000199996</v>
      </c>
      <c r="E34" s="78">
        <v>53745.333000099999</v>
      </c>
      <c r="F34" s="77">
        <v>56951.946000399992</v>
      </c>
      <c r="G34" s="77">
        <v>0</v>
      </c>
      <c r="H34" s="77">
        <v>0</v>
      </c>
      <c r="I34" s="77">
        <v>0</v>
      </c>
    </row>
    <row r="35" spans="1:9" hidden="1">
      <c r="A35" s="17"/>
      <c r="B35" s="77"/>
      <c r="C35" s="77"/>
      <c r="D35" s="77"/>
      <c r="E35" s="78"/>
      <c r="F35" s="77"/>
      <c r="G35" s="77"/>
      <c r="H35" s="77"/>
      <c r="I35" s="77"/>
    </row>
    <row r="36" spans="1:9">
      <c r="A36" s="17" t="str">
        <f>HLOOKUP(INDICE!$F$2,Nombres!$C$3:$D$636,56,FALSE)</f>
        <v>Tangible assets</v>
      </c>
      <c r="B36" s="77">
        <v>1998.038</v>
      </c>
      <c r="C36" s="77">
        <v>1808.2909999999999</v>
      </c>
      <c r="D36" s="77">
        <v>1825.6659999999999</v>
      </c>
      <c r="E36" s="78">
        <v>1904.64</v>
      </c>
      <c r="F36" s="77">
        <v>2046.6639999999998</v>
      </c>
      <c r="G36" s="77">
        <v>0</v>
      </c>
      <c r="H36" s="77">
        <v>0</v>
      </c>
      <c r="I36" s="77">
        <v>0</v>
      </c>
    </row>
    <row r="37" spans="1:9">
      <c r="A37" s="17" t="str">
        <f>HLOOKUP(INDICE!$F$2,Nombres!$C$3:$D$636,57,FALSE)</f>
        <v>Other assets</v>
      </c>
      <c r="B37" s="86">
        <f>+B38-B36-B33-B32-B31</f>
        <v>2487.83500000001</v>
      </c>
      <c r="C37" s="86">
        <f t="shared" ref="C37:I37" si="5">+C38-C36-C33-C32-C31</f>
        <v>2466.108000385022</v>
      </c>
      <c r="D37" s="86">
        <f t="shared" si="5"/>
        <v>2641.6570000000193</v>
      </c>
      <c r="E37" s="97">
        <f t="shared" si="5"/>
        <v>2679.9700000040248</v>
      </c>
      <c r="F37" s="77">
        <f t="shared" si="5"/>
        <v>2921.8460000000068</v>
      </c>
      <c r="G37" s="77">
        <f t="shared" si="5"/>
        <v>0</v>
      </c>
      <c r="H37" s="77">
        <f t="shared" si="5"/>
        <v>0</v>
      </c>
      <c r="I37" s="77">
        <f t="shared" si="5"/>
        <v>0</v>
      </c>
    </row>
    <row r="38" spans="1:9">
      <c r="A38" s="19" t="str">
        <f>HLOOKUP(INDICE!$F$2,Nombres!$C$3:$D$636,58,FALSE)</f>
        <v>Total assets / Liabilities and equity</v>
      </c>
      <c r="B38" s="96">
        <v>85974.757000500016</v>
      </c>
      <c r="C38" s="96">
        <v>82482.209999985018</v>
      </c>
      <c r="D38" s="96">
        <v>86771.265000200015</v>
      </c>
      <c r="E38" s="112">
        <v>90701.945000104024</v>
      </c>
      <c r="F38" s="96">
        <v>94214.612000400011</v>
      </c>
      <c r="G38" s="96">
        <v>0</v>
      </c>
      <c r="H38" s="96">
        <v>0</v>
      </c>
      <c r="I38" s="96">
        <v>0</v>
      </c>
    </row>
    <row r="39" spans="1:9">
      <c r="A39" s="17" t="str">
        <f>HLOOKUP(INDICE!$F$2,Nombres!$C$3:$D$636,59,FALSE)</f>
        <v>Financial liabilities held for trading and designated at fair value through profit or loss</v>
      </c>
      <c r="B39" s="86">
        <v>1854.4489999999996</v>
      </c>
      <c r="C39" s="86">
        <v>1718.8319999999999</v>
      </c>
      <c r="D39" s="86">
        <v>1662.2460000000003</v>
      </c>
      <c r="E39" s="97">
        <v>1689.6029999999996</v>
      </c>
      <c r="F39" s="77">
        <v>1867.7890000000002</v>
      </c>
      <c r="G39" s="77">
        <v>0</v>
      </c>
      <c r="H39" s="77">
        <v>0</v>
      </c>
      <c r="I39" s="77">
        <v>0</v>
      </c>
    </row>
    <row r="40" spans="1:9">
      <c r="A40" s="17" t="str">
        <f>HLOOKUP(INDICE!$F$2,Nombres!$C$3:$D$636,60,FALSE)</f>
        <v>Deposits from central banks and credit institutions</v>
      </c>
      <c r="B40" s="86">
        <v>3775.34</v>
      </c>
      <c r="C40" s="86">
        <v>4485.4189999999999</v>
      </c>
      <c r="D40" s="86">
        <v>4273.9009999999998</v>
      </c>
      <c r="E40" s="97">
        <v>3564.6010000000001</v>
      </c>
      <c r="F40" s="77">
        <v>3317.058</v>
      </c>
      <c r="G40" s="77">
        <v>0</v>
      </c>
      <c r="H40" s="77">
        <v>0</v>
      </c>
      <c r="I40" s="77">
        <v>0</v>
      </c>
    </row>
    <row r="41" spans="1:9" ht="15.75" customHeight="1">
      <c r="A41" s="17" t="str">
        <f>HLOOKUP(INDICE!$F$2,Nombres!$C$3:$D$636,61,FALSE)</f>
        <v>Deposits from customers</v>
      </c>
      <c r="B41" s="86">
        <v>62374.892000000007</v>
      </c>
      <c r="C41" s="86">
        <v>58250.048000000003</v>
      </c>
      <c r="D41" s="86">
        <v>60866.130000000005</v>
      </c>
      <c r="E41" s="97">
        <v>62984.451999999997</v>
      </c>
      <c r="F41" s="77">
        <v>65432.887999999992</v>
      </c>
      <c r="G41" s="77">
        <v>0</v>
      </c>
      <c r="H41" s="77">
        <v>0</v>
      </c>
      <c r="I41" s="77">
        <v>0</v>
      </c>
    </row>
    <row r="42" spans="1:9">
      <c r="A42" s="17" t="str">
        <f>HLOOKUP(INDICE!$F$2,Nombres!$C$3:$D$636,62,FALSE)</f>
        <v>Debt certificates</v>
      </c>
      <c r="B42" s="77">
        <v>4545.6956976000001</v>
      </c>
      <c r="C42" s="77">
        <v>5163.0545485000002</v>
      </c>
      <c r="D42" s="77">
        <v>6060.3019355191518</v>
      </c>
      <c r="E42" s="78">
        <v>7502.3197088170145</v>
      </c>
      <c r="F42" s="77">
        <v>7269.8081041266105</v>
      </c>
      <c r="G42" s="77">
        <v>0</v>
      </c>
      <c r="H42" s="77">
        <v>0</v>
      </c>
      <c r="I42" s="77">
        <v>0</v>
      </c>
    </row>
    <row r="43" spans="1:9" hidden="1">
      <c r="A43" s="17"/>
      <c r="B43" s="77"/>
      <c r="C43" s="77"/>
      <c r="D43" s="77"/>
      <c r="E43" s="78"/>
      <c r="F43" s="77"/>
      <c r="G43" s="77"/>
      <c r="H43" s="77"/>
      <c r="I43" s="77"/>
    </row>
    <row r="44" spans="1:9">
      <c r="A44" s="17" t="str">
        <f>HLOOKUP(INDICE!$F$2,Nombres!$C$3:$D$636,63,FALSE)</f>
        <v>Other liabilities</v>
      </c>
      <c r="B44" s="86">
        <f>+B38-B39-B40-B41-B42-B45</f>
        <v>4665.1448568390188</v>
      </c>
      <c r="C44" s="86">
        <f t="shared" ref="C44:I44" si="6">+C38-C39-C40-C41-C42-C45</f>
        <v>4128.1106947890257</v>
      </c>
      <c r="D44" s="86">
        <f t="shared" si="6"/>
        <v>5093.9773502634616</v>
      </c>
      <c r="E44" s="97">
        <f t="shared" si="6"/>
        <v>5725.5748960929341</v>
      </c>
      <c r="F44" s="77">
        <f t="shared" si="6"/>
        <v>6937.3735776802878</v>
      </c>
      <c r="G44" s="77">
        <f t="shared" si="6"/>
        <v>0</v>
      </c>
      <c r="H44" s="77">
        <f t="shared" si="6"/>
        <v>0</v>
      </c>
      <c r="I44" s="77">
        <f t="shared" si="6"/>
        <v>0</v>
      </c>
    </row>
    <row r="45" spans="1:9">
      <c r="A45" s="17" t="str">
        <f>HLOOKUP(INDICE!$F$2,Nombres!$C$3:$D$636,282,FALSE)</f>
        <v>Allocated regulatory capital</v>
      </c>
      <c r="B45" s="77">
        <v>8759.2354460610004</v>
      </c>
      <c r="C45" s="77">
        <v>8736.7457566960002</v>
      </c>
      <c r="D45" s="77">
        <v>8814.7087144174002</v>
      </c>
      <c r="E45" s="77">
        <v>9235.3943951940801</v>
      </c>
      <c r="F45" s="77">
        <v>9389.6953185931125</v>
      </c>
      <c r="G45" s="77">
        <v>0</v>
      </c>
      <c r="H45" s="77">
        <v>0</v>
      </c>
      <c r="I45" s="77">
        <v>0</v>
      </c>
    </row>
    <row r="46" spans="1:9">
      <c r="A46" s="93"/>
      <c r="B46" s="86"/>
      <c r="C46" s="86"/>
      <c r="D46" s="86"/>
      <c r="E46" s="86"/>
      <c r="F46" s="103"/>
      <c r="G46" s="103"/>
      <c r="H46" s="103"/>
      <c r="I46" s="103"/>
    </row>
    <row r="47" spans="1:9">
      <c r="A47" s="17"/>
      <c r="B47" s="86"/>
      <c r="C47" s="86"/>
      <c r="D47" s="86"/>
      <c r="E47" s="86"/>
      <c r="F47" s="103"/>
      <c r="G47" s="103"/>
      <c r="H47" s="103"/>
      <c r="I47" s="103"/>
    </row>
    <row r="48" spans="1:9" ht="17">
      <c r="A48" s="65" t="str">
        <f>HLOOKUP(INDICE!$F$2,Nombres!$C$3:$D$636,65,FALSE)</f>
        <v>Relevant business indicators</v>
      </c>
      <c r="B48" s="66"/>
      <c r="C48" s="66"/>
      <c r="D48" s="66"/>
      <c r="E48" s="66"/>
      <c r="F48" s="113"/>
      <c r="G48" s="113"/>
      <c r="H48" s="113"/>
      <c r="I48" s="113"/>
    </row>
    <row r="49" spans="1:13">
      <c r="A49" s="67" t="str">
        <f>HLOOKUP(INDICE!$F$2,Nombres!$C$3:$D$636,32,FALSE)</f>
        <v>(Million euros)</v>
      </c>
      <c r="B49" s="62"/>
      <c r="C49" s="62"/>
      <c r="D49" s="62"/>
      <c r="E49" s="62"/>
      <c r="F49" s="105"/>
      <c r="G49" s="103"/>
      <c r="H49" s="103"/>
      <c r="I49" s="103"/>
    </row>
    <row r="50" spans="1:13">
      <c r="A50" s="62"/>
      <c r="B50" s="87">
        <f t="shared" ref="B50:I50" si="7">+B$30</f>
        <v>45747</v>
      </c>
      <c r="C50" s="87">
        <f t="shared" si="7"/>
        <v>45838</v>
      </c>
      <c r="D50" s="87">
        <f t="shared" si="7"/>
        <v>45930</v>
      </c>
      <c r="E50" s="100">
        <f t="shared" si="7"/>
        <v>46022</v>
      </c>
      <c r="F50" s="102">
        <f t="shared" si="7"/>
        <v>46112</v>
      </c>
      <c r="G50" s="102">
        <f t="shared" si="7"/>
        <v>46203</v>
      </c>
      <c r="H50" s="102">
        <f t="shared" si="7"/>
        <v>46295</v>
      </c>
      <c r="I50" s="102">
        <f t="shared" si="7"/>
        <v>46387</v>
      </c>
    </row>
    <row r="51" spans="1:13">
      <c r="A51" s="17" t="str">
        <f>HLOOKUP(INDICE!$F$2,Nombres!$C$3:$D$636,66,FALSE)</f>
        <v>Loans and advances to customers (gross) (*)</v>
      </c>
      <c r="B51" s="77">
        <v>49687.601000499999</v>
      </c>
      <c r="C51" s="77">
        <v>49840.853999599996</v>
      </c>
      <c r="D51" s="77">
        <v>52469.273000199995</v>
      </c>
      <c r="E51" s="78">
        <v>55755.9960001</v>
      </c>
      <c r="F51" s="77">
        <v>59139.278000399994</v>
      </c>
      <c r="G51" s="77">
        <v>0</v>
      </c>
      <c r="H51" s="77">
        <v>0</v>
      </c>
      <c r="I51" s="77">
        <v>0</v>
      </c>
      <c r="L51" s="75"/>
      <c r="M51" s="75"/>
    </row>
    <row r="52" spans="1:13">
      <c r="A52" s="17" t="str">
        <f>HLOOKUP(INDICE!$F$2,Nombres!$C$3:$D$636,67,FALSE)</f>
        <v>Customer deposits under management (*)</v>
      </c>
      <c r="B52" s="77">
        <v>62296.728999999999</v>
      </c>
      <c r="C52" s="77">
        <v>57121.381000000001</v>
      </c>
      <c r="D52" s="77">
        <v>59659.392999999996</v>
      </c>
      <c r="E52" s="78">
        <v>62534.91</v>
      </c>
      <c r="F52" s="77">
        <v>65356.154000000002</v>
      </c>
      <c r="G52" s="77">
        <v>0</v>
      </c>
      <c r="H52" s="77">
        <v>0</v>
      </c>
      <c r="I52" s="77">
        <v>0</v>
      </c>
    </row>
    <row r="53" spans="1:13">
      <c r="A53" s="17" t="str">
        <f>HLOOKUP(INDICE!$F$2,Nombres!$C$3:$D$636,68,FALSE)</f>
        <v>Investment funds and managed portfolios</v>
      </c>
      <c r="B53" s="77">
        <v>13351.406000000001</v>
      </c>
      <c r="C53" s="77">
        <v>15050.7</v>
      </c>
      <c r="D53" s="77">
        <v>17728.61</v>
      </c>
      <c r="E53" s="78">
        <v>19435.589</v>
      </c>
      <c r="F53" s="77">
        <v>19208.013999999999</v>
      </c>
      <c r="G53" s="77">
        <v>0</v>
      </c>
      <c r="H53" s="77">
        <v>0</v>
      </c>
      <c r="I53" s="77">
        <v>0</v>
      </c>
    </row>
    <row r="54" spans="1:13">
      <c r="A54" s="17" t="str">
        <f>HLOOKUP(INDICE!$F$2,Nombres!$C$3:$D$636,69,FALSE)</f>
        <v>Pension funds</v>
      </c>
      <c r="B54" s="77">
        <v>5220.6970000000001</v>
      </c>
      <c r="C54" s="77">
        <v>5272.366</v>
      </c>
      <c r="D54" s="77">
        <v>5962.4369999999999</v>
      </c>
      <c r="E54" s="78">
        <v>6854.8680000000004</v>
      </c>
      <c r="F54" s="77">
        <v>7614.7089999999998</v>
      </c>
      <c r="G54" s="77">
        <v>0</v>
      </c>
      <c r="H54" s="77">
        <v>0</v>
      </c>
      <c r="I54" s="77">
        <v>0</v>
      </c>
    </row>
    <row r="55" spans="1:13">
      <c r="A55" s="17" t="str">
        <f>HLOOKUP(INDICE!$F$2,Nombres!$C$3:$D$636,70,FALSE)</f>
        <v>Other off balance-sheet funds</v>
      </c>
      <c r="B55" s="77">
        <v>0</v>
      </c>
      <c r="C55" s="77">
        <v>0</v>
      </c>
      <c r="D55" s="77">
        <v>0</v>
      </c>
      <c r="E55" s="78">
        <v>0</v>
      </c>
      <c r="F55" s="77">
        <v>0</v>
      </c>
      <c r="G55" s="77">
        <v>0</v>
      </c>
      <c r="H55" s="77">
        <v>0</v>
      </c>
      <c r="I55" s="77">
        <v>0</v>
      </c>
    </row>
    <row r="56" spans="1:13">
      <c r="A56" s="93" t="str">
        <f>HLOOKUP(INDICE!$F$2,Nombres!$C$3:$D$636,71,FALSE)</f>
        <v xml:space="preserve">(*) Excluding repos. </v>
      </c>
      <c r="B56" s="86"/>
      <c r="C56" s="86"/>
      <c r="D56" s="86"/>
      <c r="E56" s="86"/>
      <c r="F56" s="86"/>
      <c r="G56" s="86"/>
      <c r="H56" s="86"/>
      <c r="I56" s="86"/>
    </row>
    <row r="57" spans="1:13">
      <c r="A57" s="93">
        <f>HLOOKUP(INDICE!$F$2,Nombres!$C$3:$D$636,72,FALSE)</f>
        <v>0</v>
      </c>
      <c r="B57" s="62"/>
      <c r="C57" s="62"/>
      <c r="D57" s="62"/>
      <c r="E57" s="62"/>
      <c r="F57" s="62"/>
      <c r="G57" s="62"/>
      <c r="H57" s="62"/>
      <c r="I57" s="62"/>
    </row>
    <row r="58" spans="1:13">
      <c r="A58" s="93"/>
      <c r="B58" s="62"/>
      <c r="C58" s="62"/>
      <c r="D58" s="62"/>
      <c r="E58" s="62"/>
      <c r="F58" s="62"/>
      <c r="G58" s="62"/>
      <c r="H58" s="62"/>
      <c r="I58" s="62"/>
    </row>
    <row r="59" spans="1:13" ht="17">
      <c r="A59" s="65" t="str">
        <f>HLOOKUP(INDICE!$F$2,Nombres!$C$3:$D$636,31,FALSE)</f>
        <v xml:space="preserve">Income statement  </v>
      </c>
      <c r="B59" s="66"/>
      <c r="C59" s="66"/>
      <c r="D59" s="66"/>
      <c r="E59" s="66"/>
      <c r="F59" s="66"/>
      <c r="G59" s="66"/>
      <c r="H59" s="66"/>
      <c r="I59" s="66"/>
    </row>
    <row r="60" spans="1:13">
      <c r="A60" s="67" t="str">
        <f>HLOOKUP(INDICE!$F$2,Nombres!$C$3:$D$636,73,FALSE)</f>
        <v xml:space="preserve">(Constant million euros)    </v>
      </c>
      <c r="B60" s="62"/>
      <c r="C60" s="68"/>
      <c r="D60" s="68"/>
      <c r="E60" s="68"/>
      <c r="F60" s="62"/>
      <c r="G60" s="62"/>
      <c r="H60" s="62"/>
      <c r="I60" s="62"/>
    </row>
    <row r="61" spans="1:13">
      <c r="A61" s="69"/>
      <c r="B61" s="62"/>
      <c r="C61" s="68"/>
      <c r="D61" s="68"/>
      <c r="E61" s="68"/>
      <c r="F61" s="62"/>
      <c r="G61" s="62"/>
      <c r="H61" s="62"/>
      <c r="I61" s="62"/>
    </row>
    <row r="62" spans="1:13">
      <c r="A62" s="70"/>
      <c r="B62" s="301">
        <f>+B$6</f>
        <v>2025</v>
      </c>
      <c r="C62" s="301"/>
      <c r="D62" s="301"/>
      <c r="E62" s="302"/>
      <c r="F62" s="301">
        <f>+F$6</f>
        <v>2026</v>
      </c>
      <c r="G62" s="301"/>
      <c r="H62" s="301"/>
      <c r="I62" s="301"/>
    </row>
    <row r="63" spans="1:13">
      <c r="A63" s="70"/>
      <c r="B63" s="71" t="str">
        <f>+B$7</f>
        <v>1Q</v>
      </c>
      <c r="C63" s="71" t="str">
        <f t="shared" ref="C63:I63" si="8">+C$7</f>
        <v>2Q</v>
      </c>
      <c r="D63" s="71" t="str">
        <f t="shared" si="8"/>
        <v>3Q</v>
      </c>
      <c r="E63" s="72" t="str">
        <f t="shared" si="8"/>
        <v>4Q</v>
      </c>
      <c r="F63" s="71" t="str">
        <f t="shared" si="8"/>
        <v>1Q</v>
      </c>
      <c r="G63" s="71" t="str">
        <f t="shared" si="8"/>
        <v>2Q</v>
      </c>
      <c r="H63" s="71" t="str">
        <f t="shared" si="8"/>
        <v>3Q</v>
      </c>
      <c r="I63" s="71" t="str">
        <f t="shared" si="8"/>
        <v>4Q</v>
      </c>
    </row>
    <row r="64" spans="1:13">
      <c r="A64" s="25" t="str">
        <f>HLOOKUP(INDICE!$F$2,Nombres!$C$3:$D$636,33,FALSE)</f>
        <v>Net interest income</v>
      </c>
      <c r="B64" s="25">
        <v>579.7293551777525</v>
      </c>
      <c r="C64" s="25">
        <v>627.53985687673332</v>
      </c>
      <c r="D64" s="25">
        <v>849.75147597042462</v>
      </c>
      <c r="E64" s="73">
        <v>988.74112504944901</v>
      </c>
      <c r="F64" s="74">
        <v>1121.0409999999886</v>
      </c>
      <c r="G64" s="74">
        <v>0</v>
      </c>
      <c r="H64" s="74">
        <v>0</v>
      </c>
      <c r="I64" s="74">
        <v>0</v>
      </c>
    </row>
    <row r="65" spans="1:9">
      <c r="A65" s="17" t="str">
        <f>HLOOKUP(INDICE!$F$2,Nombres!$C$3:$D$636,34,FALSE)</f>
        <v>Net fees and commissions</v>
      </c>
      <c r="B65" s="77">
        <v>445.01295767227089</v>
      </c>
      <c r="C65" s="77">
        <v>523.84697023078809</v>
      </c>
      <c r="D65" s="77">
        <v>567.90098732909178</v>
      </c>
      <c r="E65" s="78">
        <v>561.68544805931413</v>
      </c>
      <c r="F65" s="77">
        <v>564.57716726099466</v>
      </c>
      <c r="G65" s="77">
        <v>0</v>
      </c>
      <c r="H65" s="77">
        <v>0</v>
      </c>
      <c r="I65" s="77">
        <v>0</v>
      </c>
    </row>
    <row r="66" spans="1:9">
      <c r="A66" s="17" t="str">
        <f>HLOOKUP(INDICE!$F$2,Nombres!$C$3:$D$636,35,FALSE)</f>
        <v>Net trading income</v>
      </c>
      <c r="B66" s="77">
        <v>102.66215781095464</v>
      </c>
      <c r="C66" s="77">
        <v>105.04938896895459</v>
      </c>
      <c r="D66" s="77">
        <v>122.36646488857143</v>
      </c>
      <c r="E66" s="78">
        <v>60.684720433222324</v>
      </c>
      <c r="F66" s="77">
        <v>146.07859284999898</v>
      </c>
      <c r="G66" s="77">
        <v>0</v>
      </c>
      <c r="H66" s="77">
        <v>0</v>
      </c>
      <c r="I66" s="77">
        <v>0</v>
      </c>
    </row>
    <row r="67" spans="1:9">
      <c r="A67" s="17" t="str">
        <f>HLOOKUP(INDICE!$F$2,Nombres!$C$3:$D$636,36,FALSE)</f>
        <v>Other operating income and expenses</v>
      </c>
      <c r="B67" s="77">
        <v>-173.8152818055726</v>
      </c>
      <c r="C67" s="77">
        <v>-44.401331971974514</v>
      </c>
      <c r="D67" s="77">
        <v>-113.70385573451216</v>
      </c>
      <c r="E67" s="78">
        <v>-61.325338029241486</v>
      </c>
      <c r="F67" s="77">
        <v>-119.64399800006933</v>
      </c>
      <c r="G67" s="77">
        <v>0</v>
      </c>
      <c r="H67" s="77">
        <v>0</v>
      </c>
      <c r="I67" s="77">
        <v>0</v>
      </c>
    </row>
    <row r="68" spans="1:9">
      <c r="A68" s="25" t="str">
        <f>HLOOKUP(INDICE!$F$2,Nombres!$C$3:$D$636,37,FALSE)</f>
        <v>Gross income</v>
      </c>
      <c r="B68" s="25">
        <f>+SUM(B64:B67)</f>
        <v>953.58918885540538</v>
      </c>
      <c r="C68" s="25">
        <f t="shared" ref="C68:I68" si="9">+SUM(C64:C67)</f>
        <v>1212.0348841045015</v>
      </c>
      <c r="D68" s="25">
        <f t="shared" si="9"/>
        <v>1426.3150724535758</v>
      </c>
      <c r="E68" s="73">
        <f t="shared" si="9"/>
        <v>1549.7859555127438</v>
      </c>
      <c r="F68" s="74">
        <f t="shared" si="9"/>
        <v>1712.0527621109129</v>
      </c>
      <c r="G68" s="74">
        <f t="shared" si="9"/>
        <v>0</v>
      </c>
      <c r="H68" s="74">
        <f t="shared" si="9"/>
        <v>0</v>
      </c>
      <c r="I68" s="74">
        <f t="shared" si="9"/>
        <v>0</v>
      </c>
    </row>
    <row r="69" spans="1:9">
      <c r="A69" s="17" t="str">
        <f>HLOOKUP(INDICE!$F$2,Nombres!$C$3:$D$636,38,FALSE)</f>
        <v>Operating expenses</v>
      </c>
      <c r="B69" s="77">
        <v>-477.53612295086333</v>
      </c>
      <c r="C69" s="77">
        <v>-520.06453082470478</v>
      </c>
      <c r="D69" s="77">
        <v>-591.67905374840859</v>
      </c>
      <c r="E69" s="78">
        <v>-700.8330595417624</v>
      </c>
      <c r="F69" s="77">
        <v>-678.56838078492729</v>
      </c>
      <c r="G69" s="77">
        <v>0</v>
      </c>
      <c r="H69" s="77">
        <v>0</v>
      </c>
      <c r="I69" s="77">
        <v>0</v>
      </c>
    </row>
    <row r="70" spans="1:9">
      <c r="A70" s="17" t="str">
        <f>HLOOKUP(INDICE!$F$2,Nombres!$C$3:$D$636,39,FALSE)</f>
        <v xml:space="preserve">  Administration expenses</v>
      </c>
      <c r="B70" s="77">
        <v>-424.42458444016944</v>
      </c>
      <c r="C70" s="77">
        <v>-463.85096685384673</v>
      </c>
      <c r="D70" s="77">
        <v>-529.03854653713586</v>
      </c>
      <c r="E70" s="78">
        <v>-643.07246162803949</v>
      </c>
      <c r="F70" s="77">
        <v>-613.01638078492749</v>
      </c>
      <c r="G70" s="77">
        <v>0</v>
      </c>
      <c r="H70" s="77">
        <v>0</v>
      </c>
      <c r="I70" s="77">
        <v>0</v>
      </c>
    </row>
    <row r="71" spans="1:9">
      <c r="A71" s="79" t="str">
        <f>HLOOKUP(INDICE!$F$2,Nombres!$C$3:$D$636,40,FALSE)</f>
        <v xml:space="preserve">  Personnel expenses</v>
      </c>
      <c r="B71" s="77">
        <v>-273.05207515406806</v>
      </c>
      <c r="C71" s="77">
        <v>-293.45953939664167</v>
      </c>
      <c r="D71" s="77">
        <v>-348.43212158355652</v>
      </c>
      <c r="E71" s="78">
        <v>-381.34886374857604</v>
      </c>
      <c r="F71" s="77">
        <v>-395.18199999999632</v>
      </c>
      <c r="G71" s="77">
        <v>0</v>
      </c>
      <c r="H71" s="77">
        <v>0</v>
      </c>
      <c r="I71" s="77">
        <v>0</v>
      </c>
    </row>
    <row r="72" spans="1:9">
      <c r="A72" s="79" t="str">
        <f>HLOOKUP(INDICE!$F$2,Nombres!$C$3:$D$636,41,FALSE)</f>
        <v xml:space="preserve">  General and administrative expenses</v>
      </c>
      <c r="B72" s="77">
        <v>-151.3725092861014</v>
      </c>
      <c r="C72" s="77">
        <v>-170.39142745720505</v>
      </c>
      <c r="D72" s="77">
        <v>-180.60642495357928</v>
      </c>
      <c r="E72" s="78">
        <v>-261.7235978794634</v>
      </c>
      <c r="F72" s="77">
        <v>-217.83438078493117</v>
      </c>
      <c r="G72" s="77">
        <v>0</v>
      </c>
      <c r="H72" s="77">
        <v>0</v>
      </c>
      <c r="I72" s="77">
        <v>0</v>
      </c>
    </row>
    <row r="73" spans="1:9">
      <c r="A73" s="17" t="str">
        <f>HLOOKUP(INDICE!$F$2,Nombres!$C$3:$D$636,42,FALSE)</f>
        <v xml:space="preserve">  Depreciation</v>
      </c>
      <c r="B73" s="77">
        <v>-53.111538510693848</v>
      </c>
      <c r="C73" s="77">
        <v>-56.213563970858097</v>
      </c>
      <c r="D73" s="77">
        <v>-62.640507211272713</v>
      </c>
      <c r="E73" s="78">
        <v>-57.760597913722876</v>
      </c>
      <c r="F73" s="77">
        <v>-65.551999999999794</v>
      </c>
      <c r="G73" s="77">
        <v>0</v>
      </c>
      <c r="H73" s="77">
        <v>0</v>
      </c>
      <c r="I73" s="77">
        <v>0</v>
      </c>
    </row>
    <row r="74" spans="1:9">
      <c r="A74" s="25" t="str">
        <f>HLOOKUP(INDICE!$F$2,Nombres!$C$3:$D$636,43,FALSE)</f>
        <v>Operating income</v>
      </c>
      <c r="B74" s="25">
        <f>+B68+B69</f>
        <v>476.05306590454205</v>
      </c>
      <c r="C74" s="25">
        <f t="shared" ref="C74:I74" si="10">+C68+C69</f>
        <v>691.97035327979677</v>
      </c>
      <c r="D74" s="25">
        <f t="shared" si="10"/>
        <v>834.6360187051672</v>
      </c>
      <c r="E74" s="73">
        <f t="shared" si="10"/>
        <v>848.95289597098144</v>
      </c>
      <c r="F74" s="74">
        <f t="shared" si="10"/>
        <v>1033.4843813259856</v>
      </c>
      <c r="G74" s="74">
        <f t="shared" si="10"/>
        <v>0</v>
      </c>
      <c r="H74" s="74">
        <f t="shared" si="10"/>
        <v>0</v>
      </c>
      <c r="I74" s="74">
        <f t="shared" si="10"/>
        <v>0</v>
      </c>
    </row>
    <row r="75" spans="1:9">
      <c r="A75" s="17" t="str">
        <f>HLOOKUP(INDICE!$F$2,Nombres!$C$3:$D$636,44,FALSE)</f>
        <v>Impaiment on financial assets not measured at fair value through profit or loss</v>
      </c>
      <c r="B75" s="77">
        <v>-190.14957209765018</v>
      </c>
      <c r="C75" s="77">
        <v>-183.12021677178168</v>
      </c>
      <c r="D75" s="77">
        <v>-266.8890595526334</v>
      </c>
      <c r="E75" s="78">
        <v>-347.89874758140996</v>
      </c>
      <c r="F75" s="77">
        <v>-352.05699999999661</v>
      </c>
      <c r="G75" s="77">
        <v>0</v>
      </c>
      <c r="H75" s="77">
        <v>0</v>
      </c>
      <c r="I75" s="77">
        <v>0</v>
      </c>
    </row>
    <row r="76" spans="1:9">
      <c r="A76" s="17" t="str">
        <f>HLOOKUP(INDICE!$F$2,Nombres!$C$3:$D$636,45,FALSE)</f>
        <v>Provisions or reversal of provisions and other results</v>
      </c>
      <c r="B76" s="77">
        <v>-3.3274699725439492</v>
      </c>
      <c r="C76" s="77">
        <v>12.151189607627021</v>
      </c>
      <c r="D76" s="77">
        <v>-21.732071092731974</v>
      </c>
      <c r="E76" s="78">
        <v>-21.294911579369796</v>
      </c>
      <c r="F76" s="77">
        <v>-15.702001999999984</v>
      </c>
      <c r="G76" s="77">
        <v>0</v>
      </c>
      <c r="H76" s="77">
        <v>0</v>
      </c>
      <c r="I76" s="77">
        <v>0</v>
      </c>
    </row>
    <row r="77" spans="1:9">
      <c r="A77" s="25" t="str">
        <f>HLOOKUP(INDICE!$F$2,Nombres!$C$3:$D$636,46,FALSE)</f>
        <v>Profit/(loss) before tax</v>
      </c>
      <c r="B77" s="25">
        <f>+B74+B75+B76</f>
        <v>282.57602383434795</v>
      </c>
      <c r="C77" s="25">
        <f t="shared" ref="C77:I77" si="11">+C74+C75+C76</f>
        <v>521.00132611564209</v>
      </c>
      <c r="D77" s="25">
        <f t="shared" si="11"/>
        <v>546.01488805980182</v>
      </c>
      <c r="E77" s="73">
        <f t="shared" si="11"/>
        <v>479.75923681020168</v>
      </c>
      <c r="F77" s="74">
        <f t="shared" si="11"/>
        <v>665.72537932598902</v>
      </c>
      <c r="G77" s="74">
        <f t="shared" si="11"/>
        <v>0</v>
      </c>
      <c r="H77" s="74">
        <f t="shared" si="11"/>
        <v>0</v>
      </c>
      <c r="I77" s="74">
        <f t="shared" si="11"/>
        <v>0</v>
      </c>
    </row>
    <row r="78" spans="1:9">
      <c r="A78" s="17" t="str">
        <f>HLOOKUP(INDICE!$F$2,Nombres!$C$3:$D$636,47,FALSE)</f>
        <v>Income tax</v>
      </c>
      <c r="B78" s="77">
        <v>-213.89833561834178</v>
      </c>
      <c r="C78" s="77">
        <v>-190.29440476447607</v>
      </c>
      <c r="D78" s="77">
        <v>-241.97341984916696</v>
      </c>
      <c r="E78" s="78">
        <v>-248.39263929232311</v>
      </c>
      <c r="F78" s="77">
        <v>-354.10937027239714</v>
      </c>
      <c r="G78" s="77">
        <v>0</v>
      </c>
      <c r="H78" s="77">
        <v>0</v>
      </c>
      <c r="I78" s="77">
        <v>0</v>
      </c>
    </row>
    <row r="79" spans="1:9">
      <c r="A79" s="25" t="str">
        <f>HLOOKUP(INDICE!$F$2,Nombres!$C$3:$D$636,48,FALSE)</f>
        <v>Profit/(loss) for the year</v>
      </c>
      <c r="B79" s="25">
        <f>+B77+B78</f>
        <v>68.677688216006175</v>
      </c>
      <c r="C79" s="25">
        <f t="shared" ref="C79:I79" si="12">+C77+C78</f>
        <v>330.70692135116599</v>
      </c>
      <c r="D79" s="25">
        <f t="shared" si="12"/>
        <v>304.04146821063489</v>
      </c>
      <c r="E79" s="73">
        <f t="shared" si="12"/>
        <v>231.36659751787857</v>
      </c>
      <c r="F79" s="74">
        <f t="shared" si="12"/>
        <v>311.61600905359188</v>
      </c>
      <c r="G79" s="74">
        <f t="shared" si="12"/>
        <v>0</v>
      </c>
      <c r="H79" s="74">
        <f t="shared" si="12"/>
        <v>0</v>
      </c>
      <c r="I79" s="74">
        <f t="shared" si="12"/>
        <v>0</v>
      </c>
    </row>
    <row r="80" spans="1:9">
      <c r="A80" s="17" t="str">
        <f>HLOOKUP(INDICE!$F$2,Nombres!$C$3:$D$636,49,FALSE)</f>
        <v>Non-controlling interests</v>
      </c>
      <c r="B80" s="77">
        <v>-12.893784841568596</v>
      </c>
      <c r="C80" s="77">
        <v>-51.502572339917961</v>
      </c>
      <c r="D80" s="77">
        <v>-48.072298099675599</v>
      </c>
      <c r="E80" s="78">
        <v>-37.921026287881723</v>
      </c>
      <c r="F80" s="77">
        <v>-49.011998999999129</v>
      </c>
      <c r="G80" s="77">
        <v>0</v>
      </c>
      <c r="H80" s="77">
        <v>0</v>
      </c>
      <c r="I80" s="77">
        <v>0</v>
      </c>
    </row>
    <row r="81" spans="1:9">
      <c r="A81" s="19" t="str">
        <f>HLOOKUP(INDICE!$F$2,Nombres!$C$3:$D$636,50,FALSE)</f>
        <v>Net attributable profit</v>
      </c>
      <c r="B81" s="19">
        <f>+B79+B80</f>
        <v>55.783903374437578</v>
      </c>
      <c r="C81" s="19">
        <f t="shared" ref="C81:I81" si="13">+C79+C80</f>
        <v>279.20434901124804</v>
      </c>
      <c r="D81" s="19">
        <f t="shared" si="13"/>
        <v>255.96917011095928</v>
      </c>
      <c r="E81" s="19">
        <f t="shared" si="13"/>
        <v>193.44557122999686</v>
      </c>
      <c r="F81" s="96">
        <f t="shared" si="13"/>
        <v>262.60401005359273</v>
      </c>
      <c r="G81" s="96">
        <f t="shared" si="13"/>
        <v>0</v>
      </c>
      <c r="H81" s="96">
        <f t="shared" si="13"/>
        <v>0</v>
      </c>
      <c r="I81" s="96">
        <f t="shared" si="13"/>
        <v>0</v>
      </c>
    </row>
    <row r="82" spans="1:9">
      <c r="A82" s="93"/>
      <c r="B82" s="101">
        <v>-7.1054273576010019E-14</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Cash, cash balances at central banks and other demand deposits</v>
      </c>
      <c r="B87" s="77">
        <v>9033.4170792482164</v>
      </c>
      <c r="C87" s="77">
        <v>8883.3836774474694</v>
      </c>
      <c r="D87" s="77">
        <v>9709.9638706322366</v>
      </c>
      <c r="E87" s="78">
        <v>8987.6596887153628</v>
      </c>
      <c r="F87" s="77">
        <v>9593.3829999995487</v>
      </c>
      <c r="G87" s="77">
        <v>0</v>
      </c>
      <c r="H87" s="77">
        <v>0</v>
      </c>
      <c r="I87" s="77">
        <v>0</v>
      </c>
    </row>
    <row r="88" spans="1:9">
      <c r="A88" s="17" t="str">
        <f>HLOOKUP(INDICE!$F$2,Nombres!$C$3:$D$636,53,FALSE)</f>
        <v xml:space="preserve">Financial assets designated at fair value </v>
      </c>
      <c r="B88" s="86">
        <v>4056.8855139598409</v>
      </c>
      <c r="C88" s="86">
        <v>4242.2382348315268</v>
      </c>
      <c r="D88" s="86">
        <v>4659.2811677850814</v>
      </c>
      <c r="E88" s="97">
        <v>4962.0954921864359</v>
      </c>
      <c r="F88" s="77">
        <v>8133.2349999998978</v>
      </c>
      <c r="G88" s="77">
        <v>0</v>
      </c>
      <c r="H88" s="77">
        <v>0</v>
      </c>
      <c r="I88" s="77">
        <v>0</v>
      </c>
    </row>
    <row r="89" spans="1:9">
      <c r="A89" s="17" t="str">
        <f>HLOOKUP(INDICE!$F$2,Nombres!$C$3:$D$636,54,FALSE)</f>
        <v>Financial assets at amortized cost</v>
      </c>
      <c r="B89" s="77">
        <v>54801.910229213623</v>
      </c>
      <c r="C89" s="77">
        <v>59382.827438103915</v>
      </c>
      <c r="D89" s="77">
        <v>64963.029502712488</v>
      </c>
      <c r="E89" s="78">
        <v>71300.209446295034</v>
      </c>
      <c r="F89" s="77">
        <v>71519.484000378681</v>
      </c>
      <c r="G89" s="77">
        <v>0</v>
      </c>
      <c r="H89" s="77">
        <v>0</v>
      </c>
      <c r="I89" s="77">
        <v>0</v>
      </c>
    </row>
    <row r="90" spans="1:9">
      <c r="A90" s="17" t="str">
        <f>HLOOKUP(INDICE!$F$2,Nombres!$C$3:$D$636,55,FALSE)</f>
        <v xml:space="preserve">    of which loans and advances to customers</v>
      </c>
      <c r="B90" s="77">
        <v>39687.596217387079</v>
      </c>
      <c r="C90" s="77">
        <v>44402.99661678345</v>
      </c>
      <c r="D90" s="77">
        <v>48681.712736788948</v>
      </c>
      <c r="E90" s="78">
        <v>53159.730831148445</v>
      </c>
      <c r="F90" s="77">
        <v>56951.946000395044</v>
      </c>
      <c r="G90" s="77">
        <v>0</v>
      </c>
      <c r="H90" s="77">
        <v>0</v>
      </c>
      <c r="I90" s="77">
        <v>0</v>
      </c>
    </row>
    <row r="91" spans="1:9" hidden="1">
      <c r="A91" s="17"/>
      <c r="B91" s="77"/>
      <c r="C91" s="77"/>
      <c r="D91" s="77"/>
      <c r="E91" s="78"/>
      <c r="F91" s="77"/>
      <c r="G91" s="77"/>
      <c r="H91" s="77"/>
      <c r="I91" s="77"/>
    </row>
    <row r="92" spans="1:9">
      <c r="A92" s="17" t="str">
        <f>HLOOKUP(INDICE!$F$2,Nombres!$C$3:$D$636,56,FALSE)</f>
        <v>Tangible assets</v>
      </c>
      <c r="B92" s="77">
        <v>1751.9599572783036</v>
      </c>
      <c r="C92" s="77">
        <v>1710.4680358926944</v>
      </c>
      <c r="D92" s="77">
        <v>1776.1137442288937</v>
      </c>
      <c r="E92" s="78">
        <v>1889.5899247016303</v>
      </c>
      <c r="F92" s="77">
        <v>2046.6639999999879</v>
      </c>
      <c r="G92" s="77">
        <v>0</v>
      </c>
      <c r="H92" s="77">
        <v>0</v>
      </c>
      <c r="I92" s="77">
        <v>0</v>
      </c>
    </row>
    <row r="93" spans="1:9">
      <c r="A93" s="17" t="str">
        <f>HLOOKUP(INDICE!$F$2,Nombres!$C$3:$D$636,57,FALSE)</f>
        <v>Other assets</v>
      </c>
      <c r="B93" s="86">
        <f>+B94-B92-B89-B88-B87</f>
        <v>2168.7775706578886</v>
      </c>
      <c r="C93" s="86">
        <f t="shared" ref="C93:I93" si="15">+C94-C92-C89-C88-C87</f>
        <v>2325.5008324829578</v>
      </c>
      <c r="D93" s="86">
        <f t="shared" si="15"/>
        <v>2561.9057671592054</v>
      </c>
      <c r="E93" s="97">
        <f t="shared" si="15"/>
        <v>2657.6655893308543</v>
      </c>
      <c r="F93" s="77">
        <f t="shared" si="15"/>
        <v>2921.8459999787319</v>
      </c>
      <c r="G93" s="77">
        <f t="shared" si="15"/>
        <v>0</v>
      </c>
      <c r="H93" s="77">
        <f t="shared" si="15"/>
        <v>0</v>
      </c>
      <c r="I93" s="77">
        <f t="shared" si="15"/>
        <v>0</v>
      </c>
    </row>
    <row r="94" spans="1:9">
      <c r="A94" s="19" t="str">
        <f>HLOOKUP(INDICE!$F$2,Nombres!$C$3:$D$636,58,FALSE)</f>
        <v>Total assets / Liabilities and equity</v>
      </c>
      <c r="B94" s="19">
        <v>71812.950350357874</v>
      </c>
      <c r="C94" s="19">
        <v>76544.418218758568</v>
      </c>
      <c r="D94" s="19">
        <v>83670.2940525179</v>
      </c>
      <c r="E94" s="19">
        <v>89797.220141229322</v>
      </c>
      <c r="F94" s="19">
        <v>94214.61200035685</v>
      </c>
      <c r="G94" s="19">
        <v>0</v>
      </c>
      <c r="H94" s="19">
        <v>0</v>
      </c>
      <c r="I94" s="19">
        <v>0</v>
      </c>
    </row>
    <row r="95" spans="1:9">
      <c r="A95" s="17" t="str">
        <f>HLOOKUP(INDICE!$F$2,Nombres!$C$3:$D$636,59,FALSE)</f>
        <v>Financial liabilities held for trading and designated at fair value through profit or loss</v>
      </c>
      <c r="B95" s="86">
        <v>1694.8221142329674</v>
      </c>
      <c r="C95" s="86">
        <v>1713.8987803925365</v>
      </c>
      <c r="D95" s="86">
        <v>1675.9920529528501</v>
      </c>
      <c r="E95" s="97">
        <v>1713.6707051418405</v>
      </c>
      <c r="F95" s="77">
        <v>1867.7889999897211</v>
      </c>
      <c r="G95" s="77">
        <v>0</v>
      </c>
      <c r="H95" s="77">
        <v>0</v>
      </c>
      <c r="I95" s="77">
        <v>0</v>
      </c>
    </row>
    <row r="96" spans="1:9">
      <c r="A96" s="17" t="str">
        <f>HLOOKUP(INDICE!$F$2,Nombres!$C$3:$D$636,60,FALSE)</f>
        <v>Deposits from central banks and credit institutions</v>
      </c>
      <c r="B96" s="86">
        <v>3167.7499417800955</v>
      </c>
      <c r="C96" s="86">
        <v>4195.4628980839989</v>
      </c>
      <c r="D96" s="86">
        <v>4140.9756066314858</v>
      </c>
      <c r="E96" s="97">
        <v>3534.7704527160404</v>
      </c>
      <c r="F96" s="77">
        <v>3317.0579999961919</v>
      </c>
      <c r="G96" s="77">
        <v>0</v>
      </c>
      <c r="H96" s="77">
        <v>0</v>
      </c>
      <c r="I96" s="77">
        <v>0</v>
      </c>
    </row>
    <row r="97" spans="1:9">
      <c r="A97" s="17" t="str">
        <f>HLOOKUP(INDICE!$F$2,Nombres!$C$3:$D$636,61,FALSE)</f>
        <v>Deposits from customers</v>
      </c>
      <c r="B97" s="86">
        <v>51921.040502087671</v>
      </c>
      <c r="C97" s="86">
        <v>53933.093579558481</v>
      </c>
      <c r="D97" s="86">
        <v>58641.737113957694</v>
      </c>
      <c r="E97" s="97">
        <v>62326.043765844399</v>
      </c>
      <c r="F97" s="77">
        <v>65432.887999994564</v>
      </c>
      <c r="G97" s="77">
        <v>0</v>
      </c>
      <c r="H97" s="77">
        <v>0</v>
      </c>
      <c r="I97" s="77">
        <v>0</v>
      </c>
    </row>
    <row r="98" spans="1:9">
      <c r="A98" s="17" t="str">
        <f>HLOOKUP(INDICE!$F$2,Nombres!$C$3:$D$636,62,FALSE)</f>
        <v>Debt certificates</v>
      </c>
      <c r="B98" s="77">
        <v>3707.3228159061541</v>
      </c>
      <c r="C98" s="77">
        <v>4733.8085722082633</v>
      </c>
      <c r="D98" s="77">
        <v>5801.3894524271454</v>
      </c>
      <c r="E98" s="78">
        <v>7410.6859123853947</v>
      </c>
      <c r="F98" s="77">
        <v>7269.808104126545</v>
      </c>
      <c r="G98" s="77">
        <v>0</v>
      </c>
      <c r="H98" s="77">
        <v>0</v>
      </c>
      <c r="I98" s="77">
        <v>0</v>
      </c>
    </row>
    <row r="99" spans="1:9" hidden="1">
      <c r="A99" s="17"/>
      <c r="B99" s="77"/>
      <c r="C99" s="77"/>
      <c r="D99" s="77"/>
      <c r="E99" s="78"/>
      <c r="F99" s="77"/>
      <c r="G99" s="77"/>
      <c r="H99" s="77"/>
      <c r="I99" s="77"/>
    </row>
    <row r="100" spans="1:9">
      <c r="A100" s="17" t="str">
        <f>HLOOKUP(INDICE!$F$2,Nombres!$C$3:$D$636,63,FALSE)</f>
        <v>Other liabilities</v>
      </c>
      <c r="B100" s="86">
        <f>+B94-B95-B96-B97-B98-B101</f>
        <v>4150.3679090967098</v>
      </c>
      <c r="C100" s="86">
        <f t="shared" ref="C100:I100" si="16">+C94-C95-C96-C97-C98-C101</f>
        <v>3937.4125040259623</v>
      </c>
      <c r="D100" s="86">
        <f t="shared" si="16"/>
        <v>4958.4102592494673</v>
      </c>
      <c r="E100" s="97">
        <f t="shared" si="16"/>
        <v>5684.9093102229435</v>
      </c>
      <c r="F100" s="77">
        <f t="shared" si="16"/>
        <v>6937.3735776778522</v>
      </c>
      <c r="G100" s="77">
        <f t="shared" si="16"/>
        <v>0</v>
      </c>
      <c r="H100" s="77">
        <f t="shared" si="16"/>
        <v>0</v>
      </c>
      <c r="I100" s="77">
        <f t="shared" si="16"/>
        <v>0</v>
      </c>
    </row>
    <row r="101" spans="1:9">
      <c r="A101" s="17" t="str">
        <f>HLOOKUP(INDICE!$F$2,Nombres!$C$3:$D$636,282,FALSE)</f>
        <v>Allocated regulatory capital</v>
      </c>
      <c r="B101" s="77">
        <v>7171.6470672542664</v>
      </c>
      <c r="C101" s="77">
        <v>8030.7418844893291</v>
      </c>
      <c r="D101" s="77">
        <v>8451.7895672992599</v>
      </c>
      <c r="E101" s="77">
        <v>9127.1399949187125</v>
      </c>
      <c r="F101" s="77">
        <v>9389.6953185719813</v>
      </c>
      <c r="G101" s="77">
        <v>0</v>
      </c>
      <c r="H101" s="77">
        <v>0</v>
      </c>
      <c r="I101" s="77">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Relevant business indicators</v>
      </c>
      <c r="B104" s="66"/>
      <c r="C104" s="66"/>
      <c r="D104" s="66"/>
      <c r="E104" s="66"/>
      <c r="F104" s="106"/>
      <c r="G104" s="106"/>
      <c r="H104" s="106"/>
      <c r="I104" s="106"/>
    </row>
    <row r="105" spans="1:9">
      <c r="A105" s="67"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Loans and advances to customers (gross) (*)</v>
      </c>
      <c r="B107" s="77">
        <v>41149.943251293073</v>
      </c>
      <c r="C107" s="77">
        <v>46047.16582978682</v>
      </c>
      <c r="D107" s="77">
        <v>50444.464329279595</v>
      </c>
      <c r="E107" s="78">
        <v>55145.90491860058</v>
      </c>
      <c r="F107" s="77">
        <v>59139.278000395017</v>
      </c>
      <c r="G107" s="77">
        <v>0</v>
      </c>
      <c r="H107" s="77">
        <v>0</v>
      </c>
      <c r="I107" s="77">
        <v>0</v>
      </c>
    </row>
    <row r="108" spans="1:9">
      <c r="A108" s="17" t="str">
        <f>HLOOKUP(INDICE!$F$2,Nombres!$C$3:$D$636,67,FALSE)</f>
        <v>Customer deposits under management (*)</v>
      </c>
      <c r="B108" s="77">
        <v>51858.318665529157</v>
      </c>
      <c r="C108" s="77">
        <v>52905.393165424452</v>
      </c>
      <c r="D108" s="77">
        <v>57489.755162662936</v>
      </c>
      <c r="E108" s="78">
        <v>61882.298672751036</v>
      </c>
      <c r="F108" s="77">
        <v>65356.153999994567</v>
      </c>
      <c r="G108" s="77">
        <v>0</v>
      </c>
      <c r="H108" s="77">
        <v>0</v>
      </c>
      <c r="I108" s="77">
        <v>0</v>
      </c>
    </row>
    <row r="109" spans="1:9">
      <c r="A109" s="17" t="str">
        <f>HLOOKUP(INDICE!$F$2,Nombres!$C$3:$D$636,68,FALSE)</f>
        <v>Investment funds and managed portfolios</v>
      </c>
      <c r="B109" s="77">
        <v>10713.82501897849</v>
      </c>
      <c r="C109" s="77">
        <v>13704.317237065636</v>
      </c>
      <c r="D109" s="77">
        <v>16924.183762943867</v>
      </c>
      <c r="E109" s="78">
        <v>19184.964364017243</v>
      </c>
      <c r="F109" s="77">
        <v>19208.013999999817</v>
      </c>
      <c r="G109" s="77">
        <v>0</v>
      </c>
      <c r="H109" s="77">
        <v>0</v>
      </c>
      <c r="I109" s="77">
        <v>0</v>
      </c>
    </row>
    <row r="110" spans="1:9">
      <c r="A110" s="17" t="str">
        <f>HLOOKUP(INDICE!$F$2,Nombres!$C$3:$D$636,69,FALSE)</f>
        <v>Pension funds</v>
      </c>
      <c r="B110" s="77">
        <v>4189.3441136540941</v>
      </c>
      <c r="C110" s="77">
        <v>4800.7186545422337</v>
      </c>
      <c r="D110" s="77">
        <v>5691.8945965293242</v>
      </c>
      <c r="E110" s="78">
        <v>6766.4735192765265</v>
      </c>
      <c r="F110" s="77">
        <v>7614.7089999999289</v>
      </c>
      <c r="G110" s="77">
        <v>0</v>
      </c>
      <c r="H110" s="77">
        <v>0</v>
      </c>
      <c r="I110" s="77">
        <v>0</v>
      </c>
    </row>
    <row r="111" spans="1:9">
      <c r="A111" s="17" t="str">
        <f>HLOOKUP(INDICE!$F$2,Nombres!$C$3:$D$636,70,FALSE)</f>
        <v>Other off balance-sheet funds</v>
      </c>
      <c r="B111" s="77">
        <v>0</v>
      </c>
      <c r="C111" s="77">
        <v>0</v>
      </c>
      <c r="D111" s="77">
        <v>0</v>
      </c>
      <c r="E111" s="78">
        <v>0</v>
      </c>
      <c r="F111" s="77">
        <v>0</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Income statement  </v>
      </c>
      <c r="B115" s="66"/>
      <c r="C115" s="66"/>
      <c r="D115" s="66"/>
      <c r="E115" s="66"/>
      <c r="F115" s="66"/>
      <c r="G115" s="66"/>
      <c r="H115" s="66"/>
      <c r="I115" s="66"/>
    </row>
    <row r="116" spans="1:9">
      <c r="A116" s="67" t="str">
        <f>HLOOKUP(INDICE!$F$2,Nombres!$C$3:$D$636,77,FALSE)</f>
        <v>(Million Turkish liras)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1Q</v>
      </c>
      <c r="C119" s="71" t="str">
        <f t="shared" ref="C119:I119" si="18">+C$7</f>
        <v>2Q</v>
      </c>
      <c r="D119" s="71" t="str">
        <f t="shared" si="18"/>
        <v>3Q</v>
      </c>
      <c r="E119" s="72" t="str">
        <f t="shared" si="18"/>
        <v>4Q</v>
      </c>
      <c r="F119" s="71" t="str">
        <f t="shared" si="18"/>
        <v>1Q</v>
      </c>
      <c r="G119" s="71" t="str">
        <f t="shared" si="18"/>
        <v>2Q</v>
      </c>
      <c r="H119" s="71" t="str">
        <f t="shared" si="18"/>
        <v>3Q</v>
      </c>
      <c r="I119" s="71" t="str">
        <f t="shared" si="18"/>
        <v>4Q</v>
      </c>
    </row>
    <row r="120" spans="1:9">
      <c r="A120" s="25" t="str">
        <f>HLOOKUP(INDICE!$F$2,Nombres!$C$3:$D$636,33,FALSE)</f>
        <v>Net interest income</v>
      </c>
      <c r="B120" s="25">
        <v>28563.033011208037</v>
      </c>
      <c r="C120" s="25">
        <v>31455.247644580995</v>
      </c>
      <c r="D120" s="25">
        <v>43075.362843270901</v>
      </c>
      <c r="E120" s="73">
        <v>50584.28937864639</v>
      </c>
      <c r="F120" s="74">
        <v>57335.403072502166</v>
      </c>
      <c r="G120" s="74">
        <v>0</v>
      </c>
      <c r="H120" s="74">
        <v>0</v>
      </c>
      <c r="I120" s="74">
        <v>0</v>
      </c>
    </row>
    <row r="121" spans="1:9">
      <c r="A121" s="17" t="str">
        <f>HLOOKUP(INDICE!$F$2,Nombres!$C$3:$D$636,34,FALSE)</f>
        <v>Net fees and commissions</v>
      </c>
      <c r="B121" s="77">
        <v>22526.810537057503</v>
      </c>
      <c r="C121" s="77">
        <v>26632.171868377136</v>
      </c>
      <c r="D121" s="77">
        <v>28912.513827192015</v>
      </c>
      <c r="E121" s="78">
        <v>28907.022136465239</v>
      </c>
      <c r="F121" s="77">
        <v>28874.515980193672</v>
      </c>
      <c r="G121" s="77">
        <v>0</v>
      </c>
      <c r="H121" s="77">
        <v>0</v>
      </c>
      <c r="I121" s="77">
        <v>0</v>
      </c>
    </row>
    <row r="122" spans="1:9">
      <c r="A122" s="17" t="str">
        <f>HLOOKUP(INDICE!$F$2,Nombres!$C$3:$D$636,35,FALSE)</f>
        <v>Net trading income</v>
      </c>
      <c r="B122" s="77">
        <v>5047.0772010350265</v>
      </c>
      <c r="C122" s="77">
        <v>5171.3153835454095</v>
      </c>
      <c r="D122" s="77">
        <v>6244.017317086953</v>
      </c>
      <c r="E122" s="78">
        <v>3275.0480533108521</v>
      </c>
      <c r="F122" s="77">
        <v>7471.0497375909217</v>
      </c>
      <c r="G122" s="77">
        <v>0</v>
      </c>
      <c r="H122" s="77">
        <v>0</v>
      </c>
      <c r="I122" s="77">
        <v>0</v>
      </c>
    </row>
    <row r="123" spans="1:9">
      <c r="A123" s="17" t="str">
        <f>HLOOKUP(INDICE!$F$2,Nombres!$C$3:$D$636,36,FALSE)</f>
        <v>Other operating income and expenses</v>
      </c>
      <c r="B123" s="77">
        <v>-4391.6662697236952</v>
      </c>
      <c r="C123" s="77">
        <v>-3813.5139926802635</v>
      </c>
      <c r="D123" s="77">
        <v>-6563.4913288554217</v>
      </c>
      <c r="E123" s="78">
        <v>-4541.4587624953692</v>
      </c>
      <c r="F123" s="77">
        <v>-6119.042561723606</v>
      </c>
      <c r="G123" s="77">
        <v>0</v>
      </c>
      <c r="H123" s="77">
        <v>0</v>
      </c>
      <c r="I123" s="77">
        <v>0</v>
      </c>
    </row>
    <row r="124" spans="1:9">
      <c r="A124" s="25" t="str">
        <f>HLOOKUP(INDICE!$F$2,Nombres!$C$3:$D$636,37,FALSE)</f>
        <v>Gross income</v>
      </c>
      <c r="B124" s="25">
        <f>+SUM(B120:B123)</f>
        <v>51745.25447957687</v>
      </c>
      <c r="C124" s="25">
        <f t="shared" ref="C124:I124" si="19">+SUM(C120:C123)</f>
        <v>59445.220903823276</v>
      </c>
      <c r="D124" s="25">
        <f t="shared" si="19"/>
        <v>71668.402658694453</v>
      </c>
      <c r="E124" s="73">
        <f t="shared" si="19"/>
        <v>78224.9008059271</v>
      </c>
      <c r="F124" s="74">
        <f t="shared" si="19"/>
        <v>87561.926228563156</v>
      </c>
      <c r="G124" s="74">
        <f t="shared" si="19"/>
        <v>0</v>
      </c>
      <c r="H124" s="74">
        <f t="shared" si="19"/>
        <v>0</v>
      </c>
      <c r="I124" s="74">
        <f t="shared" si="19"/>
        <v>0</v>
      </c>
    </row>
    <row r="125" spans="1:9">
      <c r="A125" s="17" t="str">
        <f>HLOOKUP(INDICE!$F$2,Nombres!$C$3:$D$636,38,FALSE)</f>
        <v>Operating expenses</v>
      </c>
      <c r="B125" s="77">
        <v>-23571.53133723847</v>
      </c>
      <c r="C125" s="77">
        <v>-26290.806641347135</v>
      </c>
      <c r="D125" s="77">
        <v>-30091.468673073909</v>
      </c>
      <c r="E125" s="78">
        <v>-35995.240560752463</v>
      </c>
      <c r="F125" s="77">
        <v>-34705.045618982302</v>
      </c>
      <c r="G125" s="77">
        <v>0</v>
      </c>
      <c r="H125" s="77">
        <v>0</v>
      </c>
      <c r="I125" s="77">
        <v>0</v>
      </c>
    </row>
    <row r="126" spans="1:9">
      <c r="A126" s="17" t="str">
        <f>HLOOKUP(INDICE!$F$2,Nombres!$C$3:$D$636,39,FALSE)</f>
        <v xml:space="preserve">  Administration expenses</v>
      </c>
      <c r="B126" s="77">
        <v>-21168.30688941856</v>
      </c>
      <c r="C126" s="77">
        <v>-23407.7942023947</v>
      </c>
      <c r="D126" s="77">
        <v>-26852.017819297849</v>
      </c>
      <c r="E126" s="78">
        <v>-32928.913987693799</v>
      </c>
      <c r="F126" s="77">
        <v>-31352.430085352575</v>
      </c>
      <c r="G126" s="77">
        <v>0</v>
      </c>
      <c r="H126" s="77">
        <v>0</v>
      </c>
      <c r="I126" s="77">
        <v>0</v>
      </c>
    </row>
    <row r="127" spans="1:9">
      <c r="A127" s="79" t="str">
        <f>HLOOKUP(INDICE!$F$2,Nombres!$C$3:$D$636,40,FALSE)</f>
        <v xml:space="preserve">  Personnel expenses</v>
      </c>
      <c r="B127" s="77">
        <v>-13610.276229486966</v>
      </c>
      <c r="C127" s="77">
        <v>-14810.901879793297</v>
      </c>
      <c r="D127" s="77">
        <v>-17691.476654290174</v>
      </c>
      <c r="E127" s="78">
        <v>-19537.94897246618</v>
      </c>
      <c r="F127" s="77">
        <v>-20211.399471642399</v>
      </c>
      <c r="G127" s="77">
        <v>0</v>
      </c>
      <c r="H127" s="77">
        <v>0</v>
      </c>
      <c r="I127" s="77">
        <v>0</v>
      </c>
    </row>
    <row r="128" spans="1:9">
      <c r="A128" s="79" t="str">
        <f>HLOOKUP(INDICE!$F$2,Nombres!$C$3:$D$636,41,FALSE)</f>
        <v xml:space="preserve">  General and administrative expenses</v>
      </c>
      <c r="B128" s="77">
        <v>-7558.0306599315918</v>
      </c>
      <c r="C128" s="77">
        <v>-8596.8923226014031</v>
      </c>
      <c r="D128" s="77">
        <v>-9160.5411650076749</v>
      </c>
      <c r="E128" s="78">
        <v>-13390.965015227624</v>
      </c>
      <c r="F128" s="77">
        <v>-11141.030613710174</v>
      </c>
      <c r="G128" s="77">
        <v>0</v>
      </c>
      <c r="H128" s="77">
        <v>0</v>
      </c>
      <c r="I128" s="77">
        <v>0</v>
      </c>
    </row>
    <row r="129" spans="1:9">
      <c r="A129" s="17" t="str">
        <f>HLOOKUP(INDICE!$F$2,Nombres!$C$3:$D$636,42,FALSE)</f>
        <v xml:space="preserve">  Depreciation</v>
      </c>
      <c r="B129" s="77">
        <v>-2403.2244478199091</v>
      </c>
      <c r="C129" s="77">
        <v>-2883.0124389524358</v>
      </c>
      <c r="D129" s="77">
        <v>-3239.4508537760616</v>
      </c>
      <c r="E129" s="78">
        <v>-3066.3265730586627</v>
      </c>
      <c r="F129" s="77">
        <v>-3352.6155336297302</v>
      </c>
      <c r="G129" s="77">
        <v>0</v>
      </c>
      <c r="H129" s="77">
        <v>0</v>
      </c>
      <c r="I129" s="77">
        <v>0</v>
      </c>
    </row>
    <row r="130" spans="1:9">
      <c r="A130" s="25" t="str">
        <f>HLOOKUP(INDICE!$F$2,Nombres!$C$3:$D$636,43,FALSE)</f>
        <v>Operating income</v>
      </c>
      <c r="B130" s="25">
        <f>+B124+B125</f>
        <v>28173.7231423384</v>
      </c>
      <c r="C130" s="25">
        <f t="shared" ref="C130:I130" si="20">+C124+C125</f>
        <v>33154.414262476144</v>
      </c>
      <c r="D130" s="25">
        <f t="shared" si="20"/>
        <v>41576.933985620548</v>
      </c>
      <c r="E130" s="73">
        <f t="shared" si="20"/>
        <v>42229.660245174637</v>
      </c>
      <c r="F130" s="74">
        <f t="shared" si="20"/>
        <v>52856.880609580854</v>
      </c>
      <c r="G130" s="74">
        <f t="shared" si="20"/>
        <v>0</v>
      </c>
      <c r="H130" s="74">
        <f t="shared" si="20"/>
        <v>0</v>
      </c>
      <c r="I130" s="74">
        <f t="shared" si="20"/>
        <v>0</v>
      </c>
    </row>
    <row r="131" spans="1:9">
      <c r="A131" s="17" t="str">
        <f>HLOOKUP(INDICE!$F$2,Nombres!$C$3:$D$636,44,FALSE)</f>
        <v>Impaiment on financial assets not measured at fair value through profit or loss</v>
      </c>
      <c r="B131" s="77">
        <v>-9605.7245272036034</v>
      </c>
      <c r="C131" s="77">
        <v>-9341.3403556560515</v>
      </c>
      <c r="D131" s="77">
        <v>-13582.560202741985</v>
      </c>
      <c r="E131" s="78">
        <v>-17931.335463276904</v>
      </c>
      <c r="F131" s="77">
        <v>-18005.4322095758</v>
      </c>
      <c r="G131" s="77">
        <v>0</v>
      </c>
      <c r="H131" s="77">
        <v>0</v>
      </c>
      <c r="I131" s="77">
        <v>0</v>
      </c>
    </row>
    <row r="132" spans="1:9">
      <c r="A132" s="17" t="str">
        <f>HLOOKUP(INDICE!$F$2,Nombres!$C$3:$D$636,45,FALSE)</f>
        <v>Provisions or reversal of provisions and other results</v>
      </c>
      <c r="B132" s="77">
        <v>-103.02302093401693</v>
      </c>
      <c r="C132" s="77">
        <v>586.530601537454</v>
      </c>
      <c r="D132" s="77">
        <v>-1121.8007401304885</v>
      </c>
      <c r="E132" s="78">
        <v>-1112.1917098493386</v>
      </c>
      <c r="F132" s="77">
        <v>-803.04287198267025</v>
      </c>
      <c r="G132" s="77">
        <v>0</v>
      </c>
      <c r="H132" s="77">
        <v>0</v>
      </c>
      <c r="I132" s="77">
        <v>0</v>
      </c>
    </row>
    <row r="133" spans="1:9">
      <c r="A133" s="25" t="str">
        <f>HLOOKUP(INDICE!$F$2,Nombres!$C$3:$D$636,46,FALSE)</f>
        <v>Profit/(loss) before tax</v>
      </c>
      <c r="B133" s="25">
        <f>+B130+B131+B132</f>
        <v>18464.975594200783</v>
      </c>
      <c r="C133" s="25">
        <f t="shared" ref="C133:I133" si="21">+C130+C131+C132</f>
        <v>24399.604508357548</v>
      </c>
      <c r="D133" s="25">
        <f t="shared" si="21"/>
        <v>26872.573042748074</v>
      </c>
      <c r="E133" s="73">
        <f t="shared" si="21"/>
        <v>23186.133072048393</v>
      </c>
      <c r="F133" s="74">
        <f t="shared" si="21"/>
        <v>34048.405528022391</v>
      </c>
      <c r="G133" s="74">
        <f t="shared" si="21"/>
        <v>0</v>
      </c>
      <c r="H133" s="74">
        <f t="shared" si="21"/>
        <v>0</v>
      </c>
      <c r="I133" s="74">
        <f t="shared" si="21"/>
        <v>0</v>
      </c>
    </row>
    <row r="134" spans="1:9">
      <c r="A134" s="17" t="str">
        <f>HLOOKUP(INDICE!$F$2,Nombres!$C$3:$D$636,47,FALSE)</f>
        <v>Income tax</v>
      </c>
      <c r="B134" s="77">
        <v>-10822.548380298329</v>
      </c>
      <c r="C134" s="77">
        <v>-9627.2419954031138</v>
      </c>
      <c r="D134" s="77">
        <v>-12250.061882043176</v>
      </c>
      <c r="E134" s="78">
        <v>-12642.011843661456</v>
      </c>
      <c r="F134" s="77">
        <v>-18110.619292419266</v>
      </c>
      <c r="G134" s="77">
        <v>0</v>
      </c>
      <c r="H134" s="77">
        <v>0</v>
      </c>
      <c r="I134" s="77">
        <v>0</v>
      </c>
    </row>
    <row r="135" spans="1:9">
      <c r="A135" s="25" t="str">
        <f>HLOOKUP(INDICE!$F$2,Nombres!$C$3:$D$636,48,FALSE)</f>
        <v>Profit/(loss) for the year</v>
      </c>
      <c r="B135" s="25">
        <f>+B133+B134</f>
        <v>7642.4272139024542</v>
      </c>
      <c r="C135" s="25">
        <f t="shared" ref="C135:I135" si="22">+C133+C134</f>
        <v>14772.362512954434</v>
      </c>
      <c r="D135" s="25">
        <f t="shared" si="22"/>
        <v>14622.511160704898</v>
      </c>
      <c r="E135" s="73">
        <f t="shared" si="22"/>
        <v>10544.121228386937</v>
      </c>
      <c r="F135" s="74">
        <f t="shared" si="22"/>
        <v>15937.786235603126</v>
      </c>
      <c r="G135" s="74">
        <f t="shared" si="22"/>
        <v>0</v>
      </c>
      <c r="H135" s="74">
        <f t="shared" si="22"/>
        <v>0</v>
      </c>
      <c r="I135" s="74">
        <f t="shared" si="22"/>
        <v>0</v>
      </c>
    </row>
    <row r="136" spans="1:9">
      <c r="A136" s="17" t="str">
        <f>HLOOKUP(INDICE!$F$2,Nombres!$C$3:$D$636,49,FALSE)</f>
        <v>Non-controlling interests</v>
      </c>
      <c r="B136" s="77">
        <v>-1238.8830809342007</v>
      </c>
      <c r="C136" s="77">
        <v>-2333.6233572911665</v>
      </c>
      <c r="D136" s="77">
        <v>-2328.5105491135614</v>
      </c>
      <c r="E136" s="78">
        <v>-1758.6041912949086</v>
      </c>
      <c r="F136" s="77">
        <v>-2506.7356621030158</v>
      </c>
      <c r="G136" s="77">
        <v>0</v>
      </c>
      <c r="H136" s="77">
        <v>0</v>
      </c>
      <c r="I136" s="77">
        <v>0</v>
      </c>
    </row>
    <row r="137" spans="1:9">
      <c r="A137" s="19" t="str">
        <f>HLOOKUP(INDICE!$F$2,Nombres!$C$3:$D$636,50,FALSE)</f>
        <v>Net attributable profit</v>
      </c>
      <c r="B137" s="19">
        <f>+B135+B136</f>
        <v>6403.5441329682535</v>
      </c>
      <c r="C137" s="19">
        <f t="shared" ref="C137:I137" si="23">+C135+C136</f>
        <v>12438.739155663268</v>
      </c>
      <c r="D137" s="19">
        <f t="shared" si="23"/>
        <v>12294.000611591337</v>
      </c>
      <c r="E137" s="19">
        <f t="shared" si="23"/>
        <v>8785.5170370920277</v>
      </c>
      <c r="F137" s="96">
        <f t="shared" si="23"/>
        <v>13431.05057350011</v>
      </c>
      <c r="G137" s="96">
        <f t="shared" si="23"/>
        <v>0</v>
      </c>
      <c r="H137" s="96">
        <f t="shared" si="23"/>
        <v>0</v>
      </c>
      <c r="I137" s="96">
        <f t="shared" si="23"/>
        <v>0</v>
      </c>
    </row>
    <row r="138" spans="1:9">
      <c r="A138" s="93"/>
      <c r="B138" s="101">
        <v>0</v>
      </c>
      <c r="C138" s="101">
        <v>0</v>
      </c>
      <c r="D138" s="101">
        <v>0</v>
      </c>
      <c r="E138" s="101"/>
      <c r="F138" s="114"/>
      <c r="G138" s="114"/>
      <c r="H138" s="114"/>
      <c r="I138" s="114"/>
    </row>
    <row r="139" spans="1:9">
      <c r="A139" s="25"/>
      <c r="B139" s="25"/>
      <c r="C139" s="25"/>
      <c r="D139" s="25"/>
      <c r="E139" s="25"/>
      <c r="F139" s="74"/>
      <c r="G139" s="74"/>
      <c r="H139" s="74"/>
      <c r="I139" s="74"/>
    </row>
    <row r="140" spans="1:9" ht="17">
      <c r="A140" s="65" t="str">
        <f>HLOOKUP(INDICE!$F$2,Nombres!$C$3:$D$636,51,FALSE)</f>
        <v>Balance sheets</v>
      </c>
      <c r="B140" s="66"/>
      <c r="C140" s="66"/>
      <c r="D140" s="66"/>
      <c r="E140" s="66"/>
      <c r="F140" s="106"/>
      <c r="G140" s="106"/>
      <c r="H140" s="106"/>
      <c r="I140" s="106"/>
    </row>
    <row r="141" spans="1:9">
      <c r="A141" s="67" t="str">
        <f>HLOOKUP(INDICE!$F$2,Nombres!$C$3:$D$636,77,FALSE)</f>
        <v>(Million Turkish liras)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Cash, cash balances at central banks and other demand deposits</v>
      </c>
      <c r="B143" s="77">
        <v>432412.47403242299</v>
      </c>
      <c r="C143" s="77">
        <v>442424.63014996349</v>
      </c>
      <c r="D143" s="77">
        <v>488023.45815784083</v>
      </c>
      <c r="E143" s="78">
        <v>457411.09505405248</v>
      </c>
      <c r="F143" s="77">
        <v>490637.26478007151</v>
      </c>
      <c r="G143" s="77">
        <v>0</v>
      </c>
      <c r="H143" s="77">
        <v>0</v>
      </c>
      <c r="I143" s="77">
        <v>0</v>
      </c>
    </row>
    <row r="144" spans="1:9">
      <c r="A144" s="17" t="str">
        <f>HLOOKUP(INDICE!$F$2,Nombres!$C$3:$D$636,53,FALSE)</f>
        <v xml:space="preserve">Financial assets designated at fair value </v>
      </c>
      <c r="B144" s="86">
        <v>198615.22259973545</v>
      </c>
      <c r="C144" s="86">
        <v>212352.94786592529</v>
      </c>
      <c r="D144" s="86">
        <v>235536.32806116925</v>
      </c>
      <c r="E144" s="97">
        <v>252908.49092284945</v>
      </c>
      <c r="F144" s="77">
        <v>415960.4775722691</v>
      </c>
      <c r="G144" s="77">
        <v>0</v>
      </c>
      <c r="H144" s="77">
        <v>0</v>
      </c>
      <c r="I144" s="77">
        <v>0</v>
      </c>
    </row>
    <row r="145" spans="1:9">
      <c r="A145" s="17" t="str">
        <f>HLOOKUP(INDICE!$F$2,Nombres!$C$3:$D$636,54,FALSE)</f>
        <v>Financial assets at amortized cost</v>
      </c>
      <c r="B145" s="77">
        <v>2713267.9537935848</v>
      </c>
      <c r="C145" s="77">
        <v>2987219.4062023764</v>
      </c>
      <c r="D145" s="77">
        <v>3294740.8828247376</v>
      </c>
      <c r="E145" s="78">
        <v>3637210.7306666877</v>
      </c>
      <c r="F145" s="77">
        <v>3657742.4260482038</v>
      </c>
      <c r="G145" s="77">
        <v>0</v>
      </c>
      <c r="H145" s="77">
        <v>0</v>
      </c>
      <c r="I145" s="77">
        <v>0</v>
      </c>
    </row>
    <row r="146" spans="1:9">
      <c r="A146" s="17" t="str">
        <f>HLOOKUP(INDICE!$F$2,Nombres!$C$3:$D$636,55,FALSE)</f>
        <v xml:space="preserve">    of which loans and advances to customers</v>
      </c>
      <c r="B146" s="77">
        <v>1965466.8441814659</v>
      </c>
      <c r="C146" s="77">
        <v>2237425.423383018</v>
      </c>
      <c r="D146" s="77">
        <v>2471795.2161756433</v>
      </c>
      <c r="E146" s="78">
        <v>2713268.6420893893</v>
      </c>
      <c r="F146" s="77">
        <v>2912710.4598594178</v>
      </c>
      <c r="G146" s="77">
        <v>0</v>
      </c>
      <c r="H146" s="77">
        <v>0</v>
      </c>
      <c r="I146" s="77">
        <v>0</v>
      </c>
    </row>
    <row r="147" spans="1:9" hidden="1">
      <c r="A147" s="17"/>
      <c r="B147" s="77"/>
      <c r="C147" s="77"/>
      <c r="D147" s="77"/>
      <c r="E147" s="78"/>
      <c r="F147" s="77"/>
      <c r="G147" s="77"/>
      <c r="H147" s="77"/>
      <c r="I147" s="77"/>
    </row>
    <row r="148" spans="1:9">
      <c r="A148" s="17" t="str">
        <f>HLOOKUP(INDICE!$F$2,Nombres!$C$3:$D$636,56,FALSE)</f>
        <v>Tangible assets</v>
      </c>
      <c r="B148" s="77">
        <v>81999.279714625591</v>
      </c>
      <c r="C148" s="77">
        <v>84208.85694679858</v>
      </c>
      <c r="D148" s="77">
        <v>89133.943417135641</v>
      </c>
      <c r="E148" s="78">
        <v>96153.464831259218</v>
      </c>
      <c r="F148" s="77">
        <v>104673.15095038745</v>
      </c>
      <c r="G148" s="77">
        <v>0</v>
      </c>
      <c r="H148" s="77">
        <v>0</v>
      </c>
      <c r="I148" s="77">
        <v>0</v>
      </c>
    </row>
    <row r="149" spans="1:9">
      <c r="A149" s="17" t="str">
        <f>HLOOKUP(INDICE!$F$2,Nombres!$C$3:$D$636,57,FALSE)</f>
        <v>Other assets</v>
      </c>
      <c r="B149" s="86">
        <f>+B150-B148-B145-B144-B143</f>
        <v>102100.49961289717</v>
      </c>
      <c r="C149" s="86">
        <f t="shared" ref="C149:I149" si="25">+C150-C148-C145-C144-C143</f>
        <v>114842.21058511577</v>
      </c>
      <c r="D149" s="86">
        <f t="shared" si="25"/>
        <v>128972.82721097214</v>
      </c>
      <c r="E149" s="97">
        <f t="shared" si="25"/>
        <v>135295.06948413752</v>
      </c>
      <c r="F149" s="77">
        <f t="shared" si="25"/>
        <v>149432.84652955487</v>
      </c>
      <c r="G149" s="77">
        <f t="shared" si="25"/>
        <v>0</v>
      </c>
      <c r="H149" s="77">
        <f t="shared" si="25"/>
        <v>0</v>
      </c>
      <c r="I149" s="77">
        <f t="shared" si="25"/>
        <v>0</v>
      </c>
    </row>
    <row r="150" spans="1:9">
      <c r="A150" s="19" t="str">
        <f>HLOOKUP(INDICE!$F$2,Nombres!$C$3:$D$636,58,FALSE)</f>
        <v>Total assets / Liabilities and equity</v>
      </c>
      <c r="B150" s="19">
        <v>3528395.4297532663</v>
      </c>
      <c r="C150" s="19">
        <v>3841048.0517501794</v>
      </c>
      <c r="D150" s="19">
        <v>4236407.4396718554</v>
      </c>
      <c r="E150" s="95">
        <v>4578978.8509589862</v>
      </c>
      <c r="F150" s="96">
        <v>4818446.1658804864</v>
      </c>
      <c r="G150" s="96">
        <v>0</v>
      </c>
      <c r="H150" s="96">
        <v>0</v>
      </c>
      <c r="I150" s="96">
        <v>0</v>
      </c>
    </row>
    <row r="151" spans="1:9">
      <c r="A151" s="17" t="str">
        <f>HLOOKUP(INDICE!$F$2,Nombres!$C$3:$D$636,59,FALSE)</f>
        <v>Financial liabilities held for trading and designated at fair value through profit or loss</v>
      </c>
      <c r="B151" s="86">
        <v>76106.401512497556</v>
      </c>
      <c r="C151" s="86">
        <v>80042.912343404765</v>
      </c>
      <c r="D151" s="86">
        <v>81155.337782482471</v>
      </c>
      <c r="E151" s="97">
        <v>85297.57993021814</v>
      </c>
      <c r="F151" s="77">
        <v>95524.893162433043</v>
      </c>
      <c r="G151" s="77">
        <v>0</v>
      </c>
      <c r="H151" s="77">
        <v>0</v>
      </c>
      <c r="I151" s="77">
        <v>0</v>
      </c>
    </row>
    <row r="152" spans="1:9">
      <c r="A152" s="17" t="str">
        <f>HLOOKUP(INDICE!$F$2,Nombres!$C$3:$D$636,60,FALSE)</f>
        <v>Deposits from central banks and credit institutions</v>
      </c>
      <c r="B152" s="86">
        <v>154939.57606248895</v>
      </c>
      <c r="C152" s="86">
        <v>208877.88907747003</v>
      </c>
      <c r="D152" s="86">
        <v>208663.38634982466</v>
      </c>
      <c r="E152" s="97">
        <v>179954.60396219487</v>
      </c>
      <c r="F152" s="77">
        <v>169645.2924098894</v>
      </c>
      <c r="G152" s="77">
        <v>0</v>
      </c>
      <c r="H152" s="77">
        <v>0</v>
      </c>
      <c r="I152" s="77">
        <v>0</v>
      </c>
    </row>
    <row r="153" spans="1:9">
      <c r="A153" s="17" t="str">
        <f>HLOOKUP(INDICE!$F$2,Nombres!$C$3:$D$636,61,FALSE)</f>
        <v>Deposits from customers</v>
      </c>
      <c r="B153" s="86">
        <v>2559859.3301412249</v>
      </c>
      <c r="C153" s="86">
        <v>2712599.8852930441</v>
      </c>
      <c r="D153" s="86">
        <v>2971648.8051152658</v>
      </c>
      <c r="E153" s="97">
        <v>3179694.4778529038</v>
      </c>
      <c r="F153" s="77">
        <v>3346453.8208241714</v>
      </c>
      <c r="G153" s="77">
        <v>0</v>
      </c>
      <c r="H153" s="77">
        <v>0</v>
      </c>
      <c r="I153" s="77">
        <v>0</v>
      </c>
    </row>
    <row r="154" spans="1:9">
      <c r="A154" s="17" t="str">
        <f>HLOOKUP(INDICE!$F$2,Nombres!$C$3:$D$636,62,FALSE)</f>
        <v>Debt certificates</v>
      </c>
      <c r="B154" s="77">
        <v>186554.89685635277</v>
      </c>
      <c r="C154" s="77">
        <v>240434.15682716673</v>
      </c>
      <c r="D154" s="77">
        <v>295880.30330373812</v>
      </c>
      <c r="E154" s="78">
        <v>378745.6077130576</v>
      </c>
      <c r="F154" s="77">
        <v>371801.97680889245</v>
      </c>
      <c r="G154" s="77">
        <v>0</v>
      </c>
      <c r="H154" s="77">
        <v>0</v>
      </c>
      <c r="I154" s="77">
        <v>0</v>
      </c>
    </row>
    <row r="155" spans="1:9" hidden="1">
      <c r="A155" s="17"/>
      <c r="B155" s="77"/>
      <c r="C155" s="77"/>
      <c r="D155" s="77"/>
      <c r="E155" s="78"/>
      <c r="F155" s="77"/>
      <c r="G155" s="77"/>
      <c r="H155" s="77"/>
      <c r="I155" s="77"/>
    </row>
    <row r="156" spans="1:9">
      <c r="A156" s="17" t="str">
        <f>HLOOKUP(INDICE!$F$2,Nombres!$C$3:$D$636,63,FALSE)</f>
        <v>Other liabilities</v>
      </c>
      <c r="B156" s="86">
        <f>+B150-B151-B152-B153-B154-B157</f>
        <v>191457.07840644836</v>
      </c>
      <c r="C156" s="86">
        <f t="shared" ref="C156:I156" si="26">+C150-C151-C152-C153-C154-C157</f>
        <v>192238.68445846095</v>
      </c>
      <c r="D156" s="86">
        <f t="shared" si="26"/>
        <v>248701.72797568573</v>
      </c>
      <c r="E156" s="97">
        <f t="shared" si="26"/>
        <v>289048.77793712687</v>
      </c>
      <c r="F156" s="77">
        <f t="shared" si="26"/>
        <v>354800.17809250148</v>
      </c>
      <c r="G156" s="77">
        <f t="shared" si="26"/>
        <v>0</v>
      </c>
      <c r="H156" s="77">
        <f t="shared" si="26"/>
        <v>0</v>
      </c>
      <c r="I156" s="77">
        <f t="shared" si="26"/>
        <v>0</v>
      </c>
    </row>
    <row r="157" spans="1:9">
      <c r="A157" s="17" t="str">
        <f>HLOOKUP(INDICE!$F$2,Nombres!$C$3:$D$636,282,FALSE)</f>
        <v>Allocated regulatory capital</v>
      </c>
      <c r="B157" s="77">
        <v>359478.14677425381</v>
      </c>
      <c r="C157" s="77">
        <v>406854.52375063271</v>
      </c>
      <c r="D157" s="77">
        <v>430357.87914485845</v>
      </c>
      <c r="E157" s="77">
        <v>466237.80356348486</v>
      </c>
      <c r="F157" s="77">
        <v>480220.00458259857</v>
      </c>
      <c r="G157" s="77">
        <v>0</v>
      </c>
      <c r="H157" s="77">
        <v>0</v>
      </c>
      <c r="I157" s="77">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Relevant business indicators</v>
      </c>
      <c r="B160" s="66"/>
      <c r="C160" s="66"/>
      <c r="D160" s="66"/>
      <c r="E160" s="66"/>
      <c r="F160" s="106"/>
      <c r="G160" s="106"/>
      <c r="H160" s="106"/>
      <c r="I160" s="106"/>
    </row>
    <row r="161" spans="1:15">
      <c r="A161" s="67" t="str">
        <f>HLOOKUP(INDICE!$F$2,Nombres!$C$3:$D$636,77,FALSE)</f>
        <v>(Million Turkish liras)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Loans and advances to customers (gross) (*)</v>
      </c>
      <c r="B163" s="77">
        <v>2039174.1762608509</v>
      </c>
      <c r="C163" s="77">
        <v>2320998.8572408119</v>
      </c>
      <c r="D163" s="77">
        <v>2561691.5748759699</v>
      </c>
      <c r="E163" s="78">
        <v>2814774.5508480072</v>
      </c>
      <c r="F163" s="77">
        <v>3024577.8365341495</v>
      </c>
      <c r="G163" s="77">
        <v>0</v>
      </c>
      <c r="H163" s="77">
        <v>0</v>
      </c>
      <c r="I163" s="77">
        <v>0</v>
      </c>
    </row>
    <row r="164" spans="1:15" ht="15.75" customHeight="1">
      <c r="A164" s="17" t="str">
        <f>HLOOKUP(INDICE!$F$2,Nombres!$C$3:$D$636,67,FALSE)</f>
        <v>Customer deposits under management (*)</v>
      </c>
      <c r="B164" s="77">
        <v>2556651.528437586</v>
      </c>
      <c r="C164" s="77">
        <v>2660039.8947032704</v>
      </c>
      <c r="D164" s="77">
        <v>2912732.6465860694</v>
      </c>
      <c r="E164" s="78">
        <v>3156999.8894334785</v>
      </c>
      <c r="F164" s="77">
        <v>3342529.3908420014</v>
      </c>
      <c r="G164" s="77">
        <v>0</v>
      </c>
      <c r="H164" s="77">
        <v>0</v>
      </c>
      <c r="I164" s="77">
        <v>0</v>
      </c>
    </row>
    <row r="165" spans="1:15" ht="15.75" customHeight="1">
      <c r="A165" s="17" t="str">
        <f>HLOOKUP(INDICE!$F$2,Nombres!$C$3:$D$636,68,FALSE)</f>
        <v>Investment funds and managed portfolios</v>
      </c>
      <c r="B165" s="77">
        <v>547940.36708887457</v>
      </c>
      <c r="C165" s="77">
        <v>700884.00774498493</v>
      </c>
      <c r="D165" s="77">
        <v>865558.60743665649</v>
      </c>
      <c r="E165" s="78">
        <v>981182.38795063598</v>
      </c>
      <c r="F165" s="77">
        <v>982361.22239857446</v>
      </c>
      <c r="G165" s="77">
        <v>0</v>
      </c>
      <c r="H165" s="77">
        <v>0</v>
      </c>
      <c r="I165" s="77">
        <v>0</v>
      </c>
    </row>
    <row r="166" spans="1:15" ht="15.75" customHeight="1">
      <c r="A166" s="17" t="str">
        <f>HLOOKUP(INDICE!$F$2,Nombres!$C$3:$D$636,69,FALSE)</f>
        <v>Pension funds</v>
      </c>
      <c r="B166" s="77">
        <v>214256.88280618429</v>
      </c>
      <c r="C166" s="77">
        <v>245524.59436294629</v>
      </c>
      <c r="D166" s="77">
        <v>291102.27291642135</v>
      </c>
      <c r="E166" s="78">
        <v>346059.78513573215</v>
      </c>
      <c r="F166" s="77">
        <v>389441.34679667698</v>
      </c>
      <c r="G166" s="77">
        <v>0</v>
      </c>
      <c r="H166" s="77">
        <v>0</v>
      </c>
      <c r="I166" s="77">
        <v>0</v>
      </c>
    </row>
    <row r="167" spans="1:15">
      <c r="A167" s="17" t="str">
        <f>HLOOKUP(INDICE!$F$2,Nombres!$C$3:$D$636,70,FALSE)</f>
        <v>Other off balance-sheet funds</v>
      </c>
      <c r="B167" s="77">
        <v>0</v>
      </c>
      <c r="C167" s="77">
        <v>0</v>
      </c>
      <c r="D167" s="77">
        <v>0</v>
      </c>
      <c r="E167" s="78">
        <v>0</v>
      </c>
      <c r="F167" s="77">
        <v>0</v>
      </c>
      <c r="G167" s="77">
        <v>0</v>
      </c>
      <c r="H167" s="77">
        <v>0</v>
      </c>
      <c r="I167" s="77">
        <v>0</v>
      </c>
    </row>
    <row r="168" spans="1:15">
      <c r="A168" s="93" t="str">
        <f>HLOOKUP(INDICE!$F$2,Nombres!$C$3:$D$636,71,FALSE)</f>
        <v xml:space="preserve">(*) Excluding repos. </v>
      </c>
      <c r="B168" s="86"/>
      <c r="C168" s="86"/>
      <c r="D168" s="86"/>
      <c r="E168" s="86"/>
      <c r="F168" s="77"/>
      <c r="G168" s="77"/>
      <c r="H168" s="77"/>
      <c r="I168" s="77"/>
    </row>
    <row r="169" spans="1:15">
      <c r="A169" s="93">
        <f>HLOOKUP(INDICE!$F$2,Nombres!$C$3:$D$636,72,FALSE)</f>
        <v>0</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138:E138">
    <cfRule type="cellIs" dxfId="38" priority="1" operator="notBetween">
      <formula>0.5</formula>
      <formula>-0.5</formula>
    </cfRule>
  </conditionalFormatting>
  <conditionalFormatting sqref="B26:I26">
    <cfRule type="cellIs" dxfId="37" priority="3" operator="notBetween">
      <formula>0.5</formula>
      <formula>-0.5</formula>
    </cfRule>
  </conditionalFormatting>
  <conditionalFormatting sqref="B82:I82">
    <cfRule type="cellIs" dxfId="36" priority="2" operator="notBetween">
      <formula>0.5</formula>
      <formula>-0.5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L998"/>
  <sheetViews>
    <sheetView showGridLines="0" zoomScale="90" zoomScaleNormal="90" workbookViewId="0"/>
  </sheetViews>
  <sheetFormatPr baseColWidth="10" defaultColWidth="11.453125" defaultRowHeight="14.5"/>
  <cols>
    <col min="1" max="1" width="66.54296875" style="63" customWidth="1"/>
    <col min="2" max="6" width="11.453125" style="63"/>
    <col min="7" max="9" width="0" style="63" hidden="1" customWidth="1"/>
    <col min="10" max="16384" width="11.453125" style="63"/>
  </cols>
  <sheetData>
    <row r="1" spans="1:9" ht="17">
      <c r="A1" s="61" t="str">
        <f>HLOOKUP(INDICE!$F$2,Nombres!$C$3:$D$636,283,FALSE)</f>
        <v xml:space="preserve">South America </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25">
        <v>1232.049644530581</v>
      </c>
      <c r="C8" s="25">
        <v>1154.894008429957</v>
      </c>
      <c r="D8" s="25">
        <v>1160.2169739332087</v>
      </c>
      <c r="E8" s="73">
        <v>1297.8342456179817</v>
      </c>
      <c r="F8" s="74">
        <v>1474.2731999590003</v>
      </c>
      <c r="G8" s="74">
        <v>0</v>
      </c>
      <c r="H8" s="74">
        <v>0</v>
      </c>
      <c r="I8" s="74">
        <v>0</v>
      </c>
    </row>
    <row r="9" spans="1:9">
      <c r="A9" s="17" t="str">
        <f>HLOOKUP(INDICE!$F$2,Nombres!$C$3:$D$636,34,FALSE)</f>
        <v>Net fees and commissions</v>
      </c>
      <c r="B9" s="77">
        <v>227.49041704011032</v>
      </c>
      <c r="C9" s="77">
        <v>189.90548416997143</v>
      </c>
      <c r="D9" s="77">
        <v>238.0660544786349</v>
      </c>
      <c r="E9" s="78">
        <v>241.68085791762007</v>
      </c>
      <c r="F9" s="77">
        <v>263.26058944432197</v>
      </c>
      <c r="G9" s="77">
        <v>0</v>
      </c>
      <c r="H9" s="77">
        <v>0</v>
      </c>
      <c r="I9" s="77">
        <v>0</v>
      </c>
    </row>
    <row r="10" spans="1:9">
      <c r="A10" s="17" t="str">
        <f>HLOOKUP(INDICE!$F$2,Nombres!$C$3:$D$636,35,FALSE)</f>
        <v>Net trading income</v>
      </c>
      <c r="B10" s="77">
        <v>188.01173739494999</v>
      </c>
      <c r="C10" s="77">
        <v>130.779867469056</v>
      </c>
      <c r="D10" s="77">
        <v>114.61170459459292</v>
      </c>
      <c r="E10" s="78">
        <v>135.17051986367358</v>
      </c>
      <c r="F10" s="77">
        <v>144.83168048496503</v>
      </c>
      <c r="G10" s="77">
        <v>0</v>
      </c>
      <c r="H10" s="77">
        <v>0</v>
      </c>
      <c r="I10" s="77">
        <v>0</v>
      </c>
    </row>
    <row r="11" spans="1:9">
      <c r="A11" s="17" t="str">
        <f>HLOOKUP(INDICE!$F$2,Nombres!$C$3:$D$636,36,FALSE)</f>
        <v>Other operating income and expenses</v>
      </c>
      <c r="B11" s="77">
        <v>-208.15400000802487</v>
      </c>
      <c r="C11" s="77">
        <v>-195.57300000607154</v>
      </c>
      <c r="D11" s="77">
        <v>-221.21599998824877</v>
      </c>
      <c r="E11" s="78">
        <v>-307.1120000091866</v>
      </c>
      <c r="F11" s="77">
        <v>-256.13707673706983</v>
      </c>
      <c r="G11" s="77">
        <v>0</v>
      </c>
      <c r="H11" s="77">
        <v>0</v>
      </c>
      <c r="I11" s="77">
        <v>0</v>
      </c>
    </row>
    <row r="12" spans="1:9">
      <c r="A12" s="25" t="str">
        <f>HLOOKUP(INDICE!$F$2,Nombres!$C$3:$D$636,37,FALSE)</f>
        <v>Gross income</v>
      </c>
      <c r="B12" s="25">
        <f>+SUM(B8:B11)</f>
        <v>1439.3977989576163</v>
      </c>
      <c r="C12" s="25">
        <f t="shared" ref="C12:I12" si="0">+SUM(C8:C11)</f>
        <v>1280.0063600629128</v>
      </c>
      <c r="D12" s="25">
        <f t="shared" si="0"/>
        <v>1291.6787330181878</v>
      </c>
      <c r="E12" s="73">
        <f t="shared" si="0"/>
        <v>1367.5736233900886</v>
      </c>
      <c r="F12" s="74">
        <f t="shared" si="0"/>
        <v>1626.2283931512175</v>
      </c>
      <c r="G12" s="74">
        <f t="shared" si="0"/>
        <v>0</v>
      </c>
      <c r="H12" s="74">
        <f t="shared" si="0"/>
        <v>0</v>
      </c>
      <c r="I12" s="74">
        <f t="shared" si="0"/>
        <v>0</v>
      </c>
    </row>
    <row r="13" spans="1:9">
      <c r="A13" s="17" t="str">
        <f>HLOOKUP(INDICE!$F$2,Nombres!$C$3:$D$636,38,FALSE)</f>
        <v>Operating expenses</v>
      </c>
      <c r="B13" s="77">
        <v>-641.91503519859464</v>
      </c>
      <c r="C13" s="77">
        <v>-562.9242056512802</v>
      </c>
      <c r="D13" s="77">
        <v>-569.11298555572171</v>
      </c>
      <c r="E13" s="78">
        <v>-612.07434473972887</v>
      </c>
      <c r="F13" s="77">
        <v>-676.63186762346697</v>
      </c>
      <c r="G13" s="77">
        <v>0</v>
      </c>
      <c r="H13" s="77">
        <v>0</v>
      </c>
      <c r="I13" s="77">
        <v>0</v>
      </c>
    </row>
    <row r="14" spans="1:9">
      <c r="A14" s="17" t="str">
        <f>HLOOKUP(INDICE!$F$2,Nombres!$C$3:$D$636,39,FALSE)</f>
        <v xml:space="preserve">  Administration expenses</v>
      </c>
      <c r="B14" s="77">
        <v>-586.41803519927464</v>
      </c>
      <c r="C14" s="77">
        <v>-511.96320565106015</v>
      </c>
      <c r="D14" s="77">
        <v>-520.97598555431171</v>
      </c>
      <c r="E14" s="78">
        <v>-555.55534473882892</v>
      </c>
      <c r="F14" s="77">
        <v>-616.65886762382695</v>
      </c>
      <c r="G14" s="77">
        <v>0</v>
      </c>
      <c r="H14" s="77">
        <v>0</v>
      </c>
      <c r="I14" s="77">
        <v>0</v>
      </c>
    </row>
    <row r="15" spans="1:9">
      <c r="A15" s="79" t="str">
        <f>HLOOKUP(INDICE!$F$2,Nombres!$C$3:$D$636,40,FALSE)</f>
        <v xml:space="preserve">  Personnel expenses</v>
      </c>
      <c r="B15" s="77">
        <v>-278.41502189660002</v>
      </c>
      <c r="C15" s="77">
        <v>-255.41970165550597</v>
      </c>
      <c r="D15" s="77">
        <v>-263.12862543251009</v>
      </c>
      <c r="E15" s="78">
        <v>-285.59221379224994</v>
      </c>
      <c r="F15" s="77">
        <v>-306.85804525961993</v>
      </c>
      <c r="G15" s="77">
        <v>0</v>
      </c>
      <c r="H15" s="77">
        <v>0</v>
      </c>
      <c r="I15" s="77">
        <v>0</v>
      </c>
    </row>
    <row r="16" spans="1:9">
      <c r="A16" s="79" t="str">
        <f>HLOOKUP(INDICE!$F$2,Nombres!$C$3:$D$636,41,FALSE)</f>
        <v xml:space="preserve">  General and administrative expenses</v>
      </c>
      <c r="B16" s="77">
        <v>-308.00301330267467</v>
      </c>
      <c r="C16" s="77">
        <v>-256.5435039955542</v>
      </c>
      <c r="D16" s="77">
        <v>-257.84736012180161</v>
      </c>
      <c r="E16" s="78">
        <v>-269.96313094657893</v>
      </c>
      <c r="F16" s="77">
        <v>-309.80082236420702</v>
      </c>
      <c r="G16" s="77">
        <v>0</v>
      </c>
      <c r="H16" s="77">
        <v>0</v>
      </c>
      <c r="I16" s="77">
        <v>0</v>
      </c>
    </row>
    <row r="17" spans="1:10">
      <c r="A17" s="17" t="str">
        <f>HLOOKUP(INDICE!$F$2,Nombres!$C$3:$D$636,42,FALSE)</f>
        <v xml:space="preserve">  Depreciation</v>
      </c>
      <c r="B17" s="77">
        <v>-55.49699999932001</v>
      </c>
      <c r="C17" s="77">
        <v>-50.961000000220004</v>
      </c>
      <c r="D17" s="77">
        <v>-48.137000001410009</v>
      </c>
      <c r="E17" s="78">
        <v>-56.5190000009</v>
      </c>
      <c r="F17" s="77">
        <v>-59.97299999964001</v>
      </c>
      <c r="G17" s="77">
        <v>0</v>
      </c>
      <c r="H17" s="77">
        <v>0</v>
      </c>
      <c r="I17" s="77">
        <v>0</v>
      </c>
    </row>
    <row r="18" spans="1:10">
      <c r="A18" s="25" t="str">
        <f>HLOOKUP(INDICE!$F$2,Nombres!$C$3:$D$636,43,FALSE)</f>
        <v>Operating income</v>
      </c>
      <c r="B18" s="25">
        <f>+B12+B13</f>
        <v>797.48276375902162</v>
      </c>
      <c r="C18" s="25">
        <f t="shared" ref="C18:I18" si="1">+C12+C13</f>
        <v>717.08215441163259</v>
      </c>
      <c r="D18" s="25">
        <f t="shared" si="1"/>
        <v>722.56574746246611</v>
      </c>
      <c r="E18" s="73">
        <f t="shared" si="1"/>
        <v>755.49927865035977</v>
      </c>
      <c r="F18" s="74">
        <f t="shared" si="1"/>
        <v>949.59652552775049</v>
      </c>
      <c r="G18" s="74">
        <f t="shared" si="1"/>
        <v>0</v>
      </c>
      <c r="H18" s="74">
        <f t="shared" si="1"/>
        <v>0</v>
      </c>
      <c r="I18" s="74">
        <f t="shared" si="1"/>
        <v>0</v>
      </c>
    </row>
    <row r="19" spans="1:10">
      <c r="A19" s="17" t="str">
        <f>HLOOKUP(INDICE!$F$2,Nombres!$C$3:$D$636,44,FALSE)</f>
        <v>Impaiment on financial assets not measured at fair value through profit or loss</v>
      </c>
      <c r="B19" s="77">
        <v>-296.58800009629982</v>
      </c>
      <c r="C19" s="77">
        <v>-231.79400000313234</v>
      </c>
      <c r="D19" s="77">
        <v>-329.89800009910175</v>
      </c>
      <c r="E19" s="78">
        <v>-351.11699979890034</v>
      </c>
      <c r="F19" s="77">
        <v>-371.24700000289994</v>
      </c>
      <c r="G19" s="77">
        <v>0</v>
      </c>
      <c r="H19" s="77">
        <v>0</v>
      </c>
      <c r="I19" s="77">
        <v>0</v>
      </c>
    </row>
    <row r="20" spans="1:10">
      <c r="A20" s="17" t="str">
        <f>HLOOKUP(INDICE!$F$2,Nombres!$C$3:$D$636,45,FALSE)</f>
        <v>Provisions or reversal of provisions and other results</v>
      </c>
      <c r="B20" s="77">
        <v>6.2939520625609973</v>
      </c>
      <c r="C20" s="77">
        <v>-22.088200199707444</v>
      </c>
      <c r="D20" s="77">
        <v>-17.865360001194624</v>
      </c>
      <c r="E20" s="78">
        <v>-8.0978939994835493</v>
      </c>
      <c r="F20" s="77">
        <v>-17.562895878899997</v>
      </c>
      <c r="G20" s="77">
        <v>0</v>
      </c>
      <c r="H20" s="77">
        <v>0</v>
      </c>
      <c r="I20" s="77">
        <v>0</v>
      </c>
    </row>
    <row r="21" spans="1:10">
      <c r="A21" s="25" t="str">
        <f>HLOOKUP(INDICE!$F$2,Nombres!$C$3:$D$636,46,FALSE)</f>
        <v>Profit/(loss) before tax</v>
      </c>
      <c r="B21" s="25">
        <f>+B18+B19+B20</f>
        <v>507.1887157252828</v>
      </c>
      <c r="C21" s="25">
        <f t="shared" ref="C21:I21" si="2">+C18+C19+C20</f>
        <v>463.1999542087928</v>
      </c>
      <c r="D21" s="25">
        <f t="shared" si="2"/>
        <v>374.80238736216972</v>
      </c>
      <c r="E21" s="73">
        <f t="shared" si="2"/>
        <v>396.28438485197586</v>
      </c>
      <c r="F21" s="74">
        <f t="shared" si="2"/>
        <v>560.7866296459506</v>
      </c>
      <c r="G21" s="74">
        <f t="shared" si="2"/>
        <v>0</v>
      </c>
      <c r="H21" s="74">
        <f t="shared" si="2"/>
        <v>0</v>
      </c>
      <c r="I21" s="74">
        <f t="shared" si="2"/>
        <v>0</v>
      </c>
    </row>
    <row r="22" spans="1:10">
      <c r="A22" s="17" t="str">
        <f>HLOOKUP(INDICE!$F$2,Nombres!$C$3:$D$636,47,FALSE)</f>
        <v>Income tax</v>
      </c>
      <c r="B22" s="77">
        <v>-147.05142098988313</v>
      </c>
      <c r="C22" s="77">
        <v>-144.088211053077</v>
      </c>
      <c r="D22" s="77">
        <v>-123.22864427066249</v>
      </c>
      <c r="E22" s="78">
        <v>-159.04221617065667</v>
      </c>
      <c r="F22" s="77">
        <v>-169.6801967975415</v>
      </c>
      <c r="G22" s="77">
        <v>0</v>
      </c>
      <c r="H22" s="77">
        <v>0</v>
      </c>
      <c r="I22" s="77">
        <v>0</v>
      </c>
    </row>
    <row r="23" spans="1:10">
      <c r="A23" s="25" t="str">
        <f>HLOOKUP(INDICE!$F$2,Nombres!$C$3:$D$636,48,FALSE)</f>
        <v>Profit/(loss) for the year</v>
      </c>
      <c r="B23" s="25">
        <f>+B21+B22</f>
        <v>360.13729473539968</v>
      </c>
      <c r="C23" s="25">
        <f t="shared" ref="C23:I23" si="3">+C21+C22</f>
        <v>319.11174315571577</v>
      </c>
      <c r="D23" s="25">
        <f t="shared" si="3"/>
        <v>251.57374309150725</v>
      </c>
      <c r="E23" s="73">
        <f t="shared" si="3"/>
        <v>237.24216868131919</v>
      </c>
      <c r="F23" s="74">
        <f t="shared" si="3"/>
        <v>391.1064328484091</v>
      </c>
      <c r="G23" s="74">
        <f t="shared" si="3"/>
        <v>0</v>
      </c>
      <c r="H23" s="74">
        <f t="shared" si="3"/>
        <v>0</v>
      </c>
      <c r="I23" s="74">
        <f t="shared" si="3"/>
        <v>0</v>
      </c>
    </row>
    <row r="24" spans="1:10">
      <c r="A24" s="17" t="str">
        <f>HLOOKUP(INDICE!$F$2,Nombres!$C$3:$D$636,49,FALSE)</f>
        <v>Non-controlling interests</v>
      </c>
      <c r="B24" s="77">
        <v>-146.31385803090001</v>
      </c>
      <c r="C24" s="77">
        <v>-116.36793908549998</v>
      </c>
      <c r="D24" s="77">
        <v>-89.966665005600092</v>
      </c>
      <c r="E24" s="78">
        <v>-97.490914965299993</v>
      </c>
      <c r="F24" s="77">
        <v>-142.32785675389994</v>
      </c>
      <c r="G24" s="77">
        <v>0</v>
      </c>
      <c r="H24" s="77">
        <v>0</v>
      </c>
      <c r="I24" s="77">
        <v>0</v>
      </c>
    </row>
    <row r="25" spans="1:10" ht="15.75" customHeight="1">
      <c r="A25" s="19" t="str">
        <f>HLOOKUP(INDICE!$F$2,Nombres!$C$3:$D$636,50,FALSE)</f>
        <v>Net attributable profit</v>
      </c>
      <c r="B25" s="19">
        <f>+B23+B24</f>
        <v>213.82343670449967</v>
      </c>
      <c r="C25" s="19">
        <f t="shared" ref="C25:I25" si="4">+C23+C24</f>
        <v>202.74380407021579</v>
      </c>
      <c r="D25" s="19">
        <f t="shared" si="4"/>
        <v>161.60707808590718</v>
      </c>
      <c r="E25" s="19">
        <f t="shared" si="4"/>
        <v>139.75125371601919</v>
      </c>
      <c r="F25" s="96">
        <f t="shared" si="4"/>
        <v>248.77857609450916</v>
      </c>
      <c r="G25" s="96">
        <f t="shared" si="4"/>
        <v>0</v>
      </c>
      <c r="H25" s="96">
        <f t="shared" si="4"/>
        <v>0</v>
      </c>
      <c r="I25" s="96">
        <f t="shared" si="4"/>
        <v>0</v>
      </c>
    </row>
    <row r="26" spans="1:10" ht="20.25" customHeight="1">
      <c r="A26" s="93"/>
      <c r="B26" s="101">
        <v>0</v>
      </c>
      <c r="C26" s="101">
        <v>0</v>
      </c>
      <c r="D26" s="101">
        <v>3.694822225952521E-13</v>
      </c>
      <c r="E26" s="101">
        <v>0</v>
      </c>
      <c r="F26" s="101">
        <v>0</v>
      </c>
      <c r="G26" s="101">
        <v>0</v>
      </c>
      <c r="H26" s="101">
        <v>0</v>
      </c>
      <c r="I26" s="101">
        <v>0</v>
      </c>
    </row>
    <row r="27" spans="1:10" ht="21" customHeight="1">
      <c r="A27" s="25"/>
      <c r="B27" s="25"/>
      <c r="C27" s="25"/>
      <c r="D27" s="25"/>
      <c r="E27" s="25"/>
      <c r="F27" s="25"/>
      <c r="G27" s="25"/>
      <c r="H27" s="25"/>
      <c r="I27" s="25"/>
    </row>
    <row r="28" spans="1:10" ht="17">
      <c r="A28" s="65" t="str">
        <f>HLOOKUP(INDICE!$F$2,Nombres!$C$3:$D$636,51,FALSE)</f>
        <v>Balance sheets</v>
      </c>
      <c r="B28" s="66"/>
      <c r="C28" s="66"/>
      <c r="D28" s="66"/>
      <c r="E28" s="66"/>
      <c r="F28" s="66"/>
      <c r="G28" s="66"/>
      <c r="H28" s="66"/>
      <c r="I28" s="66"/>
    </row>
    <row r="29" spans="1:10">
      <c r="A29" s="67" t="str">
        <f>HLOOKUP(INDICE!$F$2,Nombres!$C$3:$D$636,32,FALSE)</f>
        <v>(Million euros)</v>
      </c>
      <c r="B29" s="62"/>
      <c r="C29" s="85"/>
      <c r="D29" s="85"/>
      <c r="E29" s="85"/>
      <c r="F29" s="62"/>
      <c r="G29" s="86"/>
      <c r="H29" s="86"/>
      <c r="I29" s="86"/>
    </row>
    <row r="30" spans="1:10">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10">
      <c r="A31" s="17" t="str">
        <f>HLOOKUP(INDICE!$F$2,Nombres!$C$3:$D$636,52,FALSE)</f>
        <v>Cash, cash balances at central banks and other demand deposits</v>
      </c>
      <c r="B31" s="77">
        <v>7237.2520000000004</v>
      </c>
      <c r="C31" s="77">
        <v>6574.6319999999987</v>
      </c>
      <c r="D31" s="77">
        <v>7391.1549999999997</v>
      </c>
      <c r="E31" s="78">
        <v>8072.8909999999996</v>
      </c>
      <c r="F31" s="77">
        <v>8279.1380000000008</v>
      </c>
      <c r="G31" s="77">
        <v>0</v>
      </c>
      <c r="H31" s="77">
        <v>0</v>
      </c>
      <c r="I31" s="77">
        <v>0</v>
      </c>
      <c r="J31" s="115"/>
    </row>
    <row r="32" spans="1:10">
      <c r="A32" s="17" t="str">
        <f>HLOOKUP(INDICE!$F$2,Nombres!$C$3:$D$636,53,FALSE)</f>
        <v xml:space="preserve">Financial assets designated at fair value </v>
      </c>
      <c r="B32" s="86">
        <v>11308.691000000003</v>
      </c>
      <c r="C32" s="86">
        <v>10847.440999999999</v>
      </c>
      <c r="D32" s="86">
        <v>10624.989000000001</v>
      </c>
      <c r="E32" s="97">
        <v>10602.366999999998</v>
      </c>
      <c r="F32" s="77">
        <v>11665.452999999998</v>
      </c>
      <c r="G32" s="77">
        <v>0</v>
      </c>
      <c r="H32" s="77">
        <v>0</v>
      </c>
      <c r="I32" s="77">
        <v>0</v>
      </c>
      <c r="J32" s="115"/>
    </row>
    <row r="33" spans="1:10">
      <c r="A33" s="17" t="str">
        <f>HLOOKUP(INDICE!$F$2,Nombres!$C$3:$D$636,54,FALSE)</f>
        <v>Financial assets at amortized cost</v>
      </c>
      <c r="B33" s="77">
        <v>50168.161000016829</v>
      </c>
      <c r="C33" s="77">
        <v>49553.968000055131</v>
      </c>
      <c r="D33" s="77">
        <v>51532.163000085631</v>
      </c>
      <c r="E33" s="78">
        <v>54282.614000020738</v>
      </c>
      <c r="F33" s="77">
        <v>57431.07</v>
      </c>
      <c r="G33" s="77">
        <v>0</v>
      </c>
      <c r="H33" s="77">
        <v>0</v>
      </c>
      <c r="I33" s="77">
        <v>0</v>
      </c>
      <c r="J33" s="115"/>
    </row>
    <row r="34" spans="1:10">
      <c r="A34" s="17" t="str">
        <f>HLOOKUP(INDICE!$F$2,Nombres!$C$3:$D$636,55,FALSE)</f>
        <v xml:space="preserve">    of which loans and advances to customers</v>
      </c>
      <c r="B34" s="77">
        <v>47515.192000016839</v>
      </c>
      <c r="C34" s="77">
        <v>46517.488000055127</v>
      </c>
      <c r="D34" s="77">
        <v>47871.045000085629</v>
      </c>
      <c r="E34" s="78">
        <v>51235.351000020739</v>
      </c>
      <c r="F34" s="77">
        <v>53644.004999999997</v>
      </c>
      <c r="G34" s="77">
        <v>0</v>
      </c>
      <c r="H34" s="77">
        <v>0</v>
      </c>
      <c r="I34" s="77">
        <v>0</v>
      </c>
      <c r="J34" s="115"/>
    </row>
    <row r="35" spans="1:10" hidden="1">
      <c r="A35" s="17"/>
      <c r="B35" s="77"/>
      <c r="C35" s="77"/>
      <c r="D35" s="77"/>
      <c r="E35" s="78"/>
      <c r="F35" s="77"/>
      <c r="G35" s="77"/>
      <c r="H35" s="77"/>
      <c r="I35" s="77"/>
      <c r="J35" s="115"/>
    </row>
    <row r="36" spans="1:10">
      <c r="A36" s="17" t="str">
        <f>HLOOKUP(INDICE!$F$2,Nombres!$C$3:$D$636,56,FALSE)</f>
        <v>Tangible assets</v>
      </c>
      <c r="B36" s="77">
        <v>1239.7530000000002</v>
      </c>
      <c r="C36" s="77">
        <v>1137.6420000000001</v>
      </c>
      <c r="D36" s="77">
        <v>1110.6160000000002</v>
      </c>
      <c r="E36" s="78">
        <v>1149.0260000000001</v>
      </c>
      <c r="F36" s="77">
        <v>1241.211</v>
      </c>
      <c r="G36" s="77">
        <v>0</v>
      </c>
      <c r="H36" s="77">
        <v>0</v>
      </c>
      <c r="I36" s="77">
        <v>0</v>
      </c>
      <c r="J36" s="115"/>
    </row>
    <row r="37" spans="1:10">
      <c r="A37" s="17" t="str">
        <f>HLOOKUP(INDICE!$F$2,Nombres!$C$3:$D$636,57,FALSE)</f>
        <v>Other assets</v>
      </c>
      <c r="B37" s="86">
        <f t="shared" ref="B37:I37" si="5">+B38-B36-B33-B32-B31</f>
        <v>2675.234461749711</v>
      </c>
      <c r="C37" s="86">
        <f t="shared" si="5"/>
        <v>2314.7334151643508</v>
      </c>
      <c r="D37" s="86">
        <f t="shared" si="5"/>
        <v>2431.6409977440699</v>
      </c>
      <c r="E37" s="97">
        <f t="shared" si="5"/>
        <v>2516.8479969920336</v>
      </c>
      <c r="F37" s="77">
        <f t="shared" si="5"/>
        <v>2485.8719999999685</v>
      </c>
      <c r="G37" s="77">
        <f t="shared" si="5"/>
        <v>0</v>
      </c>
      <c r="H37" s="77">
        <f t="shared" si="5"/>
        <v>0</v>
      </c>
      <c r="I37" s="77">
        <f t="shared" si="5"/>
        <v>0</v>
      </c>
      <c r="J37" s="115"/>
    </row>
    <row r="38" spans="1:10">
      <c r="A38" s="19" t="str">
        <f>HLOOKUP(INDICE!$F$2,Nombres!$C$3:$D$636,58,FALSE)</f>
        <v>Total assets / Liabilities and equity</v>
      </c>
      <c r="B38" s="19">
        <v>72629.09146176654</v>
      </c>
      <c r="C38" s="19">
        <v>70428.416415219486</v>
      </c>
      <c r="D38" s="19">
        <v>73090.563997829697</v>
      </c>
      <c r="E38" s="19">
        <v>76623.745997012767</v>
      </c>
      <c r="F38" s="96">
        <v>81102.743999999962</v>
      </c>
      <c r="G38" s="96">
        <v>0</v>
      </c>
      <c r="H38" s="96">
        <v>0</v>
      </c>
      <c r="I38" s="96">
        <v>0</v>
      </c>
      <c r="J38" s="115"/>
    </row>
    <row r="39" spans="1:10">
      <c r="A39" s="17" t="str">
        <f>HLOOKUP(INDICE!$F$2,Nombres!$C$3:$D$636,59,FALSE)</f>
        <v>Financial liabilities held for trading and designated at fair value through profit or loss</v>
      </c>
      <c r="B39" s="86">
        <v>1550.6949999999999</v>
      </c>
      <c r="C39" s="86">
        <v>1821.9770000000001</v>
      </c>
      <c r="D39" s="86">
        <v>2649.1909999999998</v>
      </c>
      <c r="E39" s="97">
        <v>2429.739</v>
      </c>
      <c r="F39" s="77">
        <v>2531.2020000000002</v>
      </c>
      <c r="G39" s="77">
        <v>0</v>
      </c>
      <c r="H39" s="77">
        <v>0</v>
      </c>
      <c r="I39" s="77">
        <v>0</v>
      </c>
      <c r="J39" s="115"/>
    </row>
    <row r="40" spans="1:10">
      <c r="A40" s="17" t="str">
        <f>HLOOKUP(INDICE!$F$2,Nombres!$C$3:$D$636,60,FALSE)</f>
        <v>Deposits from central banks and credit institutions</v>
      </c>
      <c r="B40" s="86">
        <v>3836.5990000279999</v>
      </c>
      <c r="C40" s="86">
        <v>4131.6279999990002</v>
      </c>
      <c r="D40" s="86">
        <v>3655.2460000259998</v>
      </c>
      <c r="E40" s="97">
        <v>3825.5120000190009</v>
      </c>
      <c r="F40" s="77">
        <v>3382.576000127</v>
      </c>
      <c r="G40" s="77">
        <v>0</v>
      </c>
      <c r="H40" s="77">
        <v>0</v>
      </c>
      <c r="I40" s="77">
        <v>0</v>
      </c>
      <c r="J40" s="115"/>
    </row>
    <row r="41" spans="1:10" ht="15.75" customHeight="1">
      <c r="A41" s="17" t="str">
        <f>HLOOKUP(INDICE!$F$2,Nombres!$C$3:$D$636,61,FALSE)</f>
        <v>Deposits from customers</v>
      </c>
      <c r="B41" s="86">
        <v>50317.081999974005</v>
      </c>
      <c r="C41" s="86">
        <v>48463.737999869998</v>
      </c>
      <c r="D41" s="86">
        <v>50438.458999843999</v>
      </c>
      <c r="E41" s="97">
        <v>53374.873999961012</v>
      </c>
      <c r="F41" s="77">
        <v>56995.564999872993</v>
      </c>
      <c r="G41" s="77">
        <v>0</v>
      </c>
      <c r="H41" s="77">
        <v>0</v>
      </c>
      <c r="I41" s="77">
        <v>0</v>
      </c>
      <c r="J41" s="115"/>
    </row>
    <row r="42" spans="1:10">
      <c r="A42" s="17" t="str">
        <f>HLOOKUP(INDICE!$F$2,Nombres!$C$3:$D$636,62,FALSE)</f>
        <v>Debt certificates</v>
      </c>
      <c r="B42" s="77">
        <v>4105.2989392640256</v>
      </c>
      <c r="C42" s="77">
        <v>3657.3160795135564</v>
      </c>
      <c r="D42" s="77">
        <v>3694.5562382229259</v>
      </c>
      <c r="E42" s="78">
        <v>4015.4588955416207</v>
      </c>
      <c r="F42" s="77">
        <v>4112.0008693681539</v>
      </c>
      <c r="G42" s="77">
        <v>0</v>
      </c>
      <c r="H42" s="77">
        <v>0</v>
      </c>
      <c r="I42" s="77">
        <v>0</v>
      </c>
      <c r="J42" s="115"/>
    </row>
    <row r="43" spans="1:10" hidden="1">
      <c r="A43" s="17"/>
      <c r="B43" s="77"/>
      <c r="C43" s="77"/>
      <c r="D43" s="77"/>
      <c r="E43" s="78"/>
      <c r="F43" s="77"/>
      <c r="G43" s="77"/>
      <c r="H43" s="77"/>
      <c r="I43" s="77"/>
      <c r="J43" s="115"/>
    </row>
    <row r="44" spans="1:10">
      <c r="A44" s="17" t="str">
        <f>HLOOKUP(INDICE!$F$2,Nombres!$C$3:$D$636,63,FALSE)</f>
        <v>Other liabilities</v>
      </c>
      <c r="B44" s="86">
        <f t="shared" ref="B44:I44" si="6">+B38-B39-B40-B41-B42-B45</f>
        <v>5528.4383435005839</v>
      </c>
      <c r="C44" s="86">
        <f t="shared" si="6"/>
        <v>5408.1045773674032</v>
      </c>
      <c r="D44" s="86">
        <f>+D38-D39-D40-D41-D42-D45</f>
        <v>5826.1661701407056</v>
      </c>
      <c r="E44" s="97">
        <f t="shared" si="6"/>
        <v>5706.8190133359913</v>
      </c>
      <c r="F44" s="77">
        <f t="shared" si="6"/>
        <v>6692.3232857246085</v>
      </c>
      <c r="G44" s="77">
        <f t="shared" si="6"/>
        <v>0</v>
      </c>
      <c r="H44" s="77">
        <f t="shared" si="6"/>
        <v>0</v>
      </c>
      <c r="I44" s="77">
        <f t="shared" si="6"/>
        <v>0</v>
      </c>
      <c r="J44" s="115"/>
    </row>
    <row r="45" spans="1:10">
      <c r="A45" s="17" t="str">
        <f>HLOOKUP(INDICE!$F$2,Nombres!$C$3:$D$636,282,FALSE)</f>
        <v>Allocated regulatory capital</v>
      </c>
      <c r="B45" s="77">
        <v>7290.9781789999179</v>
      </c>
      <c r="C45" s="77">
        <v>6945.6527584695305</v>
      </c>
      <c r="D45" s="77">
        <v>6826.9455895960573</v>
      </c>
      <c r="E45" s="77">
        <v>7271.3430881551358</v>
      </c>
      <c r="F45" s="77">
        <v>7389.0768449072066</v>
      </c>
      <c r="G45" s="77">
        <v>0</v>
      </c>
      <c r="H45" s="77">
        <v>0</v>
      </c>
      <c r="I45" s="77">
        <v>0</v>
      </c>
      <c r="J45" s="115"/>
    </row>
    <row r="46" spans="1:10">
      <c r="A46" s="93"/>
      <c r="B46" s="86"/>
      <c r="C46" s="86"/>
      <c r="D46" s="86"/>
      <c r="E46" s="86"/>
      <c r="F46" s="77"/>
      <c r="G46" s="77"/>
      <c r="H46" s="77"/>
      <c r="I46" s="77"/>
      <c r="J46" s="115"/>
    </row>
    <row r="47" spans="1:10">
      <c r="A47" s="17"/>
      <c r="B47" s="86"/>
      <c r="C47" s="86"/>
      <c r="D47" s="86"/>
      <c r="E47" s="86"/>
      <c r="F47" s="77"/>
      <c r="G47" s="77"/>
      <c r="H47" s="77"/>
      <c r="I47" s="77"/>
      <c r="J47" s="115"/>
    </row>
    <row r="48" spans="1:10" ht="17">
      <c r="A48" s="65" t="str">
        <f>HLOOKUP(INDICE!$F$2,Nombres!$C$3:$D$636,65,FALSE)</f>
        <v>Relevant business indicators</v>
      </c>
      <c r="B48" s="66"/>
      <c r="C48" s="66"/>
      <c r="D48" s="66"/>
      <c r="E48" s="66"/>
      <c r="F48" s="106"/>
      <c r="G48" s="106"/>
      <c r="H48" s="106"/>
      <c r="I48" s="106"/>
      <c r="J48" s="115"/>
    </row>
    <row r="49" spans="1:12">
      <c r="A49" s="67" t="str">
        <f>HLOOKUP(INDICE!$F$2,Nombres!$C$3:$D$636,32,FALSE)</f>
        <v>(Million euros)</v>
      </c>
      <c r="B49" s="62"/>
      <c r="C49" s="62"/>
      <c r="D49" s="62"/>
      <c r="E49" s="62"/>
      <c r="F49" s="107"/>
      <c r="G49" s="77"/>
      <c r="H49" s="77"/>
      <c r="I49" s="77"/>
      <c r="J49" s="115"/>
    </row>
    <row r="50" spans="1:12">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c r="J50" s="115"/>
    </row>
    <row r="51" spans="1:12">
      <c r="A51" s="17" t="str">
        <f>HLOOKUP(INDICE!$F$2,Nombres!$C$3:$D$636,66,FALSE)</f>
        <v>Loans and advances to customers (gross) (*)</v>
      </c>
      <c r="B51" s="77">
        <v>49557.101000016839</v>
      </c>
      <c r="C51" s="77">
        <v>48438.48100005513</v>
      </c>
      <c r="D51" s="77">
        <v>49872.232000085634</v>
      </c>
      <c r="E51" s="78">
        <v>52768.765000020736</v>
      </c>
      <c r="F51" s="77">
        <v>55247.226999999999</v>
      </c>
      <c r="G51" s="77">
        <v>0</v>
      </c>
      <c r="H51" s="77">
        <v>0</v>
      </c>
      <c r="I51" s="77">
        <v>0</v>
      </c>
      <c r="J51" s="115"/>
      <c r="L51" s="75"/>
    </row>
    <row r="52" spans="1:12">
      <c r="A52" s="17" t="str">
        <f>HLOOKUP(INDICE!$F$2,Nombres!$C$3:$D$636,67,FALSE)</f>
        <v>Customer deposits under management (*)</v>
      </c>
      <c r="B52" s="77">
        <v>50317.081999974005</v>
      </c>
      <c r="C52" s="77">
        <v>48463.737999869998</v>
      </c>
      <c r="D52" s="77">
        <v>50438.458999843991</v>
      </c>
      <c r="E52" s="78">
        <v>53374.873999960997</v>
      </c>
      <c r="F52" s="77">
        <v>56995.564999873</v>
      </c>
      <c r="G52" s="77">
        <v>0</v>
      </c>
      <c r="H52" s="77">
        <v>0</v>
      </c>
      <c r="I52" s="77">
        <v>0</v>
      </c>
      <c r="J52" s="115"/>
    </row>
    <row r="53" spans="1:12">
      <c r="A53" s="17" t="str">
        <f>HLOOKUP(INDICE!$F$2,Nombres!$C$3:$D$636,68,FALSE)</f>
        <v>Investment funds and managed portfolios</v>
      </c>
      <c r="B53" s="77">
        <v>8558.6246894121068</v>
      </c>
      <c r="C53" s="77">
        <v>7829.5257925732212</v>
      </c>
      <c r="D53" s="77">
        <v>8392.1361714231134</v>
      </c>
      <c r="E53" s="78">
        <v>8271.1226575542714</v>
      </c>
      <c r="F53" s="77">
        <v>9453.9824329200346</v>
      </c>
      <c r="G53" s="77">
        <v>0</v>
      </c>
      <c r="H53" s="77">
        <v>0</v>
      </c>
      <c r="I53" s="77">
        <v>0</v>
      </c>
      <c r="J53" s="115"/>
    </row>
    <row r="54" spans="1:12">
      <c r="A54" s="17" t="str">
        <f>HLOOKUP(INDICE!$F$2,Nombres!$C$3:$D$636,69,FALSE)</f>
        <v>Pension funds</v>
      </c>
      <c r="B54" s="77">
        <v>0</v>
      </c>
      <c r="C54" s="77">
        <v>0</v>
      </c>
      <c r="D54" s="77">
        <v>0</v>
      </c>
      <c r="E54" s="78">
        <v>0</v>
      </c>
      <c r="F54" s="77">
        <v>0</v>
      </c>
      <c r="G54" s="77">
        <v>0</v>
      </c>
      <c r="H54" s="77">
        <v>0</v>
      </c>
      <c r="I54" s="77">
        <v>0</v>
      </c>
      <c r="J54" s="115"/>
    </row>
    <row r="55" spans="1:12">
      <c r="A55" s="17" t="str">
        <f>HLOOKUP(INDICE!$F$2,Nombres!$C$3:$D$636,70,FALSE)</f>
        <v>Other off balance-sheet funds</v>
      </c>
      <c r="B55" s="77">
        <v>0</v>
      </c>
      <c r="C55" s="77">
        <v>0</v>
      </c>
      <c r="D55" s="77">
        <v>0</v>
      </c>
      <c r="E55" s="78">
        <v>0</v>
      </c>
      <c r="F55" s="77">
        <v>0</v>
      </c>
      <c r="G55" s="77">
        <v>0</v>
      </c>
      <c r="H55" s="77">
        <v>0</v>
      </c>
      <c r="I55" s="77">
        <v>0</v>
      </c>
      <c r="J55" s="115"/>
    </row>
    <row r="56" spans="1:12">
      <c r="A56" s="93" t="str">
        <f>HLOOKUP(INDICE!$F$2,Nombres!$C$3:$D$636,71,FALSE)</f>
        <v xml:space="preserve">(*) Excluding repos. </v>
      </c>
      <c r="B56" s="86"/>
      <c r="C56" s="86"/>
      <c r="D56" s="86"/>
      <c r="E56" s="86"/>
      <c r="F56" s="86"/>
      <c r="G56" s="86"/>
      <c r="H56" s="86"/>
      <c r="I56" s="86"/>
    </row>
    <row r="57" spans="1:12">
      <c r="A57" s="93">
        <f>HLOOKUP(INDICE!$F$2,Nombres!$C$3:$D$636,72,FALSE)</f>
        <v>0</v>
      </c>
      <c r="B57" s="62"/>
      <c r="C57" s="62"/>
      <c r="D57" s="62"/>
      <c r="E57" s="62"/>
      <c r="F57" s="62"/>
      <c r="G57" s="62"/>
      <c r="H57" s="62"/>
      <c r="I57" s="62"/>
    </row>
    <row r="58" spans="1:12">
      <c r="A58" s="93"/>
      <c r="B58" s="62"/>
      <c r="C58" s="62"/>
      <c r="D58" s="62"/>
      <c r="E58" s="62"/>
      <c r="F58" s="62"/>
      <c r="G58" s="62"/>
      <c r="H58" s="62"/>
      <c r="I58" s="62"/>
    </row>
    <row r="59" spans="1:12" ht="17">
      <c r="A59" s="65" t="str">
        <f>HLOOKUP(INDICE!$F$2,Nombres!$C$3:$D$636,31,FALSE)</f>
        <v xml:space="preserve">Income statement  </v>
      </c>
      <c r="B59" s="66"/>
      <c r="C59" s="66"/>
      <c r="D59" s="66"/>
      <c r="E59" s="66"/>
      <c r="F59" s="66"/>
      <c r="G59" s="66"/>
      <c r="H59" s="66"/>
      <c r="I59" s="66"/>
    </row>
    <row r="60" spans="1:12">
      <c r="A60" s="67" t="str">
        <f>HLOOKUP(INDICE!$F$2,Nombres!$C$3:$D$636,73,FALSE)</f>
        <v xml:space="preserve">(Constant million euros)    </v>
      </c>
      <c r="B60" s="62"/>
      <c r="C60" s="68"/>
      <c r="D60" s="68"/>
      <c r="E60" s="68"/>
      <c r="F60" s="62"/>
      <c r="G60" s="62"/>
      <c r="H60" s="62"/>
      <c r="I60" s="62"/>
    </row>
    <row r="61" spans="1:12">
      <c r="A61" s="69"/>
      <c r="B61" s="62"/>
      <c r="C61" s="68"/>
      <c r="D61" s="68"/>
      <c r="E61" s="68"/>
      <c r="F61" s="62"/>
      <c r="G61" s="62"/>
      <c r="H61" s="62"/>
      <c r="I61" s="62"/>
    </row>
    <row r="62" spans="1:12">
      <c r="A62" s="70"/>
      <c r="B62" s="301">
        <f>+B$6</f>
        <v>2025</v>
      </c>
      <c r="C62" s="301"/>
      <c r="D62" s="301"/>
      <c r="E62" s="302"/>
      <c r="F62" s="301">
        <f>+F$6</f>
        <v>2026</v>
      </c>
      <c r="G62" s="301"/>
      <c r="H62" s="301"/>
      <c r="I62" s="301"/>
    </row>
    <row r="63" spans="1:12">
      <c r="A63" s="70"/>
      <c r="B63" s="71" t="str">
        <f>+B$7</f>
        <v>1Q</v>
      </c>
      <c r="C63" s="71" t="str">
        <f t="shared" ref="C63:I63" si="8">+C$7</f>
        <v>2Q</v>
      </c>
      <c r="D63" s="71" t="str">
        <f t="shared" si="8"/>
        <v>3Q</v>
      </c>
      <c r="E63" s="72" t="str">
        <f t="shared" si="8"/>
        <v>4Q</v>
      </c>
      <c r="F63" s="71" t="str">
        <f t="shared" si="8"/>
        <v>1Q</v>
      </c>
      <c r="G63" s="71" t="str">
        <f t="shared" si="8"/>
        <v>2Q</v>
      </c>
      <c r="H63" s="71" t="str">
        <f t="shared" si="8"/>
        <v>3Q</v>
      </c>
      <c r="I63" s="71" t="str">
        <f t="shared" si="8"/>
        <v>4Q</v>
      </c>
    </row>
    <row r="64" spans="1:12">
      <c r="A64" s="25" t="str">
        <f>HLOOKUP(INDICE!$F$2,Nombres!$C$3:$D$636,33,FALSE)</f>
        <v>Net interest income</v>
      </c>
      <c r="B64" s="25">
        <v>1105.5491424655411</v>
      </c>
      <c r="C64" s="25">
        <v>1218.7370981948313</v>
      </c>
      <c r="D64" s="25">
        <v>1283.1192890118034</v>
      </c>
      <c r="E64" s="73">
        <v>1424.0753215273526</v>
      </c>
      <c r="F64" s="74">
        <v>1474.273199959918</v>
      </c>
      <c r="G64" s="74">
        <v>0</v>
      </c>
      <c r="H64" s="74">
        <v>0</v>
      </c>
      <c r="I64" s="74">
        <v>0</v>
      </c>
    </row>
    <row r="65" spans="1:9">
      <c r="A65" s="17" t="str">
        <f>HLOOKUP(INDICE!$F$2,Nombres!$C$3:$D$636,34,FALSE)</f>
        <v>Net fees and commissions</v>
      </c>
      <c r="B65" s="77">
        <v>202.28531952801708</v>
      </c>
      <c r="C65" s="77">
        <v>201.82258900726248</v>
      </c>
      <c r="D65" s="77">
        <v>259.64761958118584</v>
      </c>
      <c r="E65" s="78">
        <v>267.04008362931444</v>
      </c>
      <c r="F65" s="77">
        <v>263.2605894443326</v>
      </c>
      <c r="G65" s="77">
        <v>0</v>
      </c>
      <c r="H65" s="77">
        <v>0</v>
      </c>
      <c r="I65" s="77">
        <v>0</v>
      </c>
    </row>
    <row r="66" spans="1:9">
      <c r="A66" s="17" t="str">
        <f>HLOOKUP(INDICE!$F$2,Nombres!$C$3:$D$636,35,FALSE)</f>
        <v>Net trading income</v>
      </c>
      <c r="B66" s="77">
        <v>165.66090313753696</v>
      </c>
      <c r="C66" s="77">
        <v>140.65121687061679</v>
      </c>
      <c r="D66" s="77">
        <v>132.8576456269748</v>
      </c>
      <c r="E66" s="78">
        <v>151.22307815702408</v>
      </c>
      <c r="F66" s="77">
        <v>144.83168048496867</v>
      </c>
      <c r="G66" s="77">
        <v>0</v>
      </c>
      <c r="H66" s="77">
        <v>0</v>
      </c>
      <c r="I66" s="77">
        <v>0</v>
      </c>
    </row>
    <row r="67" spans="1:9">
      <c r="A67" s="17" t="str">
        <f>HLOOKUP(INDICE!$F$2,Nombres!$C$3:$D$636,36,FALSE)</f>
        <v>Other operating income and expenses</v>
      </c>
      <c r="B67" s="77">
        <v>-189.44886464430297</v>
      </c>
      <c r="C67" s="77">
        <v>-198.63496348319987</v>
      </c>
      <c r="D67" s="77">
        <v>-236.10250067025507</v>
      </c>
      <c r="E67" s="78">
        <v>-329.70366782505818</v>
      </c>
      <c r="F67" s="77">
        <v>-256.13707673788844</v>
      </c>
      <c r="G67" s="77">
        <v>0</v>
      </c>
      <c r="H67" s="77">
        <v>0</v>
      </c>
      <c r="I67" s="77">
        <v>0</v>
      </c>
    </row>
    <row r="68" spans="1:9">
      <c r="A68" s="25" t="str">
        <f>HLOOKUP(INDICE!$F$2,Nombres!$C$3:$D$636,37,FALSE)</f>
        <v>Gross income</v>
      </c>
      <c r="B68" s="25">
        <f>+SUM(B64:B67)</f>
        <v>1284.046500486792</v>
      </c>
      <c r="C68" s="25">
        <f t="shared" ref="C68:I68" si="9">+SUM(C64:C67)</f>
        <v>1362.5759405895105</v>
      </c>
      <c r="D68" s="25">
        <f t="shared" si="9"/>
        <v>1439.522053549709</v>
      </c>
      <c r="E68" s="73">
        <f t="shared" si="9"/>
        <v>1512.634815488633</v>
      </c>
      <c r="F68" s="74">
        <f t="shared" si="9"/>
        <v>1626.2283931513307</v>
      </c>
      <c r="G68" s="74">
        <f t="shared" si="9"/>
        <v>0</v>
      </c>
      <c r="H68" s="74">
        <f t="shared" si="9"/>
        <v>0</v>
      </c>
      <c r="I68" s="74">
        <f t="shared" si="9"/>
        <v>0</v>
      </c>
    </row>
    <row r="69" spans="1:9">
      <c r="A69" s="17" t="str">
        <f>HLOOKUP(INDICE!$F$2,Nombres!$C$3:$D$636,38,FALSE)</f>
        <v>Operating expenses</v>
      </c>
      <c r="B69" s="77">
        <v>-578.0970344895137</v>
      </c>
      <c r="C69" s="77">
        <v>-596.92911373907987</v>
      </c>
      <c r="D69" s="77">
        <v>-631.16285322931958</v>
      </c>
      <c r="E69" s="78">
        <v>-671.75930447324856</v>
      </c>
      <c r="F69" s="77">
        <v>-676.63186762356099</v>
      </c>
      <c r="G69" s="77">
        <v>0</v>
      </c>
      <c r="H69" s="77">
        <v>0</v>
      </c>
      <c r="I69" s="77">
        <v>0</v>
      </c>
    </row>
    <row r="70" spans="1:9">
      <c r="A70" s="17" t="str">
        <f>HLOOKUP(INDICE!$F$2,Nombres!$C$3:$D$636,39,FALSE)</f>
        <v xml:space="preserve">  Administration expenses</v>
      </c>
      <c r="B70" s="77">
        <v>-524.61204243557268</v>
      </c>
      <c r="C70" s="77">
        <v>-543.54227015812251</v>
      </c>
      <c r="D70" s="77">
        <v>-580.08247747288749</v>
      </c>
      <c r="E70" s="78">
        <v>-613.20197919363875</v>
      </c>
      <c r="F70" s="77">
        <v>-616.65886762391983</v>
      </c>
      <c r="G70" s="77">
        <v>0</v>
      </c>
      <c r="H70" s="77">
        <v>0</v>
      </c>
      <c r="I70" s="77">
        <v>0</v>
      </c>
    </row>
    <row r="71" spans="1:9">
      <c r="A71" s="79" t="str">
        <f>HLOOKUP(INDICE!$F$2,Nombres!$C$3:$D$636,40,FALSE)</f>
        <v xml:space="preserve">  Personnel expenses</v>
      </c>
      <c r="B71" s="77">
        <v>-248.61186866656988</v>
      </c>
      <c r="C71" s="77">
        <v>-269.54608139246164</v>
      </c>
      <c r="D71" s="77">
        <v>-292.07231169368356</v>
      </c>
      <c r="E71" s="78">
        <v>-315.13258845216336</v>
      </c>
      <c r="F71" s="77">
        <v>-306.85804525962533</v>
      </c>
      <c r="G71" s="77">
        <v>0</v>
      </c>
      <c r="H71" s="77">
        <v>0</v>
      </c>
      <c r="I71" s="77">
        <v>0</v>
      </c>
    </row>
    <row r="72" spans="1:9">
      <c r="A72" s="79" t="str">
        <f>HLOOKUP(INDICE!$F$2,Nombres!$C$3:$D$636,41,FALSE)</f>
        <v xml:space="preserve">  General and administrative expenses</v>
      </c>
      <c r="B72" s="77">
        <v>-276.00017376900274</v>
      </c>
      <c r="C72" s="77">
        <v>-273.9961887656608</v>
      </c>
      <c r="D72" s="77">
        <v>-288.01016577920387</v>
      </c>
      <c r="E72" s="78">
        <v>-298.06939074147544</v>
      </c>
      <c r="F72" s="77">
        <v>-309.8008223642945</v>
      </c>
      <c r="G72" s="77">
        <v>0</v>
      </c>
      <c r="H72" s="77">
        <v>0</v>
      </c>
      <c r="I72" s="77">
        <v>0</v>
      </c>
    </row>
    <row r="73" spans="1:9">
      <c r="A73" s="17" t="str">
        <f>HLOOKUP(INDICE!$F$2,Nombres!$C$3:$D$636,42,FALSE)</f>
        <v xml:space="preserve">  Depreciation</v>
      </c>
      <c r="B73" s="77">
        <v>-53.484992053941141</v>
      </c>
      <c r="C73" s="77">
        <v>-53.38684358095724</v>
      </c>
      <c r="D73" s="77">
        <v>-51.080375756432119</v>
      </c>
      <c r="E73" s="78">
        <v>-58.557325279609827</v>
      </c>
      <c r="F73" s="77">
        <v>-59.972999999641196</v>
      </c>
      <c r="G73" s="77">
        <v>0</v>
      </c>
      <c r="H73" s="77">
        <v>0</v>
      </c>
      <c r="I73" s="77">
        <v>0</v>
      </c>
    </row>
    <row r="74" spans="1:9">
      <c r="A74" s="25" t="str">
        <f>HLOOKUP(INDICE!$F$2,Nombres!$C$3:$D$636,43,FALSE)</f>
        <v>Operating income</v>
      </c>
      <c r="B74" s="25">
        <f>+B68+B69</f>
        <v>705.94946599727825</v>
      </c>
      <c r="C74" s="25">
        <f t="shared" ref="C74:I74" si="10">+C68+C69</f>
        <v>765.64682685043067</v>
      </c>
      <c r="D74" s="25">
        <f t="shared" si="10"/>
        <v>808.35920032038939</v>
      </c>
      <c r="E74" s="73">
        <f t="shared" si="10"/>
        <v>840.8755110153844</v>
      </c>
      <c r="F74" s="74">
        <f t="shared" si="10"/>
        <v>949.5965255277697</v>
      </c>
      <c r="G74" s="74">
        <f t="shared" si="10"/>
        <v>0</v>
      </c>
      <c r="H74" s="74">
        <f t="shared" si="10"/>
        <v>0</v>
      </c>
      <c r="I74" s="74">
        <f t="shared" si="10"/>
        <v>0</v>
      </c>
    </row>
    <row r="75" spans="1:9">
      <c r="A75" s="17" t="str">
        <f>HLOOKUP(INDICE!$F$2,Nombres!$C$3:$D$636,44,FALSE)</f>
        <v>Impaiment on financial assets not measured at fair value through profit or loss</v>
      </c>
      <c r="B75" s="77">
        <v>-272.11210810231182</v>
      </c>
      <c r="C75" s="77">
        <v>-255.33257298377217</v>
      </c>
      <c r="D75" s="77">
        <v>-353.39595828408272</v>
      </c>
      <c r="E75" s="78">
        <v>-383.27529499452049</v>
      </c>
      <c r="F75" s="77">
        <v>-371.24700000290454</v>
      </c>
      <c r="G75" s="77">
        <v>0</v>
      </c>
      <c r="H75" s="77">
        <v>0</v>
      </c>
      <c r="I75" s="77">
        <v>0</v>
      </c>
    </row>
    <row r="76" spans="1:9">
      <c r="A76" s="17" t="str">
        <f>HLOOKUP(INDICE!$F$2,Nombres!$C$3:$D$636,45,FALSE)</f>
        <v>Provisions or reversal of provisions and other results</v>
      </c>
      <c r="B76" s="77">
        <v>7.5367991740152203</v>
      </c>
      <c r="C76" s="77">
        <v>-21.382195202339066</v>
      </c>
      <c r="D76" s="77">
        <v>-20.361463433088719</v>
      </c>
      <c r="E76" s="78">
        <v>-8.5701540652153056</v>
      </c>
      <c r="F76" s="77">
        <v>-17.56289587890074</v>
      </c>
      <c r="G76" s="77">
        <v>0</v>
      </c>
      <c r="H76" s="77">
        <v>0</v>
      </c>
      <c r="I76" s="77">
        <v>0</v>
      </c>
    </row>
    <row r="77" spans="1:9">
      <c r="A77" s="25" t="str">
        <f>HLOOKUP(INDICE!$F$2,Nombres!$C$3:$D$636,46,FALSE)</f>
        <v>Profit/(loss) before tax</v>
      </c>
      <c r="B77" s="25">
        <f>+B74+B75+B76</f>
        <v>441.37415706898167</v>
      </c>
      <c r="C77" s="25">
        <f t="shared" ref="C77:I77" si="11">+C74+C75+C76</f>
        <v>488.93205866431947</v>
      </c>
      <c r="D77" s="25">
        <f t="shared" si="11"/>
        <v>434.60177860321795</v>
      </c>
      <c r="E77" s="73">
        <f t="shared" si="11"/>
        <v>449.03006195564859</v>
      </c>
      <c r="F77" s="74">
        <f t="shared" si="11"/>
        <v>560.78662964596447</v>
      </c>
      <c r="G77" s="74">
        <f t="shared" si="11"/>
        <v>0</v>
      </c>
      <c r="H77" s="74">
        <f t="shared" si="11"/>
        <v>0</v>
      </c>
      <c r="I77" s="74">
        <f t="shared" si="11"/>
        <v>0</v>
      </c>
    </row>
    <row r="78" spans="1:9">
      <c r="A78" s="17" t="str">
        <f>HLOOKUP(INDICE!$F$2,Nombres!$C$3:$D$636,47,FALSE)</f>
        <v>Income tax</v>
      </c>
      <c r="B78" s="77">
        <v>-125.05361872428027</v>
      </c>
      <c r="C78" s="77">
        <v>-151.71844055570386</v>
      </c>
      <c r="D78" s="77">
        <v>-142.52521936438379</v>
      </c>
      <c r="E78" s="78">
        <v>-177.82963119109516</v>
      </c>
      <c r="F78" s="77">
        <v>-169.68019679754502</v>
      </c>
      <c r="G78" s="77">
        <v>0</v>
      </c>
      <c r="H78" s="77">
        <v>0</v>
      </c>
      <c r="I78" s="77">
        <v>0</v>
      </c>
    </row>
    <row r="79" spans="1:9">
      <c r="A79" s="25" t="str">
        <f>HLOOKUP(INDICE!$F$2,Nombres!$C$3:$D$636,48,FALSE)</f>
        <v>Profit/(loss) for the year</v>
      </c>
      <c r="B79" s="25">
        <f>+B77+B78</f>
        <v>316.32053834470139</v>
      </c>
      <c r="C79" s="25">
        <f t="shared" ref="C79:I79" si="12">+C77+C78</f>
        <v>337.21361810861561</v>
      </c>
      <c r="D79" s="25">
        <f t="shared" si="12"/>
        <v>292.07655923883419</v>
      </c>
      <c r="E79" s="73">
        <f t="shared" si="12"/>
        <v>271.2004307645534</v>
      </c>
      <c r="F79" s="74">
        <f t="shared" si="12"/>
        <v>391.10643284841944</v>
      </c>
      <c r="G79" s="74">
        <f t="shared" si="12"/>
        <v>0</v>
      </c>
      <c r="H79" s="74">
        <f t="shared" si="12"/>
        <v>0</v>
      </c>
      <c r="I79" s="74">
        <f t="shared" si="12"/>
        <v>0</v>
      </c>
    </row>
    <row r="80" spans="1:9">
      <c r="A80" s="17" t="str">
        <f>HLOOKUP(INDICE!$F$2,Nombres!$C$3:$D$636,49,FALSE)</f>
        <v>Non-controlling interests</v>
      </c>
      <c r="B80" s="77">
        <v>-130.4242688855154</v>
      </c>
      <c r="C80" s="77">
        <v>-122.73063450853955</v>
      </c>
      <c r="D80" s="77">
        <v>-103.28557727950385</v>
      </c>
      <c r="E80" s="78">
        <v>-108.73323666684684</v>
      </c>
      <c r="F80" s="77">
        <v>-142.32785675390559</v>
      </c>
      <c r="G80" s="77">
        <v>0</v>
      </c>
      <c r="H80" s="77">
        <v>0</v>
      </c>
      <c r="I80" s="77">
        <v>0</v>
      </c>
    </row>
    <row r="81" spans="1:9">
      <c r="A81" s="19" t="str">
        <f>HLOOKUP(INDICE!$F$2,Nombres!$C$3:$D$636,50,FALSE)</f>
        <v>Net attributable profit</v>
      </c>
      <c r="B81" s="19">
        <f>+B79+B80</f>
        <v>185.89626945918599</v>
      </c>
      <c r="C81" s="19">
        <f t="shared" ref="C81:I81" si="13">+C79+C80</f>
        <v>214.48298360007607</v>
      </c>
      <c r="D81" s="19">
        <f t="shared" si="13"/>
        <v>188.79098195933034</v>
      </c>
      <c r="E81" s="19">
        <f t="shared" si="13"/>
        <v>162.46719409770657</v>
      </c>
      <c r="F81" s="96">
        <f t="shared" si="13"/>
        <v>248.77857609451385</v>
      </c>
      <c r="G81" s="96">
        <f t="shared" si="13"/>
        <v>0</v>
      </c>
      <c r="H81" s="96">
        <f t="shared" si="13"/>
        <v>0</v>
      </c>
      <c r="I81" s="96">
        <f t="shared" si="13"/>
        <v>0</v>
      </c>
    </row>
    <row r="82" spans="1:9">
      <c r="A82" s="93"/>
      <c r="B82" s="101">
        <v>0</v>
      </c>
      <c r="C82" s="101">
        <v>0</v>
      </c>
      <c r="D82" s="101">
        <v>0</v>
      </c>
      <c r="E82" s="101">
        <v>0</v>
      </c>
      <c r="F82" s="101">
        <v>0</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Cash, cash balances at central banks and other demand deposits</v>
      </c>
      <c r="B87" s="77">
        <v>6690.0041563609084</v>
      </c>
      <c r="C87" s="77">
        <v>6480.1903860776929</v>
      </c>
      <c r="D87" s="77">
        <v>7522.5781788972909</v>
      </c>
      <c r="E87" s="78">
        <v>8284.4045847501402</v>
      </c>
      <c r="F87" s="77">
        <v>8279.1380000048648</v>
      </c>
      <c r="G87" s="77">
        <v>0</v>
      </c>
      <c r="H87" s="77">
        <v>0</v>
      </c>
      <c r="I87" s="77">
        <v>0</v>
      </c>
    </row>
    <row r="88" spans="1:9">
      <c r="A88" s="17" t="str">
        <f>HLOOKUP(INDICE!$F$2,Nombres!$C$3:$D$636,53,FALSE)</f>
        <v xml:space="preserve">Financial assets designated at fair value </v>
      </c>
      <c r="B88" s="86">
        <v>10821.94148032329</v>
      </c>
      <c r="C88" s="86">
        <v>11158.331344544727</v>
      </c>
      <c r="D88" s="86">
        <v>10985.354728251084</v>
      </c>
      <c r="E88" s="97">
        <v>10854.437889544375</v>
      </c>
      <c r="F88" s="77">
        <v>11665.452999999887</v>
      </c>
      <c r="G88" s="77">
        <v>0</v>
      </c>
      <c r="H88" s="77">
        <v>0</v>
      </c>
      <c r="I88" s="77">
        <v>0</v>
      </c>
    </row>
    <row r="89" spans="1:9">
      <c r="A89" s="17" t="str">
        <f>HLOOKUP(INDICE!$F$2,Nombres!$C$3:$D$636,54,FALSE)</f>
        <v>Financial assets at amortized cost</v>
      </c>
      <c r="B89" s="77">
        <v>48678.544799376577</v>
      </c>
      <c r="C89" s="77">
        <v>51293.436917359548</v>
      </c>
      <c r="D89" s="77">
        <v>53307.413667020679</v>
      </c>
      <c r="E89" s="78">
        <v>55327.347700114755</v>
      </c>
      <c r="F89" s="77">
        <v>57431.070000017316</v>
      </c>
      <c r="G89" s="77">
        <v>0</v>
      </c>
      <c r="H89" s="77">
        <v>0</v>
      </c>
      <c r="I89" s="77">
        <v>0</v>
      </c>
    </row>
    <row r="90" spans="1:9">
      <c r="A90" s="17" t="str">
        <f>HLOOKUP(INDICE!$F$2,Nombres!$C$3:$D$636,55,FALSE)</f>
        <v xml:space="preserve">    of which loans and advances to customers</v>
      </c>
      <c r="B90" s="77">
        <v>46116.689275383724</v>
      </c>
      <c r="C90" s="77">
        <v>48134.258128930276</v>
      </c>
      <c r="D90" s="77">
        <v>49560.837418788142</v>
      </c>
      <c r="E90" s="78">
        <v>52185.935700815004</v>
      </c>
      <c r="F90" s="77">
        <v>53644.005000002217</v>
      </c>
      <c r="G90" s="77">
        <v>0</v>
      </c>
      <c r="H90" s="77">
        <v>0</v>
      </c>
      <c r="I90" s="77">
        <v>0</v>
      </c>
    </row>
    <row r="91" spans="1:9" hidden="1">
      <c r="A91" s="17"/>
      <c r="B91" s="77"/>
      <c r="C91" s="77"/>
      <c r="D91" s="77"/>
      <c r="E91" s="78"/>
      <c r="F91" s="77"/>
      <c r="G91" s="77"/>
      <c r="H91" s="77"/>
      <c r="I91" s="77"/>
    </row>
    <row r="92" spans="1:9">
      <c r="A92" s="17" t="str">
        <f>HLOOKUP(INDICE!$F$2,Nombres!$C$3:$D$636,56,FALSE)</f>
        <v>Tangible assets</v>
      </c>
      <c r="B92" s="77">
        <v>1212.3140142834868</v>
      </c>
      <c r="C92" s="77">
        <v>1146.086119342724</v>
      </c>
      <c r="D92" s="77">
        <v>1122.1201719453159</v>
      </c>
      <c r="E92" s="78">
        <v>1155.3361851956474</v>
      </c>
      <c r="F92" s="77">
        <v>1241.2109999999846</v>
      </c>
      <c r="G92" s="77">
        <v>0</v>
      </c>
      <c r="H92" s="77">
        <v>0</v>
      </c>
      <c r="I92" s="77">
        <v>0</v>
      </c>
    </row>
    <row r="93" spans="1:9">
      <c r="A93" s="17" t="str">
        <f>HLOOKUP(INDICE!$F$2,Nombres!$C$3:$D$636,57,FALSE)</f>
        <v>Other assets</v>
      </c>
      <c r="B93" s="86">
        <f>+B94-B92-B89-B88-B87</f>
        <v>2605.8038364483364</v>
      </c>
      <c r="C93" s="86">
        <f t="shared" ref="C93:I93" si="15">+C94-C92-C89-C88-C87</f>
        <v>2429.670072910465</v>
      </c>
      <c r="D93" s="86">
        <f t="shared" si="15"/>
        <v>2545.5123323183561</v>
      </c>
      <c r="E93" s="97">
        <f t="shared" si="15"/>
        <v>2653.5307599666176</v>
      </c>
      <c r="F93" s="77">
        <f t="shared" si="15"/>
        <v>2485.872000149684</v>
      </c>
      <c r="G93" s="77">
        <f t="shared" si="15"/>
        <v>0</v>
      </c>
      <c r="H93" s="77">
        <f t="shared" si="15"/>
        <v>0</v>
      </c>
      <c r="I93" s="77">
        <f t="shared" si="15"/>
        <v>0</v>
      </c>
    </row>
    <row r="94" spans="1:9">
      <c r="A94" s="19" t="str">
        <f>HLOOKUP(INDICE!$F$2,Nombres!$C$3:$D$636,58,FALSE)</f>
        <v>Total assets / Liabilities and equity</v>
      </c>
      <c r="B94" s="19">
        <v>70008.608286792602</v>
      </c>
      <c r="C94" s="19">
        <v>72507.714840235159</v>
      </c>
      <c r="D94" s="19">
        <v>75482.97907843272</v>
      </c>
      <c r="E94" s="19">
        <v>78275.057119571531</v>
      </c>
      <c r="F94" s="96">
        <v>81102.744000171733</v>
      </c>
      <c r="G94" s="96">
        <v>0</v>
      </c>
      <c r="H94" s="96">
        <v>0</v>
      </c>
      <c r="I94" s="96">
        <v>0</v>
      </c>
    </row>
    <row r="95" spans="1:9">
      <c r="A95" s="17" t="str">
        <f>HLOOKUP(INDICE!$F$2,Nombres!$C$3:$D$636,59,FALSE)</f>
        <v>Financial liabilities held for trading and designated at fair value through profit or loss</v>
      </c>
      <c r="B95" s="86">
        <v>1631.2206349263129</v>
      </c>
      <c r="C95" s="86">
        <v>2017.9078084790867</v>
      </c>
      <c r="D95" s="86">
        <v>2844.8525180478809</v>
      </c>
      <c r="E95" s="97">
        <v>2526.5673740061206</v>
      </c>
      <c r="F95" s="77">
        <v>2531.2019999999916</v>
      </c>
      <c r="G95" s="77">
        <v>0</v>
      </c>
      <c r="H95" s="77">
        <v>0</v>
      </c>
      <c r="I95" s="77">
        <v>0</v>
      </c>
    </row>
    <row r="96" spans="1:9">
      <c r="A96" s="17" t="str">
        <f>HLOOKUP(INDICE!$F$2,Nombres!$C$3:$D$636,60,FALSE)</f>
        <v>Deposits from central banks and credit institutions</v>
      </c>
      <c r="B96" s="86">
        <v>3741.0421076338234</v>
      </c>
      <c r="C96" s="86">
        <v>4271.2408274241625</v>
      </c>
      <c r="D96" s="86">
        <v>3775.7331052324139</v>
      </c>
      <c r="E96" s="97">
        <v>3870.675957597</v>
      </c>
      <c r="F96" s="77">
        <v>3382.5760001468502</v>
      </c>
      <c r="G96" s="77">
        <v>0</v>
      </c>
      <c r="H96" s="77">
        <v>0</v>
      </c>
      <c r="I96" s="77">
        <v>0</v>
      </c>
    </row>
    <row r="97" spans="1:9">
      <c r="A97" s="17" t="str">
        <f>HLOOKUP(INDICE!$F$2,Nombres!$C$3:$D$636,61,FALSE)</f>
        <v>Deposits from customers</v>
      </c>
      <c r="B97" s="86">
        <v>48594.554663356241</v>
      </c>
      <c r="C97" s="86">
        <v>49990.168033195514</v>
      </c>
      <c r="D97" s="86">
        <v>52043.518418784552</v>
      </c>
      <c r="E97" s="97">
        <v>54491.396667012086</v>
      </c>
      <c r="F97" s="77">
        <v>56995.564999894217</v>
      </c>
      <c r="G97" s="77">
        <v>0</v>
      </c>
      <c r="H97" s="77">
        <v>0</v>
      </c>
      <c r="I97" s="77">
        <v>0</v>
      </c>
    </row>
    <row r="98" spans="1:9">
      <c r="A98" s="17" t="str">
        <f>HLOOKUP(INDICE!$F$2,Nombres!$C$3:$D$636,62,FALSE)</f>
        <v>Debt certificates</v>
      </c>
      <c r="B98" s="77">
        <v>3973.3485962667987</v>
      </c>
      <c r="C98" s="77">
        <v>3737.4625176091899</v>
      </c>
      <c r="D98" s="77">
        <v>3842.0724191945715</v>
      </c>
      <c r="E98" s="78">
        <v>4094.8020693105964</v>
      </c>
      <c r="F98" s="77">
        <v>4112.000869368112</v>
      </c>
      <c r="G98" s="77">
        <v>0</v>
      </c>
      <c r="H98" s="77">
        <v>0</v>
      </c>
      <c r="I98" s="77">
        <v>0</v>
      </c>
    </row>
    <row r="99" spans="1:9" hidden="1">
      <c r="A99" s="17"/>
      <c r="B99" s="77"/>
      <c r="C99" s="77"/>
      <c r="D99" s="77"/>
      <c r="E99" s="78"/>
      <c r="F99" s="77"/>
      <c r="G99" s="77"/>
      <c r="H99" s="77"/>
      <c r="I99" s="77"/>
    </row>
    <row r="100" spans="1:9">
      <c r="A100" s="17" t="str">
        <f>HLOOKUP(INDICE!$F$2,Nombres!$C$3:$D$636,63,FALSE)</f>
        <v>Other liabilities</v>
      </c>
      <c r="B100" s="86">
        <f>+B94-B95-B96-B97-B98-B101</f>
        <v>5089.3489869818559</v>
      </c>
      <c r="C100" s="86">
        <f t="shared" ref="C100:I100" si="16">+C94-C95-C96-C97-C98-C101</f>
        <v>5367.8924414387902</v>
      </c>
      <c r="D100" s="86">
        <f t="shared" si="16"/>
        <v>5929.9109369704565</v>
      </c>
      <c r="E100" s="97">
        <f t="shared" si="16"/>
        <v>5861.4400788911062</v>
      </c>
      <c r="F100" s="77">
        <f t="shared" si="16"/>
        <v>6692.3232857238581</v>
      </c>
      <c r="G100" s="77">
        <f t="shared" si="16"/>
        <v>0</v>
      </c>
      <c r="H100" s="77">
        <f t="shared" si="16"/>
        <v>0</v>
      </c>
      <c r="I100" s="77">
        <f t="shared" si="16"/>
        <v>0</v>
      </c>
    </row>
    <row r="101" spans="1:9">
      <c r="A101" s="17" t="str">
        <f>HLOOKUP(INDICE!$F$2,Nombres!$C$3:$D$636,282,FALSE)</f>
        <v>Allocated regulatory capital</v>
      </c>
      <c r="B101" s="86">
        <v>6979.0932976275681</v>
      </c>
      <c r="C101" s="86">
        <v>7123.0432120884225</v>
      </c>
      <c r="D101" s="86">
        <v>7046.8916802028489</v>
      </c>
      <c r="E101" s="86">
        <v>7430.1749727546176</v>
      </c>
      <c r="F101" s="86">
        <v>7389.0768450387113</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Relevant business indicators</v>
      </c>
      <c r="B104" s="66"/>
      <c r="C104" s="66"/>
      <c r="D104" s="66"/>
      <c r="E104" s="66"/>
      <c r="F104" s="106"/>
      <c r="G104" s="106"/>
      <c r="H104" s="106"/>
      <c r="I104" s="106"/>
    </row>
    <row r="105" spans="1:9">
      <c r="A105" s="67"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Loans and advances to customers (gross) (*)</v>
      </c>
      <c r="B107" s="77">
        <v>48144.105893898472</v>
      </c>
      <c r="C107" s="77">
        <v>50146.312409118182</v>
      </c>
      <c r="D107" s="77">
        <v>51635.22226722652</v>
      </c>
      <c r="E107" s="78">
        <v>53769.303967254411</v>
      </c>
      <c r="F107" s="77">
        <v>55247.227000002211</v>
      </c>
      <c r="G107" s="77">
        <v>0</v>
      </c>
      <c r="H107" s="77">
        <v>0</v>
      </c>
      <c r="I107" s="77">
        <v>0</v>
      </c>
    </row>
    <row r="108" spans="1:9">
      <c r="A108" s="17" t="str">
        <f>HLOOKUP(INDICE!$F$2,Nombres!$C$3:$D$636,67,FALSE)</f>
        <v>Customer deposits under management (*)</v>
      </c>
      <c r="B108" s="77">
        <v>48594.554663356234</v>
      </c>
      <c r="C108" s="77">
        <v>49990.168033195514</v>
      </c>
      <c r="D108" s="77">
        <v>52043.518418784552</v>
      </c>
      <c r="E108" s="78">
        <v>54491.396667012086</v>
      </c>
      <c r="F108" s="77">
        <v>56995.56499989421</v>
      </c>
      <c r="G108" s="77">
        <v>0</v>
      </c>
      <c r="H108" s="77">
        <v>0</v>
      </c>
      <c r="I108" s="77">
        <v>0</v>
      </c>
    </row>
    <row r="109" spans="1:9">
      <c r="A109" s="17" t="str">
        <f>HLOOKUP(INDICE!$F$2,Nombres!$C$3:$D$636,68,FALSE)</f>
        <v>Investment funds and managed portfolios</v>
      </c>
      <c r="B109" s="77">
        <v>7854.0571410271696</v>
      </c>
      <c r="C109" s="77">
        <v>7916.5557228957077</v>
      </c>
      <c r="D109" s="77">
        <v>8633.8865690678776</v>
      </c>
      <c r="E109" s="78">
        <v>8494.7420263722543</v>
      </c>
      <c r="F109" s="77">
        <v>9453.9824329200346</v>
      </c>
      <c r="G109" s="77">
        <v>0</v>
      </c>
      <c r="H109" s="77">
        <v>0</v>
      </c>
      <c r="I109" s="77">
        <v>0</v>
      </c>
    </row>
    <row r="110" spans="1:9">
      <c r="A110" s="17" t="str">
        <f>HLOOKUP(INDICE!$F$2,Nombres!$C$3:$D$636,69,FALSE)</f>
        <v>Pension funds</v>
      </c>
      <c r="B110" s="77">
        <v>0</v>
      </c>
      <c r="C110" s="77">
        <v>0</v>
      </c>
      <c r="D110" s="77">
        <v>0</v>
      </c>
      <c r="E110" s="78">
        <v>0</v>
      </c>
      <c r="F110" s="77">
        <v>0</v>
      </c>
      <c r="G110" s="77">
        <v>0</v>
      </c>
      <c r="H110" s="77">
        <v>0</v>
      </c>
      <c r="I110" s="77">
        <v>0</v>
      </c>
    </row>
    <row r="111" spans="1:9">
      <c r="A111" s="17" t="str">
        <f>HLOOKUP(INDICE!$F$2,Nombres!$C$3:$D$636,70,FALSE)</f>
        <v>Other off balance-sheet funds</v>
      </c>
      <c r="B111" s="77">
        <v>0</v>
      </c>
      <c r="C111" s="77">
        <v>0</v>
      </c>
      <c r="D111" s="77">
        <v>0</v>
      </c>
      <c r="E111" s="78">
        <v>0</v>
      </c>
      <c r="F111" s="77">
        <v>0</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20" spans="1:9">
      <c r="F120" s="115"/>
      <c r="G120" s="115"/>
      <c r="H120" s="115"/>
      <c r="I120" s="115"/>
    </row>
    <row r="121" spans="1:9">
      <c r="F121" s="115"/>
      <c r="G121" s="115"/>
      <c r="H121" s="115"/>
      <c r="I121" s="115"/>
    </row>
    <row r="122" spans="1:9">
      <c r="F122" s="115"/>
      <c r="G122" s="115"/>
      <c r="H122" s="115"/>
      <c r="I122" s="115"/>
    </row>
    <row r="123" spans="1:9">
      <c r="F123" s="115"/>
      <c r="G123" s="115"/>
      <c r="H123" s="115"/>
      <c r="I123" s="115"/>
    </row>
    <row r="124" spans="1:9">
      <c r="F124" s="115"/>
      <c r="G124" s="115"/>
      <c r="H124" s="115"/>
      <c r="I124" s="115"/>
    </row>
    <row r="125" spans="1:9">
      <c r="F125" s="115"/>
      <c r="G125" s="115"/>
      <c r="H125" s="115"/>
      <c r="I125" s="115"/>
    </row>
    <row r="126" spans="1:9">
      <c r="F126" s="115"/>
      <c r="G126" s="115"/>
      <c r="H126" s="115"/>
      <c r="I126" s="115"/>
    </row>
    <row r="127" spans="1:9">
      <c r="F127" s="115"/>
      <c r="G127" s="115"/>
      <c r="H127" s="115"/>
      <c r="I127" s="115"/>
    </row>
    <row r="128" spans="1:9">
      <c r="F128" s="115"/>
      <c r="G128" s="115"/>
      <c r="H128" s="115"/>
      <c r="I128" s="115"/>
    </row>
    <row r="129" spans="6:9">
      <c r="F129" s="115"/>
      <c r="G129" s="115"/>
      <c r="H129" s="115"/>
      <c r="I129" s="115"/>
    </row>
    <row r="130" spans="6:9">
      <c r="F130" s="115"/>
      <c r="G130" s="115"/>
      <c r="H130" s="115"/>
      <c r="I130" s="115"/>
    </row>
    <row r="131" spans="6:9">
      <c r="F131" s="115"/>
      <c r="G131" s="115"/>
      <c r="H131" s="115"/>
      <c r="I131" s="115"/>
    </row>
    <row r="132" spans="6:9">
      <c r="F132" s="115"/>
      <c r="G132" s="115"/>
      <c r="H132" s="115"/>
      <c r="I132" s="115"/>
    </row>
    <row r="133" spans="6:9">
      <c r="F133" s="115"/>
      <c r="G133" s="115"/>
      <c r="H133" s="115"/>
      <c r="I133" s="115"/>
    </row>
    <row r="134" spans="6:9">
      <c r="F134" s="115"/>
      <c r="G134" s="115"/>
      <c r="H134" s="115"/>
      <c r="I134" s="115"/>
    </row>
    <row r="135" spans="6:9">
      <c r="F135" s="115"/>
      <c r="G135" s="115"/>
      <c r="H135" s="115"/>
      <c r="I135" s="115"/>
    </row>
    <row r="136" spans="6:9">
      <c r="F136" s="115"/>
      <c r="G136" s="115"/>
      <c r="H136" s="115"/>
      <c r="I136" s="115"/>
    </row>
    <row r="137" spans="6:9">
      <c r="F137" s="115"/>
      <c r="G137" s="115"/>
      <c r="H137" s="115"/>
      <c r="I137" s="115"/>
    </row>
    <row r="138" spans="6:9">
      <c r="F138" s="115"/>
      <c r="G138" s="115"/>
      <c r="H138" s="115"/>
      <c r="I138" s="115"/>
    </row>
    <row r="139" spans="6:9">
      <c r="F139" s="115"/>
      <c r="G139" s="115"/>
      <c r="H139" s="115"/>
      <c r="I139" s="115"/>
    </row>
    <row r="140" spans="6:9">
      <c r="F140" s="115"/>
      <c r="G140" s="115"/>
      <c r="H140" s="115"/>
      <c r="I140" s="115"/>
    </row>
    <row r="141" spans="6:9">
      <c r="F141" s="115"/>
      <c r="G141" s="115"/>
      <c r="H141" s="115"/>
      <c r="I141" s="115"/>
    </row>
    <row r="142" spans="6:9">
      <c r="F142" s="115"/>
      <c r="G142" s="115"/>
      <c r="H142" s="115"/>
      <c r="I142" s="115"/>
    </row>
    <row r="143" spans="6:9">
      <c r="F143" s="115"/>
      <c r="G143" s="115"/>
      <c r="H143" s="115"/>
      <c r="I143" s="115"/>
    </row>
    <row r="144" spans="6:9">
      <c r="F144" s="115"/>
      <c r="G144" s="115"/>
      <c r="H144" s="115"/>
      <c r="I144" s="115"/>
    </row>
    <row r="145" spans="6:9">
      <c r="F145" s="115"/>
      <c r="G145" s="115"/>
      <c r="H145" s="115"/>
      <c r="I145" s="115"/>
    </row>
    <row r="146" spans="6:9">
      <c r="F146" s="115"/>
      <c r="G146" s="115"/>
      <c r="H146" s="115"/>
      <c r="I146" s="115"/>
    </row>
    <row r="147" spans="6:9">
      <c r="F147" s="115"/>
      <c r="G147" s="115"/>
      <c r="H147" s="115"/>
      <c r="I147" s="115"/>
    </row>
    <row r="148" spans="6:9">
      <c r="F148" s="115"/>
      <c r="G148" s="115"/>
      <c r="H148" s="115"/>
      <c r="I148" s="115"/>
    </row>
    <row r="149" spans="6:9">
      <c r="F149" s="115"/>
      <c r="G149" s="115"/>
      <c r="H149" s="115"/>
      <c r="I149" s="115"/>
    </row>
    <row r="150" spans="6:9">
      <c r="F150" s="115"/>
      <c r="G150" s="115"/>
      <c r="H150" s="115"/>
      <c r="I150" s="115"/>
    </row>
    <row r="151" spans="6:9">
      <c r="F151" s="115"/>
      <c r="G151" s="115"/>
      <c r="H151" s="115"/>
      <c r="I151" s="115"/>
    </row>
    <row r="152" spans="6:9">
      <c r="F152" s="115"/>
      <c r="G152" s="115"/>
      <c r="H152" s="115"/>
      <c r="I152" s="115"/>
    </row>
    <row r="153" spans="6:9">
      <c r="F153" s="115"/>
      <c r="G153" s="115"/>
      <c r="H153" s="115"/>
      <c r="I153" s="115"/>
    </row>
    <row r="154" spans="6:9">
      <c r="F154" s="115"/>
      <c r="G154" s="115"/>
      <c r="H154" s="115"/>
      <c r="I154" s="115"/>
    </row>
    <row r="155" spans="6:9">
      <c r="F155" s="115"/>
      <c r="G155" s="115"/>
      <c r="H155" s="115"/>
      <c r="I155" s="115"/>
    </row>
    <row r="156" spans="6:9">
      <c r="F156" s="115"/>
      <c r="G156" s="115"/>
      <c r="H156" s="115"/>
      <c r="I156" s="115"/>
    </row>
    <row r="157" spans="6:9">
      <c r="F157" s="115"/>
      <c r="G157" s="115"/>
      <c r="H157" s="115"/>
      <c r="I157" s="115"/>
    </row>
    <row r="158" spans="6:9">
      <c r="F158" s="115"/>
      <c r="G158" s="115"/>
      <c r="H158" s="115"/>
      <c r="I158" s="115"/>
    </row>
    <row r="159" spans="6:9">
      <c r="F159" s="115"/>
      <c r="G159" s="115"/>
      <c r="H159" s="115"/>
      <c r="I159" s="115"/>
    </row>
    <row r="160" spans="6:9">
      <c r="F160" s="115"/>
      <c r="G160" s="115"/>
      <c r="H160" s="115"/>
      <c r="I160" s="115"/>
    </row>
    <row r="161" spans="6:9">
      <c r="F161" s="115"/>
      <c r="G161" s="115"/>
      <c r="H161" s="115"/>
      <c r="I161" s="115"/>
    </row>
    <row r="162" spans="6:9">
      <c r="F162" s="115"/>
      <c r="G162" s="115"/>
      <c r="H162" s="115"/>
      <c r="I162" s="115"/>
    </row>
    <row r="163" spans="6:9">
      <c r="F163" s="115"/>
      <c r="G163" s="115"/>
      <c r="H163" s="115"/>
      <c r="I163" s="115"/>
    </row>
    <row r="164" spans="6:9">
      <c r="F164" s="115"/>
      <c r="G164" s="115"/>
      <c r="H164" s="115"/>
      <c r="I164" s="115"/>
    </row>
    <row r="165" spans="6:9">
      <c r="F165" s="115"/>
      <c r="G165" s="115"/>
      <c r="H165" s="115"/>
      <c r="I165" s="115"/>
    </row>
    <row r="166" spans="6:9">
      <c r="F166" s="115"/>
      <c r="G166" s="115"/>
      <c r="H166" s="115"/>
      <c r="I166" s="115"/>
    </row>
    <row r="998" spans="1:1">
      <c r="A998" s="63" t="s">
        <v>555</v>
      </c>
    </row>
  </sheetData>
  <mergeCells count="4">
    <mergeCell ref="B6:E6"/>
    <mergeCell ref="F6:I6"/>
    <mergeCell ref="B62:E62"/>
    <mergeCell ref="F62:I62"/>
  </mergeCells>
  <conditionalFormatting sqref="B26:I26">
    <cfRule type="cellIs" dxfId="35" priority="2" operator="notBetween">
      <formula>0.5</formula>
      <formula>-0.5</formula>
    </cfRule>
  </conditionalFormatting>
  <conditionalFormatting sqref="B82:I82">
    <cfRule type="cellIs" dxfId="34" priority="1" operator="notBetween">
      <formula>0.5</formula>
      <formula>-0.5</formula>
    </cfRule>
  </conditionalFormatting>
  <conditionalFormatting sqref="C26:I26">
    <cfRule type="cellIs" dxfId="33" priority="3" operator="notBetween">
      <formula>-0.4</formula>
      <formula>0.4</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O1006"/>
  <sheetViews>
    <sheetView showGridLines="0" workbookViewId="0"/>
  </sheetViews>
  <sheetFormatPr baseColWidth="10" defaultColWidth="11.453125" defaultRowHeight="14.5"/>
  <cols>
    <col min="1" max="1" width="62" style="63" customWidth="1"/>
    <col min="2" max="6" width="11.453125" style="63"/>
    <col min="7" max="9" width="0" style="63" hidden="1" customWidth="1"/>
    <col min="10" max="16384" width="11.453125" style="63"/>
  </cols>
  <sheetData>
    <row r="1" spans="1:9" ht="17">
      <c r="A1" s="61" t="str">
        <f>HLOOKUP(INDICE!$F$2,Nombres!$C$3:$D$636,14,FALSE)</f>
        <v>Argentina</v>
      </c>
      <c r="B1" s="62"/>
      <c r="C1" s="62"/>
      <c r="D1" s="62"/>
      <c r="E1" s="62"/>
      <c r="F1" s="62"/>
      <c r="G1" s="62"/>
      <c r="H1" s="62"/>
      <c r="I1" s="62"/>
    </row>
    <row r="2" spans="1:9" ht="19.5">
      <c r="A2" s="64"/>
      <c r="B2" s="62"/>
      <c r="C2" s="62"/>
      <c r="D2" s="62"/>
      <c r="E2" s="62"/>
      <c r="F2" s="62"/>
      <c r="G2" s="62"/>
      <c r="H2" s="62"/>
      <c r="I2" s="62"/>
    </row>
    <row r="3" spans="1:9" ht="17">
      <c r="A3" s="65" t="str">
        <f>HLOOKUP(INDICE!$F$2,Nombres!$C$3:$D$636,31,FALSE)</f>
        <v xml:space="preserve">Income statement  </v>
      </c>
      <c r="B3" s="66"/>
      <c r="C3" s="66"/>
      <c r="D3" s="66"/>
      <c r="E3" s="66"/>
      <c r="F3" s="66"/>
      <c r="G3" s="66"/>
      <c r="H3" s="66"/>
      <c r="I3" s="66"/>
    </row>
    <row r="4" spans="1:9">
      <c r="A4" s="67" t="str">
        <f>HLOOKUP(INDICE!$F$2,Nombres!$C$3:$D$636,32,FALSE)</f>
        <v>(Million euros)</v>
      </c>
      <c r="B4" s="62"/>
      <c r="C4" s="68"/>
      <c r="D4" s="68"/>
      <c r="E4" s="68"/>
      <c r="F4" s="62"/>
      <c r="G4" s="62"/>
      <c r="H4" s="62"/>
      <c r="I4" s="62"/>
    </row>
    <row r="5" spans="1:9">
      <c r="A5" s="69"/>
      <c r="B5" s="62"/>
      <c r="C5" s="68"/>
      <c r="D5" s="68"/>
      <c r="E5" s="68"/>
      <c r="F5" s="62"/>
      <c r="G5" s="62"/>
      <c r="H5" s="62"/>
      <c r="I5" s="62"/>
    </row>
    <row r="6" spans="1:9">
      <c r="A6" s="70"/>
      <c r="B6" s="301">
        <f>+España!B6</f>
        <v>2025</v>
      </c>
      <c r="C6" s="301"/>
      <c r="D6" s="301"/>
      <c r="E6" s="302"/>
      <c r="F6" s="301">
        <f>+España!F6</f>
        <v>2026</v>
      </c>
      <c r="G6" s="301"/>
      <c r="H6" s="301"/>
      <c r="I6" s="301"/>
    </row>
    <row r="7" spans="1:9">
      <c r="A7" s="70"/>
      <c r="B7" s="71" t="str">
        <f>+España!B7</f>
        <v>1Q</v>
      </c>
      <c r="C7" s="71" t="str">
        <f>+España!C7</f>
        <v>2Q</v>
      </c>
      <c r="D7" s="71" t="str">
        <f>+España!D7</f>
        <v>3Q</v>
      </c>
      <c r="E7" s="72" t="str">
        <f>+España!E7</f>
        <v>4Q</v>
      </c>
      <c r="F7" s="71" t="str">
        <f>+España!F7</f>
        <v>1Q</v>
      </c>
      <c r="G7" s="71" t="str">
        <f>+España!G7</f>
        <v>2Q</v>
      </c>
      <c r="H7" s="71" t="str">
        <f>+España!H7</f>
        <v>3Q</v>
      </c>
      <c r="I7" s="71" t="str">
        <f>+España!I7</f>
        <v>4Q</v>
      </c>
    </row>
    <row r="8" spans="1:9">
      <c r="A8" s="25" t="str">
        <f>HLOOKUP(INDICE!$F$2,Nombres!$C$3:$D$636,33,FALSE)</f>
        <v>Net interest income</v>
      </c>
      <c r="B8" s="25">
        <v>455.78499999941982</v>
      </c>
      <c r="C8" s="25">
        <v>374.31900000393875</v>
      </c>
      <c r="D8" s="25">
        <v>332.58499999388107</v>
      </c>
      <c r="E8" s="73">
        <v>407.08902182391154</v>
      </c>
      <c r="F8" s="74">
        <v>538.98300000099994</v>
      </c>
      <c r="G8" s="74">
        <v>0</v>
      </c>
      <c r="H8" s="74">
        <v>0</v>
      </c>
      <c r="I8" s="74">
        <v>0</v>
      </c>
    </row>
    <row r="9" spans="1:9">
      <c r="A9" s="17" t="str">
        <f>HLOOKUP(INDICE!$F$2,Nombres!$C$3:$D$636,34,FALSE)</f>
        <v>Net fees and commissions</v>
      </c>
      <c r="B9" s="77">
        <v>89.008999999637993</v>
      </c>
      <c r="C9" s="77">
        <v>63.330033997169956</v>
      </c>
      <c r="D9" s="77">
        <v>83.64731962641001</v>
      </c>
      <c r="E9" s="78">
        <v>77.008999998667008</v>
      </c>
      <c r="F9" s="77">
        <v>110.52415125532198</v>
      </c>
      <c r="G9" s="77">
        <v>0</v>
      </c>
      <c r="H9" s="77">
        <v>0</v>
      </c>
      <c r="I9" s="77">
        <v>0</v>
      </c>
    </row>
    <row r="10" spans="1:9">
      <c r="A10" s="17" t="str">
        <f>HLOOKUP(INDICE!$F$2,Nombres!$C$3:$D$636,35,FALSE)</f>
        <v>Net trading income</v>
      </c>
      <c r="B10" s="77">
        <v>101.36085900478</v>
      </c>
      <c r="C10" s="77">
        <v>52.884703767230022</v>
      </c>
      <c r="D10" s="77">
        <v>23.605685886479982</v>
      </c>
      <c r="E10" s="78">
        <v>64.052337581099977</v>
      </c>
      <c r="F10" s="77">
        <v>49.741839023964999</v>
      </c>
      <c r="G10" s="77">
        <v>0</v>
      </c>
      <c r="H10" s="77">
        <v>0</v>
      </c>
      <c r="I10" s="77">
        <v>0</v>
      </c>
    </row>
    <row r="11" spans="1:9">
      <c r="A11" s="17" t="str">
        <f>HLOOKUP(INDICE!$F$2,Nombres!$C$3:$D$636,36,FALSE)</f>
        <v>Other operating income and expenses</v>
      </c>
      <c r="B11" s="77">
        <v>-186.14200000849996</v>
      </c>
      <c r="C11" s="77">
        <v>-159.22200000612997</v>
      </c>
      <c r="D11" s="77">
        <v>-121.71499998705001</v>
      </c>
      <c r="E11" s="78">
        <v>-158.15300000959323</v>
      </c>
      <c r="F11" s="77">
        <v>-222.65735347206999</v>
      </c>
      <c r="G11" s="77">
        <v>0</v>
      </c>
      <c r="H11" s="77">
        <v>0</v>
      </c>
      <c r="I11" s="77">
        <v>0</v>
      </c>
    </row>
    <row r="12" spans="1:9">
      <c r="A12" s="25" t="str">
        <f>HLOOKUP(INDICE!$F$2,Nombres!$C$3:$D$636,37,FALSE)</f>
        <v>Gross income</v>
      </c>
      <c r="B12" s="25">
        <f>+SUM(B8:B11)</f>
        <v>460.01285899533787</v>
      </c>
      <c r="C12" s="25">
        <f t="shared" ref="C12:I12" si="0">+SUM(C8:C11)</f>
        <v>331.31173776220874</v>
      </c>
      <c r="D12" s="25">
        <f t="shared" si="0"/>
        <v>318.12300551972106</v>
      </c>
      <c r="E12" s="73">
        <f t="shared" si="0"/>
        <v>389.99735939408527</v>
      </c>
      <c r="F12" s="74">
        <f t="shared" si="0"/>
        <v>476.59163680821689</v>
      </c>
      <c r="G12" s="74">
        <f t="shared" si="0"/>
        <v>0</v>
      </c>
      <c r="H12" s="74">
        <f t="shared" si="0"/>
        <v>0</v>
      </c>
      <c r="I12" s="74">
        <f t="shared" si="0"/>
        <v>0</v>
      </c>
    </row>
    <row r="13" spans="1:9">
      <c r="A13" s="17" t="str">
        <f>HLOOKUP(INDICE!$F$2,Nombres!$C$3:$D$636,38,FALSE)</f>
        <v>Operating expenses</v>
      </c>
      <c r="B13" s="77">
        <v>-240.28996243939599</v>
      </c>
      <c r="C13" s="77">
        <v>-192.49306244358408</v>
      </c>
      <c r="D13" s="77">
        <v>-173.39792118649703</v>
      </c>
      <c r="E13" s="78">
        <v>-165.69473768444593</v>
      </c>
      <c r="F13" s="77">
        <v>-235.10510057930495</v>
      </c>
      <c r="G13" s="77">
        <v>0</v>
      </c>
      <c r="H13" s="77">
        <v>0</v>
      </c>
      <c r="I13" s="77">
        <v>0</v>
      </c>
    </row>
    <row r="14" spans="1:9">
      <c r="A14" s="17" t="str">
        <f>HLOOKUP(INDICE!$F$2,Nombres!$C$3:$D$636,39,FALSE)</f>
        <v xml:space="preserve">  Administration expenses</v>
      </c>
      <c r="B14" s="77">
        <v>-224.01196244007599</v>
      </c>
      <c r="C14" s="77">
        <v>-177.80106244336409</v>
      </c>
      <c r="D14" s="77">
        <v>-158.02192118508702</v>
      </c>
      <c r="E14" s="78">
        <v>-147.03473768354593</v>
      </c>
      <c r="F14" s="77">
        <v>-214.04710057966494</v>
      </c>
      <c r="G14" s="77">
        <v>0</v>
      </c>
      <c r="H14" s="77">
        <v>0</v>
      </c>
      <c r="I14" s="77">
        <v>0</v>
      </c>
    </row>
    <row r="15" spans="1:9">
      <c r="A15" s="79" t="str">
        <f>HLOOKUP(INDICE!$F$2,Nombres!$C$3:$D$636,40,FALSE)</f>
        <v xml:space="preserve">  Personnel expenses</v>
      </c>
      <c r="B15" s="77">
        <v>-107.29899999660003</v>
      </c>
      <c r="C15" s="77">
        <v>-91.189999995506</v>
      </c>
      <c r="D15" s="77">
        <v>-84.623000002509997</v>
      </c>
      <c r="E15" s="78">
        <v>-75.555000002249969</v>
      </c>
      <c r="F15" s="77">
        <v>-119.03099999961999</v>
      </c>
      <c r="G15" s="77">
        <v>0</v>
      </c>
      <c r="H15" s="77">
        <v>0</v>
      </c>
      <c r="I15" s="77">
        <v>0</v>
      </c>
    </row>
    <row r="16" spans="1:9">
      <c r="A16" s="79" t="str">
        <f>HLOOKUP(INDICE!$F$2,Nombres!$C$3:$D$636,41,FALSE)</f>
        <v xml:space="preserve">  General and administrative expenses</v>
      </c>
      <c r="B16" s="77">
        <v>-116.71296244347597</v>
      </c>
      <c r="C16" s="77">
        <v>-86.611062447858089</v>
      </c>
      <c r="D16" s="77">
        <v>-73.398921182577027</v>
      </c>
      <c r="E16" s="78">
        <v>-71.479737681295944</v>
      </c>
      <c r="F16" s="77">
        <v>-95.016100580044949</v>
      </c>
      <c r="G16" s="77">
        <v>0</v>
      </c>
      <c r="H16" s="77">
        <v>0</v>
      </c>
      <c r="I16" s="77">
        <v>0</v>
      </c>
    </row>
    <row r="17" spans="1:9">
      <c r="A17" s="17" t="str">
        <f>HLOOKUP(INDICE!$F$2,Nombres!$C$3:$D$636,42,FALSE)</f>
        <v xml:space="preserve">  Depreciation</v>
      </c>
      <c r="B17" s="77">
        <v>-16.277999999319999</v>
      </c>
      <c r="C17" s="77">
        <v>-14.692000000219998</v>
      </c>
      <c r="D17" s="77">
        <v>-15.376000001410008</v>
      </c>
      <c r="E17" s="78">
        <v>-18.660000000900002</v>
      </c>
      <c r="F17" s="77">
        <v>-21.05799999964</v>
      </c>
      <c r="G17" s="77">
        <v>0</v>
      </c>
      <c r="H17" s="77">
        <v>0</v>
      </c>
      <c r="I17" s="77">
        <v>0</v>
      </c>
    </row>
    <row r="18" spans="1:9">
      <c r="A18" s="25" t="str">
        <f>HLOOKUP(INDICE!$F$2,Nombres!$C$3:$D$636,43,FALSE)</f>
        <v>Operating income</v>
      </c>
      <c r="B18" s="25">
        <f>+B12+B13</f>
        <v>219.72289655594187</v>
      </c>
      <c r="C18" s="25">
        <f t="shared" ref="C18:I18" si="1">+C12+C13</f>
        <v>138.81867531862466</v>
      </c>
      <c r="D18" s="25">
        <f t="shared" si="1"/>
        <v>144.72508433322403</v>
      </c>
      <c r="E18" s="73">
        <f t="shared" si="1"/>
        <v>224.30262170963934</v>
      </c>
      <c r="F18" s="74">
        <f t="shared" si="1"/>
        <v>241.48653622891194</v>
      </c>
      <c r="G18" s="74">
        <f t="shared" si="1"/>
        <v>0</v>
      </c>
      <c r="H18" s="74">
        <f t="shared" si="1"/>
        <v>0</v>
      </c>
      <c r="I18" s="74">
        <f t="shared" si="1"/>
        <v>0</v>
      </c>
    </row>
    <row r="19" spans="1:9">
      <c r="A19" s="17" t="str">
        <f>HLOOKUP(INDICE!$F$2,Nombres!$C$3:$D$636,44,FALSE)</f>
        <v>Impaiment on financial assets not measured at fair value through profit or loss</v>
      </c>
      <c r="B19" s="77">
        <v>-93.501999999299855</v>
      </c>
      <c r="C19" s="77">
        <v>-35.437000001700248</v>
      </c>
      <c r="D19" s="77">
        <v>-116.60700000029978</v>
      </c>
      <c r="E19" s="78">
        <v>-155.36999999890023</v>
      </c>
      <c r="F19" s="77">
        <v>-176.97300000289999</v>
      </c>
      <c r="G19" s="77">
        <v>0</v>
      </c>
      <c r="H19" s="77">
        <v>0</v>
      </c>
      <c r="I19" s="77">
        <v>0</v>
      </c>
    </row>
    <row r="20" spans="1:9">
      <c r="A20" s="17" t="str">
        <f>HLOOKUP(INDICE!$F$2,Nombres!$C$3:$D$636,45,FALSE)</f>
        <v>Provisions or reversal of provisions and other results</v>
      </c>
      <c r="B20" s="77">
        <v>-5.5740000003899981</v>
      </c>
      <c r="C20" s="77">
        <v>-10.007999999599997</v>
      </c>
      <c r="D20" s="77">
        <v>5.8699999994999983</v>
      </c>
      <c r="E20" s="78">
        <v>3.8720000010999982</v>
      </c>
      <c r="F20" s="77">
        <v>-1.3819999999000006</v>
      </c>
      <c r="G20" s="77">
        <v>0</v>
      </c>
      <c r="H20" s="77">
        <v>0</v>
      </c>
      <c r="I20" s="77">
        <v>0</v>
      </c>
    </row>
    <row r="21" spans="1:9">
      <c r="A21" s="25" t="str">
        <f>HLOOKUP(INDICE!$F$2,Nombres!$C$3:$D$636,46,FALSE)</f>
        <v>Profit/(loss) before tax</v>
      </c>
      <c r="B21" s="25">
        <f>+B18+B19+B20</f>
        <v>120.64689655625202</v>
      </c>
      <c r="C21" s="25">
        <f t="shared" ref="C21:I21" si="2">+C18+C19+C20</f>
        <v>93.373675317324398</v>
      </c>
      <c r="D21" s="25">
        <f t="shared" si="2"/>
        <v>33.988084332424251</v>
      </c>
      <c r="E21" s="73">
        <f t="shared" si="2"/>
        <v>72.804621711839104</v>
      </c>
      <c r="F21" s="74">
        <f t="shared" si="2"/>
        <v>63.131536226111947</v>
      </c>
      <c r="G21" s="74">
        <f t="shared" si="2"/>
        <v>0</v>
      </c>
      <c r="H21" s="74">
        <f t="shared" si="2"/>
        <v>0</v>
      </c>
      <c r="I21" s="74">
        <f t="shared" si="2"/>
        <v>0</v>
      </c>
    </row>
    <row r="22" spans="1:9">
      <c r="A22" s="17" t="str">
        <f>HLOOKUP(INDICE!$F$2,Nombres!$C$3:$D$636,47,FALSE)</f>
        <v>Income tax</v>
      </c>
      <c r="B22" s="77">
        <v>-42.68976896520001</v>
      </c>
      <c r="C22" s="77">
        <v>-32.399302596999995</v>
      </c>
      <c r="D22" s="77">
        <v>-13.879125296949949</v>
      </c>
      <c r="E22" s="78">
        <v>-28.292386510150035</v>
      </c>
      <c r="F22" s="77">
        <v>-19.745160867900015</v>
      </c>
      <c r="G22" s="77">
        <v>0</v>
      </c>
      <c r="H22" s="77">
        <v>0</v>
      </c>
      <c r="I22" s="77">
        <v>0</v>
      </c>
    </row>
    <row r="23" spans="1:9">
      <c r="A23" s="25" t="str">
        <f>HLOOKUP(INDICE!$F$2,Nombres!$C$3:$D$636,48,FALSE)</f>
        <v>Profit/(loss) for the year</v>
      </c>
      <c r="B23" s="25">
        <f>+B21+B22</f>
        <v>77.957127591052</v>
      </c>
      <c r="C23" s="25">
        <f t="shared" ref="C23:I23" si="3">+C21+C22</f>
        <v>60.974372720324403</v>
      </c>
      <c r="D23" s="25">
        <f t="shared" si="3"/>
        <v>20.1089590354743</v>
      </c>
      <c r="E23" s="73">
        <f t="shared" si="3"/>
        <v>44.512235201689066</v>
      </c>
      <c r="F23" s="74">
        <f t="shared" si="3"/>
        <v>43.386375358211936</v>
      </c>
      <c r="G23" s="74">
        <f t="shared" si="3"/>
        <v>0</v>
      </c>
      <c r="H23" s="74">
        <f t="shared" si="3"/>
        <v>0</v>
      </c>
      <c r="I23" s="74">
        <f t="shared" si="3"/>
        <v>0</v>
      </c>
    </row>
    <row r="24" spans="1:9">
      <c r="A24" s="17" t="str">
        <f>HLOOKUP(INDICE!$F$2,Nombres!$C$3:$D$636,49,FALSE)</f>
        <v>Non-controlling interests</v>
      </c>
      <c r="B24" s="77">
        <v>-27.732103139900026</v>
      </c>
      <c r="C24" s="77">
        <v>-20.433510421499978</v>
      </c>
      <c r="D24" s="77">
        <v>-7.2401786396000363</v>
      </c>
      <c r="E24" s="78">
        <v>-15.259095856300036</v>
      </c>
      <c r="F24" s="77">
        <v>-16.197281058899893</v>
      </c>
      <c r="G24" s="77">
        <v>0</v>
      </c>
      <c r="H24" s="77">
        <v>0</v>
      </c>
      <c r="I24" s="77">
        <v>0</v>
      </c>
    </row>
    <row r="25" spans="1:9">
      <c r="A25" s="19" t="str">
        <f>HLOOKUP(INDICE!$F$2,Nombres!$C$3:$D$636,50,FALSE)</f>
        <v>Net attributable profit</v>
      </c>
      <c r="B25" s="19">
        <f>+B23+B24</f>
        <v>50.225024451151974</v>
      </c>
      <c r="C25" s="19">
        <f t="shared" ref="C25:I25" si="4">+C23+C24</f>
        <v>40.540862298824422</v>
      </c>
      <c r="D25" s="19">
        <f t="shared" si="4"/>
        <v>12.868780395874264</v>
      </c>
      <c r="E25" s="19">
        <f t="shared" si="4"/>
        <v>29.25313934538903</v>
      </c>
      <c r="F25" s="96">
        <f t="shared" si="4"/>
        <v>27.189094299312043</v>
      </c>
      <c r="G25" s="96">
        <f t="shared" si="4"/>
        <v>0</v>
      </c>
      <c r="H25" s="96">
        <f t="shared" si="4"/>
        <v>0</v>
      </c>
      <c r="I25" s="96">
        <f t="shared" si="4"/>
        <v>0</v>
      </c>
    </row>
    <row r="26" spans="1:9">
      <c r="A26" s="93"/>
      <c r="B26" s="101">
        <v>0</v>
      </c>
      <c r="C26" s="101">
        <v>0</v>
      </c>
      <c r="D26" s="101">
        <v>2.6645352591003757E-14</v>
      </c>
      <c r="E26" s="101">
        <v>-4.6185277824406512E-14</v>
      </c>
      <c r="F26" s="101">
        <v>-2.8421709430404007E-14</v>
      </c>
      <c r="G26" s="101">
        <v>0</v>
      </c>
      <c r="H26" s="101">
        <v>0</v>
      </c>
      <c r="I26" s="101">
        <v>0</v>
      </c>
    </row>
    <row r="27" spans="1:9">
      <c r="A27" s="25"/>
      <c r="B27" s="25"/>
      <c r="C27" s="25"/>
      <c r="D27" s="25"/>
      <c r="E27" s="25"/>
      <c r="F27" s="25"/>
      <c r="G27" s="25"/>
      <c r="H27" s="25"/>
      <c r="I27" s="25"/>
    </row>
    <row r="28" spans="1:9" ht="17">
      <c r="A28" s="65" t="str">
        <f>HLOOKUP(INDICE!$F$2,Nombres!$C$3:$D$636,51,FALSE)</f>
        <v>Balance sheets</v>
      </c>
      <c r="B28" s="66"/>
      <c r="C28" s="66"/>
      <c r="D28" s="66"/>
      <c r="E28" s="66"/>
      <c r="F28" s="66"/>
      <c r="G28" s="66"/>
      <c r="H28" s="66"/>
      <c r="I28" s="66"/>
    </row>
    <row r="29" spans="1:9">
      <c r="A29" s="67" t="str">
        <f>HLOOKUP(INDICE!$F$2,Nombres!$C$3:$D$636,32,FALSE)</f>
        <v>(Million euros)</v>
      </c>
      <c r="B29" s="62"/>
      <c r="C29" s="85"/>
      <c r="D29" s="85"/>
      <c r="E29" s="85"/>
      <c r="F29" s="62"/>
      <c r="G29" s="86"/>
      <c r="H29" s="86"/>
      <c r="I29" s="86"/>
    </row>
    <row r="30" spans="1:9">
      <c r="A30" s="62"/>
      <c r="B30" s="87">
        <f>+España!B32</f>
        <v>45747</v>
      </c>
      <c r="C30" s="87">
        <f>+España!C32</f>
        <v>45838</v>
      </c>
      <c r="D30" s="87">
        <f>+España!D32</f>
        <v>45930</v>
      </c>
      <c r="E30" s="100">
        <f>+España!E32</f>
        <v>46022</v>
      </c>
      <c r="F30" s="102">
        <f>+España!F32</f>
        <v>46112</v>
      </c>
      <c r="G30" s="102">
        <f>+España!G32</f>
        <v>46203</v>
      </c>
      <c r="H30" s="102">
        <f>+España!H32</f>
        <v>46295</v>
      </c>
      <c r="I30" s="102">
        <f>+España!I32</f>
        <v>46387</v>
      </c>
    </row>
    <row r="31" spans="1:9">
      <c r="A31" s="17" t="str">
        <f>HLOOKUP(INDICE!$F$2,Nombres!$C$3:$D$636,52,FALSE)</f>
        <v>Cash, cash balances at central banks and other demand deposits</v>
      </c>
      <c r="B31" s="77">
        <v>2101.2620000000002</v>
      </c>
      <c r="C31" s="77">
        <v>2386.4349999999995</v>
      </c>
      <c r="D31" s="77">
        <v>2562.681</v>
      </c>
      <c r="E31" s="78">
        <v>2775.7449999999999</v>
      </c>
      <c r="F31" s="77">
        <v>2478.6799999999998</v>
      </c>
      <c r="G31" s="77">
        <v>0</v>
      </c>
      <c r="H31" s="77">
        <v>0</v>
      </c>
      <c r="I31" s="77">
        <v>0</v>
      </c>
    </row>
    <row r="32" spans="1:9">
      <c r="A32" s="17" t="str">
        <f>HLOOKUP(INDICE!$F$2,Nombres!$C$3:$D$636,53,FALSE)</f>
        <v xml:space="preserve">Financial assets designated at fair value </v>
      </c>
      <c r="B32" s="86">
        <v>2442.1240000000012</v>
      </c>
      <c r="C32" s="86">
        <v>2256.9320000000002</v>
      </c>
      <c r="D32" s="86">
        <v>1928.5620000000001</v>
      </c>
      <c r="E32" s="97">
        <v>2094.6030000000005</v>
      </c>
      <c r="F32" s="77">
        <v>2747.6460000000006</v>
      </c>
      <c r="G32" s="77">
        <v>0</v>
      </c>
      <c r="H32" s="77">
        <v>0</v>
      </c>
      <c r="I32" s="77">
        <v>0</v>
      </c>
    </row>
    <row r="33" spans="1:9">
      <c r="A33" s="17" t="str">
        <f>HLOOKUP(INDICE!$F$2,Nombres!$C$3:$D$636,54,FALSE)</f>
        <v>Financial assets at amortized cost</v>
      </c>
      <c r="B33" s="77">
        <v>8358.2350000000006</v>
      </c>
      <c r="C33" s="77">
        <v>8238.1340000000018</v>
      </c>
      <c r="D33" s="77">
        <v>8618.7909999900003</v>
      </c>
      <c r="E33" s="78">
        <v>9019.0229999999992</v>
      </c>
      <c r="F33" s="77">
        <v>9742.4050000000007</v>
      </c>
      <c r="G33" s="77">
        <v>0</v>
      </c>
      <c r="H33" s="77">
        <v>0</v>
      </c>
      <c r="I33" s="77">
        <v>0</v>
      </c>
    </row>
    <row r="34" spans="1:9">
      <c r="A34" s="17" t="str">
        <f>HLOOKUP(INDICE!$F$2,Nombres!$C$3:$D$636,55,FALSE)</f>
        <v xml:space="preserve">    of which loans and advances to customers</v>
      </c>
      <c r="B34" s="77">
        <v>7752.0749999999989</v>
      </c>
      <c r="C34" s="77">
        <v>7859.7710000000006</v>
      </c>
      <c r="D34" s="77">
        <v>7696.7109999900003</v>
      </c>
      <c r="E34" s="78">
        <v>8228.7569999999996</v>
      </c>
      <c r="F34" s="77">
        <v>9272.7780000000002</v>
      </c>
      <c r="G34" s="77">
        <v>0</v>
      </c>
      <c r="H34" s="77">
        <v>0</v>
      </c>
      <c r="I34" s="77">
        <v>0</v>
      </c>
    </row>
    <row r="35" spans="1:9" hidden="1">
      <c r="A35" s="17"/>
      <c r="B35" s="77"/>
      <c r="C35" s="77"/>
      <c r="D35" s="77"/>
      <c r="E35" s="78"/>
      <c r="F35" s="77"/>
      <c r="G35" s="77"/>
      <c r="H35" s="77"/>
      <c r="I35" s="77"/>
    </row>
    <row r="36" spans="1:9">
      <c r="A36" s="17" t="str">
        <f>HLOOKUP(INDICE!$F$2,Nombres!$C$3:$D$636,56,FALSE)</f>
        <v>Tangible assets</v>
      </c>
      <c r="B36" s="77">
        <v>730.37900000000002</v>
      </c>
      <c r="C36" s="77">
        <v>661.5390000000001</v>
      </c>
      <c r="D36" s="77">
        <v>626.92399999999998</v>
      </c>
      <c r="E36" s="78">
        <v>633.29399999999998</v>
      </c>
      <c r="F36" s="77">
        <v>739.94000000000017</v>
      </c>
      <c r="G36" s="77">
        <v>0</v>
      </c>
      <c r="H36" s="77">
        <v>0</v>
      </c>
      <c r="I36" s="77">
        <v>0</v>
      </c>
    </row>
    <row r="37" spans="1:9">
      <c r="A37" s="17" t="str">
        <f>HLOOKUP(INDICE!$F$2,Nombres!$C$3:$D$636,57,FALSE)</f>
        <v>Other assets</v>
      </c>
      <c r="B37" s="86">
        <f>+B38-B36-B33-B32-B31</f>
        <v>589.23879341034717</v>
      </c>
      <c r="C37" s="86">
        <f t="shared" ref="C37:I37" si="5">+C38-C36-C33-C32-C31</f>
        <v>474.42595830217442</v>
      </c>
      <c r="D37" s="86">
        <f t="shared" si="5"/>
        <v>531.75700000100051</v>
      </c>
      <c r="E37" s="97">
        <f t="shared" si="5"/>
        <v>464.62000000000398</v>
      </c>
      <c r="F37" s="77">
        <f t="shared" si="5"/>
        <v>558.68199999999752</v>
      </c>
      <c r="G37" s="77">
        <f t="shared" si="5"/>
        <v>0</v>
      </c>
      <c r="H37" s="77">
        <f t="shared" si="5"/>
        <v>0</v>
      </c>
      <c r="I37" s="77">
        <f t="shared" si="5"/>
        <v>0</v>
      </c>
    </row>
    <row r="38" spans="1:9">
      <c r="A38" s="19" t="str">
        <f>HLOOKUP(INDICE!$F$2,Nombres!$C$3:$D$636,58,FALSE)</f>
        <v>Total assets / Liabilities and equity</v>
      </c>
      <c r="B38" s="19">
        <v>14221.23879341035</v>
      </c>
      <c r="C38" s="19">
        <v>14017.465958302177</v>
      </c>
      <c r="D38" s="19">
        <v>14268.714999991002</v>
      </c>
      <c r="E38" s="19">
        <v>14987.285000000003</v>
      </c>
      <c r="F38" s="96">
        <v>16267.352999999999</v>
      </c>
      <c r="G38" s="96">
        <v>0</v>
      </c>
      <c r="H38" s="96">
        <v>0</v>
      </c>
      <c r="I38" s="96">
        <v>0</v>
      </c>
    </row>
    <row r="39" spans="1:9">
      <c r="A39" s="17" t="str">
        <f>HLOOKUP(INDICE!$F$2,Nombres!$C$3:$D$636,59,FALSE)</f>
        <v>Financial liabilities held for trading and designated at fair value through profit or loss</v>
      </c>
      <c r="B39" s="86">
        <v>10.889000000000001</v>
      </c>
      <c r="C39" s="86">
        <v>11.091999999999997</v>
      </c>
      <c r="D39" s="86">
        <v>47.103999999999992</v>
      </c>
      <c r="E39" s="97">
        <v>3.7550000000000003</v>
      </c>
      <c r="F39" s="77">
        <v>26.106000000000002</v>
      </c>
      <c r="G39" s="77">
        <v>0</v>
      </c>
      <c r="H39" s="77">
        <v>0</v>
      </c>
      <c r="I39" s="77">
        <v>0</v>
      </c>
    </row>
    <row r="40" spans="1:9">
      <c r="A40" s="17" t="str">
        <f>HLOOKUP(INDICE!$F$2,Nombres!$C$3:$D$636,60,FALSE)</f>
        <v>Deposits from central banks and credit institutions</v>
      </c>
      <c r="B40" s="86">
        <v>280.67400000000004</v>
      </c>
      <c r="C40" s="86">
        <v>257.88099999999997</v>
      </c>
      <c r="D40" s="86">
        <v>363.11599999999999</v>
      </c>
      <c r="E40" s="97">
        <v>728.41800000000001</v>
      </c>
      <c r="F40" s="77">
        <v>365.56800000000004</v>
      </c>
      <c r="G40" s="77">
        <v>0</v>
      </c>
      <c r="H40" s="77">
        <v>0</v>
      </c>
      <c r="I40" s="77">
        <v>0</v>
      </c>
    </row>
    <row r="41" spans="1:9" ht="15.75" customHeight="1">
      <c r="A41" s="17" t="str">
        <f>HLOOKUP(INDICE!$F$2,Nombres!$C$3:$D$636,61,FALSE)</f>
        <v>Deposits from customers</v>
      </c>
      <c r="B41" s="86">
        <v>9440.2029999929982</v>
      </c>
      <c r="C41" s="86">
        <v>9361.9949999909968</v>
      </c>
      <c r="D41" s="86">
        <v>9930.3440000049995</v>
      </c>
      <c r="E41" s="97">
        <v>10088.291999998999</v>
      </c>
      <c r="F41" s="77">
        <v>10965.949000000001</v>
      </c>
      <c r="G41" s="77">
        <v>0</v>
      </c>
      <c r="H41" s="77">
        <v>0</v>
      </c>
      <c r="I41" s="77">
        <v>0</v>
      </c>
    </row>
    <row r="42" spans="1:9">
      <c r="A42" s="17" t="str">
        <f>HLOOKUP(INDICE!$F$2,Nombres!$C$3:$D$636,62,FALSE)</f>
        <v>Debt certificates</v>
      </c>
      <c r="B42" s="77">
        <v>597.69153296999991</v>
      </c>
      <c r="C42" s="77">
        <v>712.88005566000004</v>
      </c>
      <c r="D42" s="77">
        <v>632.25103338478243</v>
      </c>
      <c r="E42" s="78">
        <v>731.09309249309115</v>
      </c>
      <c r="F42" s="77">
        <v>828.94171633900169</v>
      </c>
      <c r="G42" s="77">
        <v>0</v>
      </c>
      <c r="H42" s="77">
        <v>0</v>
      </c>
      <c r="I42" s="77">
        <v>0</v>
      </c>
    </row>
    <row r="43" spans="1:9" hidden="1">
      <c r="A43" s="17"/>
      <c r="B43" s="77"/>
      <c r="C43" s="77"/>
      <c r="D43" s="77"/>
      <c r="E43" s="78"/>
      <c r="F43" s="77"/>
      <c r="G43" s="77"/>
      <c r="H43" s="77"/>
      <c r="I43" s="77"/>
    </row>
    <row r="44" spans="1:9">
      <c r="A44" s="17" t="str">
        <f>HLOOKUP(INDICE!$F$2,Nombres!$C$3:$D$636,63,FALSE)</f>
        <v>Other liabilities</v>
      </c>
      <c r="B44" s="86">
        <f>+B38-B39-B40-B41-B42-B45</f>
        <v>2385.040142662353</v>
      </c>
      <c r="C44" s="86">
        <f t="shared" ref="C44:I44" si="6">+C38-C39-C40-C41-C42-C45</f>
        <v>2183.3523815921799</v>
      </c>
      <c r="D44" s="86">
        <f t="shared" si="6"/>
        <v>1895.0729216630405</v>
      </c>
      <c r="E44" s="97">
        <f t="shared" si="6"/>
        <v>2031.0387897710752</v>
      </c>
      <c r="F44" s="77">
        <f t="shared" si="6"/>
        <v>2576.4511432628688</v>
      </c>
      <c r="G44" s="77">
        <f t="shared" si="6"/>
        <v>0</v>
      </c>
      <c r="H44" s="77">
        <f t="shared" si="6"/>
        <v>0</v>
      </c>
      <c r="I44" s="77">
        <f t="shared" si="6"/>
        <v>0</v>
      </c>
    </row>
    <row r="45" spans="1:9">
      <c r="A45" s="17" t="str">
        <f>HLOOKUP(INDICE!$F$2,Nombres!$C$3:$D$636,282,FALSE)</f>
        <v>Allocated regulatory capital</v>
      </c>
      <c r="B45" s="86">
        <v>1506.7411177849983</v>
      </c>
      <c r="C45" s="86">
        <v>1490.2655210589999</v>
      </c>
      <c r="D45" s="86">
        <v>1400.8270449381801</v>
      </c>
      <c r="E45" s="86">
        <v>1404.6881177368391</v>
      </c>
      <c r="F45" s="86">
        <v>1504.3371403981293</v>
      </c>
      <c r="G45" s="86">
        <v>0</v>
      </c>
      <c r="H45" s="86">
        <v>0</v>
      </c>
      <c r="I45" s="86">
        <v>0</v>
      </c>
    </row>
    <row r="46" spans="1:9">
      <c r="A46" s="93"/>
      <c r="B46" s="86"/>
      <c r="C46" s="86"/>
      <c r="D46" s="86"/>
      <c r="E46" s="86"/>
      <c r="F46" s="77"/>
      <c r="G46" s="77"/>
      <c r="H46" s="77"/>
      <c r="I46" s="77"/>
    </row>
    <row r="47" spans="1:9">
      <c r="A47" s="17"/>
      <c r="B47" s="86"/>
      <c r="C47" s="86"/>
      <c r="D47" s="86"/>
      <c r="E47" s="86"/>
      <c r="F47" s="77"/>
      <c r="G47" s="77"/>
      <c r="H47" s="77"/>
      <c r="I47" s="77"/>
    </row>
    <row r="48" spans="1:9" ht="17">
      <c r="A48" s="65" t="str">
        <f>HLOOKUP(INDICE!$F$2,Nombres!$C$3:$D$636,65,FALSE)</f>
        <v>Relevant business indicators</v>
      </c>
      <c r="B48" s="66"/>
      <c r="C48" s="66"/>
      <c r="D48" s="66"/>
      <c r="E48" s="66"/>
      <c r="F48" s="106"/>
      <c r="G48" s="106"/>
      <c r="H48" s="106"/>
      <c r="I48" s="106"/>
    </row>
    <row r="49" spans="1:9">
      <c r="A49" s="67" t="str">
        <f>HLOOKUP(INDICE!$F$2,Nombres!$C$3:$D$636,32,FALSE)</f>
        <v>(Million euros)</v>
      </c>
      <c r="B49" s="62"/>
      <c r="C49" s="62"/>
      <c r="D49" s="62"/>
      <c r="E49" s="62"/>
      <c r="F49" s="107"/>
      <c r="G49" s="77"/>
      <c r="H49" s="77"/>
      <c r="I49" s="77"/>
    </row>
    <row r="50" spans="1:9">
      <c r="A50" s="62"/>
      <c r="B50" s="87">
        <f t="shared" ref="B50:I50" si="7">+B$30</f>
        <v>45747</v>
      </c>
      <c r="C50" s="87">
        <f t="shared" si="7"/>
        <v>45838</v>
      </c>
      <c r="D50" s="87">
        <f t="shared" si="7"/>
        <v>45930</v>
      </c>
      <c r="E50" s="100">
        <f t="shared" si="7"/>
        <v>46022</v>
      </c>
      <c r="F50" s="87">
        <f t="shared" si="7"/>
        <v>46112</v>
      </c>
      <c r="G50" s="87">
        <f t="shared" si="7"/>
        <v>46203</v>
      </c>
      <c r="H50" s="87">
        <f t="shared" si="7"/>
        <v>46295</v>
      </c>
      <c r="I50" s="87">
        <f t="shared" si="7"/>
        <v>46387</v>
      </c>
    </row>
    <row r="51" spans="1:9">
      <c r="A51" s="17" t="str">
        <f>HLOOKUP(INDICE!$F$2,Nombres!$C$3:$D$636,66,FALSE)</f>
        <v>Loans and advances to customers (gross) (*)</v>
      </c>
      <c r="B51" s="77">
        <v>7936.2829999999994</v>
      </c>
      <c r="C51" s="77">
        <v>8077.1640000000007</v>
      </c>
      <c r="D51" s="77">
        <v>7967.3379999900008</v>
      </c>
      <c r="E51" s="78">
        <v>8587.1010000000006</v>
      </c>
      <c r="F51" s="77">
        <v>9764.02</v>
      </c>
      <c r="G51" s="77">
        <v>0</v>
      </c>
      <c r="H51" s="77">
        <v>0</v>
      </c>
      <c r="I51" s="77">
        <v>0</v>
      </c>
    </row>
    <row r="52" spans="1:9">
      <c r="A52" s="17" t="str">
        <f>HLOOKUP(INDICE!$F$2,Nombres!$C$3:$D$636,67,FALSE)</f>
        <v>Customer deposits under management (*)</v>
      </c>
      <c r="B52" s="77">
        <v>9440.202999993</v>
      </c>
      <c r="C52" s="77">
        <v>9361.9949999909968</v>
      </c>
      <c r="D52" s="77">
        <v>9930.3440000050014</v>
      </c>
      <c r="E52" s="78">
        <v>10088.291999998999</v>
      </c>
      <c r="F52" s="77">
        <v>10965.949000000001</v>
      </c>
      <c r="G52" s="77">
        <v>0</v>
      </c>
      <c r="H52" s="77">
        <v>0</v>
      </c>
      <c r="I52" s="77">
        <v>0</v>
      </c>
    </row>
    <row r="53" spans="1:9">
      <c r="A53" s="17" t="str">
        <f>HLOOKUP(INDICE!$F$2,Nombres!$C$3:$D$636,68,FALSE)</f>
        <v>Investment funds and managed portfolios</v>
      </c>
      <c r="B53" s="77">
        <v>3093.0571401360767</v>
      </c>
      <c r="C53" s="77">
        <v>2470.4581866722356</v>
      </c>
      <c r="D53" s="77">
        <v>2545.3494897204109</v>
      </c>
      <c r="E53" s="78">
        <v>2084.5659533018629</v>
      </c>
      <c r="F53" s="77">
        <v>2852.5747275654926</v>
      </c>
      <c r="G53" s="77">
        <v>0</v>
      </c>
      <c r="H53" s="77">
        <v>0</v>
      </c>
      <c r="I53" s="77">
        <v>0</v>
      </c>
    </row>
    <row r="54" spans="1:9">
      <c r="A54" s="17" t="str">
        <f>HLOOKUP(INDICE!$F$2,Nombres!$C$3:$D$636,69,FALSE)</f>
        <v>Pension funds</v>
      </c>
      <c r="B54" s="77">
        <v>0</v>
      </c>
      <c r="C54" s="77">
        <v>0</v>
      </c>
      <c r="D54" s="77">
        <v>0</v>
      </c>
      <c r="E54" s="78">
        <v>0</v>
      </c>
      <c r="F54" s="77">
        <v>0</v>
      </c>
      <c r="G54" s="77">
        <v>0</v>
      </c>
      <c r="H54" s="77">
        <v>0</v>
      </c>
      <c r="I54" s="77">
        <v>0</v>
      </c>
    </row>
    <row r="55" spans="1:9">
      <c r="A55" s="17" t="str">
        <f>HLOOKUP(INDICE!$F$2,Nombres!$C$3:$D$636,70,FALSE)</f>
        <v>Other off balance-sheet funds</v>
      </c>
      <c r="B55" s="77">
        <v>0</v>
      </c>
      <c r="C55" s="77">
        <v>0</v>
      </c>
      <c r="D55" s="77">
        <v>0</v>
      </c>
      <c r="E55" s="78">
        <v>0</v>
      </c>
      <c r="F55" s="77">
        <v>0</v>
      </c>
      <c r="G55" s="77">
        <v>0</v>
      </c>
      <c r="H55" s="77">
        <v>0</v>
      </c>
      <c r="I55" s="77">
        <v>0</v>
      </c>
    </row>
    <row r="56" spans="1:9">
      <c r="A56" s="93" t="str">
        <f>HLOOKUP(INDICE!$F$2,Nombres!$C$3:$D$636,71,FALSE)</f>
        <v xml:space="preserve">(*) Excluding repos. </v>
      </c>
      <c r="B56" s="86"/>
      <c r="C56" s="86"/>
      <c r="D56" s="86"/>
      <c r="E56" s="86"/>
      <c r="F56" s="86"/>
      <c r="G56" s="86"/>
      <c r="H56" s="86"/>
      <c r="I56" s="86"/>
    </row>
    <row r="57" spans="1:9">
      <c r="A57" s="93">
        <f>HLOOKUP(INDICE!$F$2,Nombres!$C$3:$D$636,72,FALSE)</f>
        <v>0</v>
      </c>
      <c r="B57" s="62"/>
      <c r="C57" s="62"/>
      <c r="D57" s="62"/>
      <c r="E57" s="62"/>
      <c r="F57" s="62"/>
      <c r="G57" s="62"/>
      <c r="H57" s="62"/>
      <c r="I57" s="62"/>
    </row>
    <row r="58" spans="1:9">
      <c r="A58" s="93"/>
      <c r="B58" s="62"/>
      <c r="C58" s="62"/>
      <c r="D58" s="62"/>
      <c r="E58" s="62"/>
      <c r="F58" s="62"/>
      <c r="G58" s="62"/>
      <c r="H58" s="62"/>
      <c r="I58" s="62"/>
    </row>
    <row r="59" spans="1:9" ht="17">
      <c r="A59" s="65" t="str">
        <f>HLOOKUP(INDICE!$F$2,Nombres!$C$3:$D$636,31,FALSE)</f>
        <v xml:space="preserve">Income statement  </v>
      </c>
      <c r="B59" s="66"/>
      <c r="C59" s="66"/>
      <c r="D59" s="66"/>
      <c r="E59" s="66"/>
      <c r="F59" s="66"/>
      <c r="G59" s="66"/>
      <c r="H59" s="66"/>
      <c r="I59" s="66"/>
    </row>
    <row r="60" spans="1:9">
      <c r="A60" s="67" t="str">
        <f>HLOOKUP(INDICE!$F$2,Nombres!$C$3:$D$636,73,FALSE)</f>
        <v xml:space="preserve">(Constant million euros)    </v>
      </c>
      <c r="B60" s="62"/>
      <c r="C60" s="68"/>
      <c r="D60" s="68"/>
      <c r="E60" s="68"/>
      <c r="F60" s="62"/>
      <c r="G60" s="62"/>
      <c r="H60" s="62"/>
      <c r="I60" s="62"/>
    </row>
    <row r="61" spans="1:9">
      <c r="A61" s="69"/>
      <c r="B61" s="62"/>
      <c r="C61" s="68"/>
      <c r="D61" s="68"/>
      <c r="E61" s="68"/>
      <c r="F61" s="62"/>
      <c r="G61" s="62"/>
      <c r="H61" s="62"/>
      <c r="I61" s="62"/>
    </row>
    <row r="62" spans="1:9">
      <c r="A62" s="70"/>
      <c r="B62" s="301">
        <f>+B$6</f>
        <v>2025</v>
      </c>
      <c r="C62" s="301"/>
      <c r="D62" s="301"/>
      <c r="E62" s="302"/>
      <c r="F62" s="301">
        <f>+F$6</f>
        <v>2026</v>
      </c>
      <c r="G62" s="301"/>
      <c r="H62" s="301"/>
      <c r="I62" s="301"/>
    </row>
    <row r="63" spans="1:9">
      <c r="A63" s="70"/>
      <c r="B63" s="71" t="str">
        <f>+B$7</f>
        <v>1Q</v>
      </c>
      <c r="C63" s="71" t="str">
        <f t="shared" ref="C63:I63" si="8">+C$7</f>
        <v>2Q</v>
      </c>
      <c r="D63" s="71" t="str">
        <f t="shared" si="8"/>
        <v>3Q</v>
      </c>
      <c r="E63" s="72" t="str">
        <f t="shared" si="8"/>
        <v>4Q</v>
      </c>
      <c r="F63" s="71" t="str">
        <f t="shared" si="8"/>
        <v>1Q</v>
      </c>
      <c r="G63" s="71" t="str">
        <f t="shared" si="8"/>
        <v>2Q</v>
      </c>
      <c r="H63" s="71" t="str">
        <f t="shared" si="8"/>
        <v>3Q</v>
      </c>
      <c r="I63" s="71" t="str">
        <f t="shared" si="8"/>
        <v>4Q</v>
      </c>
    </row>
    <row r="64" spans="1:9">
      <c r="A64" s="25" t="str">
        <f>HLOOKUP(INDICE!$F$2,Nombres!$C$3:$D$636,33,FALSE)</f>
        <v>Net interest income</v>
      </c>
      <c r="B64" s="25">
        <v>332.76124762229801</v>
      </c>
      <c r="C64" s="25">
        <v>394.57583473313827</v>
      </c>
      <c r="D64" s="25">
        <v>415.70140863547573</v>
      </c>
      <c r="E64" s="73">
        <v>523.98935566596867</v>
      </c>
      <c r="F64" s="74">
        <v>538.98300000099994</v>
      </c>
      <c r="G64" s="74">
        <v>0</v>
      </c>
      <c r="H64" s="74">
        <v>0</v>
      </c>
      <c r="I64" s="74">
        <v>0</v>
      </c>
    </row>
    <row r="65" spans="1:9">
      <c r="A65" s="17" t="str">
        <f>HLOOKUP(INDICE!$F$2,Nombres!$C$3:$D$636,34,FALSE)</f>
        <v>Net fees and commissions</v>
      </c>
      <c r="B65" s="77">
        <v>64.993491741340279</v>
      </c>
      <c r="C65" s="77">
        <v>68.50648764295228</v>
      </c>
      <c r="D65" s="77">
        <v>98.47134455988791</v>
      </c>
      <c r="E65" s="78">
        <v>100.47269122656748</v>
      </c>
      <c r="F65" s="77">
        <v>110.52415125532541</v>
      </c>
      <c r="G65" s="77">
        <v>0</v>
      </c>
      <c r="H65" s="77">
        <v>0</v>
      </c>
      <c r="I65" s="77">
        <v>0</v>
      </c>
    </row>
    <row r="66" spans="1:9">
      <c r="A66" s="17" t="str">
        <f>HLOOKUP(INDICE!$F$2,Nombres!$C$3:$D$636,35,FALSE)</f>
        <v>Net trading income</v>
      </c>
      <c r="B66" s="77">
        <v>79.466730782050789</v>
      </c>
      <c r="C66" s="77">
        <v>58.268956716785048</v>
      </c>
      <c r="D66" s="77">
        <v>37.459567949121336</v>
      </c>
      <c r="E66" s="78">
        <v>80.323224274862852</v>
      </c>
      <c r="F66" s="77">
        <v>49.741839023964985</v>
      </c>
      <c r="G66" s="77">
        <v>0</v>
      </c>
      <c r="H66" s="77">
        <v>0</v>
      </c>
      <c r="I66" s="77">
        <v>0</v>
      </c>
    </row>
    <row r="67" spans="1:9">
      <c r="A67" s="17" t="str">
        <f>HLOOKUP(INDICE!$F$2,Nombres!$C$3:$D$636,36,FALSE)</f>
        <v>Other operating income and expenses</v>
      </c>
      <c r="B67" s="77">
        <v>-167.45316119512523</v>
      </c>
      <c r="C67" s="77">
        <v>-161.40506018543374</v>
      </c>
      <c r="D67" s="77">
        <v>-135.01447331617138</v>
      </c>
      <c r="E67" s="78">
        <v>-178.04499447341135</v>
      </c>
      <c r="F67" s="77">
        <v>-222.65735347206072</v>
      </c>
      <c r="G67" s="77">
        <v>0</v>
      </c>
      <c r="H67" s="77">
        <v>0</v>
      </c>
      <c r="I67" s="77">
        <v>0</v>
      </c>
    </row>
    <row r="68" spans="1:9">
      <c r="A68" s="25" t="str">
        <f>HLOOKUP(INDICE!$F$2,Nombres!$C$3:$D$636,37,FALSE)</f>
        <v>Gross income</v>
      </c>
      <c r="B68" s="25">
        <f>+SUM(B64:B67)</f>
        <v>309.76830895056383</v>
      </c>
      <c r="C68" s="25">
        <f t="shared" ref="C68:I68" si="9">+SUM(C64:C67)</f>
        <v>359.94621890744179</v>
      </c>
      <c r="D68" s="25">
        <f t="shared" si="9"/>
        <v>416.61784782831364</v>
      </c>
      <c r="E68" s="73">
        <f t="shared" si="9"/>
        <v>526.74027669398765</v>
      </c>
      <c r="F68" s="74">
        <f t="shared" si="9"/>
        <v>476.59163680822957</v>
      </c>
      <c r="G68" s="74">
        <f t="shared" si="9"/>
        <v>0</v>
      </c>
      <c r="H68" s="74">
        <f t="shared" si="9"/>
        <v>0</v>
      </c>
      <c r="I68" s="74">
        <f t="shared" si="9"/>
        <v>0</v>
      </c>
    </row>
    <row r="69" spans="1:9">
      <c r="A69" s="17" t="str">
        <f>HLOOKUP(INDICE!$F$2,Nombres!$C$3:$D$636,38,FALSE)</f>
        <v>Operating expenses</v>
      </c>
      <c r="B69" s="77">
        <v>-178.16546685925127</v>
      </c>
      <c r="C69" s="77">
        <v>-203.52318784934855</v>
      </c>
      <c r="D69" s="77">
        <v>-214.75142077463485</v>
      </c>
      <c r="E69" s="78">
        <v>-220.36974027552208</v>
      </c>
      <c r="F69" s="77">
        <v>-235.10510057931768</v>
      </c>
      <c r="G69" s="77">
        <v>0</v>
      </c>
      <c r="H69" s="77">
        <v>0</v>
      </c>
      <c r="I69" s="77">
        <v>0</v>
      </c>
    </row>
    <row r="70" spans="1:9">
      <c r="A70" s="17" t="str">
        <f>HLOOKUP(INDICE!$F$2,Nombres!$C$3:$D$636,39,FALSE)</f>
        <v xml:space="preserve">  Administration expenses</v>
      </c>
      <c r="B70" s="77">
        <v>-163.59201329953956</v>
      </c>
      <c r="C70" s="77">
        <v>-188.52303604910426</v>
      </c>
      <c r="D70" s="77">
        <v>-198.26593322100251</v>
      </c>
      <c r="E70" s="78">
        <v>-199.95124764278006</v>
      </c>
      <c r="F70" s="77">
        <v>-214.0471005796777</v>
      </c>
      <c r="G70" s="77">
        <v>0</v>
      </c>
      <c r="H70" s="77">
        <v>0</v>
      </c>
      <c r="I70" s="77">
        <v>0</v>
      </c>
    </row>
    <row r="71" spans="1:9">
      <c r="A71" s="79" t="str">
        <f>HLOOKUP(INDICE!$F$2,Nombres!$C$3:$D$636,40,FALSE)</f>
        <v xml:space="preserve">  Personnel expenses</v>
      </c>
      <c r="B71" s="77">
        <v>-78.385336357548027</v>
      </c>
      <c r="C71" s="77">
        <v>-95.539398983707443</v>
      </c>
      <c r="D71" s="77">
        <v>-104.39633590988778</v>
      </c>
      <c r="E71" s="78">
        <v>-102.44063186780842</v>
      </c>
      <c r="F71" s="77">
        <v>-119.03099999962001</v>
      </c>
      <c r="G71" s="77">
        <v>0</v>
      </c>
      <c r="H71" s="77">
        <v>0</v>
      </c>
      <c r="I71" s="77">
        <v>0</v>
      </c>
    </row>
    <row r="72" spans="1:9">
      <c r="A72" s="79" t="str">
        <f>HLOOKUP(INDICE!$F$2,Nombres!$C$3:$D$636,41,FALSE)</f>
        <v xml:space="preserve">  General and administrative expenses</v>
      </c>
      <c r="B72" s="77">
        <v>-85.206676941991532</v>
      </c>
      <c r="C72" s="77">
        <v>-92.983637065396834</v>
      </c>
      <c r="D72" s="77">
        <v>-93.869597311114759</v>
      </c>
      <c r="E72" s="78">
        <v>-97.510615774971654</v>
      </c>
      <c r="F72" s="77">
        <v>-95.016100580057696</v>
      </c>
      <c r="G72" s="77">
        <v>0</v>
      </c>
      <c r="H72" s="77">
        <v>0</v>
      </c>
      <c r="I72" s="77">
        <v>0</v>
      </c>
    </row>
    <row r="73" spans="1:9">
      <c r="A73" s="17" t="str">
        <f>HLOOKUP(INDICE!$F$2,Nombres!$C$3:$D$636,42,FALSE)</f>
        <v xml:space="preserve">  Depreciation</v>
      </c>
      <c r="B73" s="77">
        <v>-14.573453559711695</v>
      </c>
      <c r="C73" s="77">
        <v>-15.000151800244264</v>
      </c>
      <c r="D73" s="77">
        <v>-16.485487553632314</v>
      </c>
      <c r="E73" s="78">
        <v>-20.418492632742012</v>
      </c>
      <c r="F73" s="77">
        <v>-21.05799999964</v>
      </c>
      <c r="G73" s="77">
        <v>0</v>
      </c>
      <c r="H73" s="77">
        <v>0</v>
      </c>
      <c r="I73" s="77">
        <v>0</v>
      </c>
    </row>
    <row r="74" spans="1:9">
      <c r="A74" s="25" t="str">
        <f>HLOOKUP(INDICE!$F$2,Nombres!$C$3:$D$636,43,FALSE)</f>
        <v>Operating income</v>
      </c>
      <c r="B74" s="25">
        <f>+B68+B69</f>
        <v>131.60284209131257</v>
      </c>
      <c r="C74" s="25">
        <f t="shared" ref="C74:I74" si="10">+C68+C69</f>
        <v>156.42303105809324</v>
      </c>
      <c r="D74" s="25">
        <f t="shared" si="10"/>
        <v>201.86642705367879</v>
      </c>
      <c r="E74" s="73">
        <f t="shared" si="10"/>
        <v>306.37053641846558</v>
      </c>
      <c r="F74" s="74">
        <f t="shared" si="10"/>
        <v>241.48653622891189</v>
      </c>
      <c r="G74" s="74">
        <f t="shared" si="10"/>
        <v>0</v>
      </c>
      <c r="H74" s="74">
        <f t="shared" si="10"/>
        <v>0</v>
      </c>
      <c r="I74" s="74">
        <f t="shared" si="10"/>
        <v>0</v>
      </c>
    </row>
    <row r="75" spans="1:9">
      <c r="A75" s="17" t="str">
        <f>HLOOKUP(INDICE!$F$2,Nombres!$C$3:$D$636,44,FALSE)</f>
        <v>Impaiment on financial assets not measured at fair value through profit or loss</v>
      </c>
      <c r="B75" s="77">
        <v>-68.565029116769026</v>
      </c>
      <c r="C75" s="77">
        <v>-44.832082413705962</v>
      </c>
      <c r="D75" s="77">
        <v>-127.99240871961325</v>
      </c>
      <c r="E75" s="78">
        <v>-184.70341622414455</v>
      </c>
      <c r="F75" s="77">
        <v>-176.97300000289994</v>
      </c>
      <c r="G75" s="77">
        <v>0</v>
      </c>
      <c r="H75" s="77">
        <v>0</v>
      </c>
      <c r="I75" s="77">
        <v>0</v>
      </c>
    </row>
    <row r="76" spans="1:9">
      <c r="A76" s="17" t="str">
        <f>HLOOKUP(INDICE!$F$2,Nombres!$C$3:$D$636,45,FALSE)</f>
        <v>Provisions or reversal of provisions and other results</v>
      </c>
      <c r="B76" s="77">
        <v>-4.0531331438964342</v>
      </c>
      <c r="C76" s="77">
        <v>-9.5638625464414506</v>
      </c>
      <c r="D76" s="77">
        <v>4.0604899093132802</v>
      </c>
      <c r="E76" s="78">
        <v>3.0883363675745739</v>
      </c>
      <c r="F76" s="77">
        <v>-1.3819999998999988</v>
      </c>
      <c r="G76" s="77">
        <v>0</v>
      </c>
      <c r="H76" s="77">
        <v>0</v>
      </c>
      <c r="I76" s="77">
        <v>0</v>
      </c>
    </row>
    <row r="77" spans="1:9">
      <c r="A77" s="25" t="str">
        <f>HLOOKUP(INDICE!$F$2,Nombres!$C$3:$D$636,46,FALSE)</f>
        <v>Profit/(loss) before tax</v>
      </c>
      <c r="B77" s="25">
        <f>+B74+B75+B76</f>
        <v>58.98467983064711</v>
      </c>
      <c r="C77" s="25">
        <f t="shared" ref="C77:I77" si="11">+C74+C75+C76</f>
        <v>102.02708609794583</v>
      </c>
      <c r="D77" s="25">
        <f t="shared" si="11"/>
        <v>77.934508243378815</v>
      </c>
      <c r="E77" s="73">
        <f t="shared" si="11"/>
        <v>124.7554565618956</v>
      </c>
      <c r="F77" s="74">
        <f t="shared" si="11"/>
        <v>63.131536226111955</v>
      </c>
      <c r="G77" s="74">
        <f t="shared" si="11"/>
        <v>0</v>
      </c>
      <c r="H77" s="74">
        <f t="shared" si="11"/>
        <v>0</v>
      </c>
      <c r="I77" s="74">
        <f t="shared" si="11"/>
        <v>0</v>
      </c>
    </row>
    <row r="78" spans="1:9">
      <c r="A78" s="17" t="str">
        <f>HLOOKUP(INDICE!$F$2,Nombres!$C$3:$D$636,47,FALSE)</f>
        <v>Income tax</v>
      </c>
      <c r="B78" s="77">
        <v>-21.921229471013458</v>
      </c>
      <c r="C78" s="77">
        <v>-35.320627049951931</v>
      </c>
      <c r="D78" s="77">
        <v>-28.681627829138854</v>
      </c>
      <c r="E78" s="78">
        <v>-45.83459115091356</v>
      </c>
      <c r="F78" s="77">
        <v>-19.745160867899997</v>
      </c>
      <c r="G78" s="77">
        <v>0</v>
      </c>
      <c r="H78" s="77">
        <v>0</v>
      </c>
      <c r="I78" s="77">
        <v>0</v>
      </c>
    </row>
    <row r="79" spans="1:9">
      <c r="A79" s="25" t="str">
        <f>HLOOKUP(INDICE!$F$2,Nombres!$C$3:$D$636,48,FALSE)</f>
        <v>Profit/(loss) for the year</v>
      </c>
      <c r="B79" s="25">
        <f>+B77+B78</f>
        <v>37.063450359633649</v>
      </c>
      <c r="C79" s="25">
        <f t="shared" ref="C79:I79" si="12">+C77+C78</f>
        <v>66.706459047993889</v>
      </c>
      <c r="D79" s="25">
        <f t="shared" si="12"/>
        <v>49.252880414239961</v>
      </c>
      <c r="E79" s="73">
        <f t="shared" si="12"/>
        <v>78.920865410982032</v>
      </c>
      <c r="F79" s="74">
        <f t="shared" si="12"/>
        <v>43.386375358211957</v>
      </c>
      <c r="G79" s="74">
        <f t="shared" si="12"/>
        <v>0</v>
      </c>
      <c r="H79" s="74">
        <f t="shared" si="12"/>
        <v>0</v>
      </c>
      <c r="I79" s="74">
        <f t="shared" si="12"/>
        <v>0</v>
      </c>
    </row>
    <row r="80" spans="1:9">
      <c r="A80" s="17" t="str">
        <f>HLOOKUP(INDICE!$F$2,Nombres!$C$3:$D$636,49,FALSE)</f>
        <v>Non-controlling interests</v>
      </c>
      <c r="B80" s="77">
        <v>-13.584665254678926</v>
      </c>
      <c r="C80" s="77">
        <v>-22.618756072426802</v>
      </c>
      <c r="D80" s="77">
        <v>-17.151504606328118</v>
      </c>
      <c r="E80" s="78">
        <v>-26.976351964666112</v>
      </c>
      <c r="F80" s="77">
        <v>-16.19728105889989</v>
      </c>
      <c r="G80" s="77">
        <v>0</v>
      </c>
      <c r="H80" s="77">
        <v>0</v>
      </c>
      <c r="I80" s="77">
        <v>0</v>
      </c>
    </row>
    <row r="81" spans="1:9">
      <c r="A81" s="19" t="str">
        <f>HLOOKUP(INDICE!$F$2,Nombres!$C$3:$D$636,50,FALSE)</f>
        <v>Net attributable profit</v>
      </c>
      <c r="B81" s="19">
        <f>+B79+B80</f>
        <v>23.478785104954724</v>
      </c>
      <c r="C81" s="19">
        <f t="shared" ref="C81:I81" si="13">+C79+C80</f>
        <v>44.087702975567083</v>
      </c>
      <c r="D81" s="19">
        <f t="shared" si="13"/>
        <v>32.101375807911843</v>
      </c>
      <c r="E81" s="19">
        <f t="shared" si="13"/>
        <v>51.944513446315923</v>
      </c>
      <c r="F81" s="96">
        <f t="shared" si="13"/>
        <v>27.189094299312067</v>
      </c>
      <c r="G81" s="96">
        <f t="shared" si="13"/>
        <v>0</v>
      </c>
      <c r="H81" s="96">
        <f t="shared" si="13"/>
        <v>0</v>
      </c>
      <c r="I81" s="96">
        <f t="shared" si="13"/>
        <v>0</v>
      </c>
    </row>
    <row r="82" spans="1:9">
      <c r="A82" s="93"/>
      <c r="B82" s="101">
        <v>0</v>
      </c>
      <c r="C82" s="101">
        <v>-9.2370555648813024E-14</v>
      </c>
      <c r="D82" s="101">
        <v>5.6843418860808015E-14</v>
      </c>
      <c r="E82" s="101">
        <v>-6.3948846218409017E-14</v>
      </c>
      <c r="F82" s="101">
        <v>-8.1712414612411521E-14</v>
      </c>
      <c r="G82" s="101">
        <v>0</v>
      </c>
      <c r="H82" s="101">
        <v>0</v>
      </c>
      <c r="I82" s="101">
        <v>0</v>
      </c>
    </row>
    <row r="83" spans="1:9">
      <c r="A83" s="25"/>
      <c r="B83" s="25"/>
      <c r="C83" s="25"/>
      <c r="D83" s="25"/>
      <c r="E83" s="25"/>
      <c r="F83" s="74"/>
      <c r="G83" s="74"/>
      <c r="H83" s="74"/>
      <c r="I83" s="74"/>
    </row>
    <row r="84" spans="1:9" ht="17">
      <c r="A84" s="65" t="str">
        <f>HLOOKUP(INDICE!$F$2,Nombres!$C$3:$D$636,51,FALSE)</f>
        <v>Balance sheets</v>
      </c>
      <c r="B84" s="66"/>
      <c r="C84" s="66"/>
      <c r="D84" s="66"/>
      <c r="E84" s="66"/>
      <c r="F84" s="106"/>
      <c r="G84" s="106"/>
      <c r="H84" s="106"/>
      <c r="I84" s="106"/>
    </row>
    <row r="85" spans="1:9">
      <c r="A85" s="67" t="str">
        <f>HLOOKUP(INDICE!$F$2,Nombres!$C$3:$D$636,73,FALSE)</f>
        <v xml:space="preserve">(Constant million euros)    </v>
      </c>
      <c r="B85" s="62"/>
      <c r="C85" s="85"/>
      <c r="D85" s="85"/>
      <c r="E85" s="85"/>
      <c r="F85" s="107"/>
      <c r="G85" s="77"/>
      <c r="H85" s="77"/>
      <c r="I85" s="77"/>
    </row>
    <row r="86" spans="1:9">
      <c r="A86" s="62"/>
      <c r="B86" s="87">
        <f t="shared" ref="B86:I86" si="14">+B$30</f>
        <v>45747</v>
      </c>
      <c r="C86" s="87">
        <f t="shared" si="14"/>
        <v>45838</v>
      </c>
      <c r="D86" s="87">
        <f t="shared" si="14"/>
        <v>45930</v>
      </c>
      <c r="E86" s="100">
        <f t="shared" si="14"/>
        <v>46022</v>
      </c>
      <c r="F86" s="87">
        <f t="shared" si="14"/>
        <v>46112</v>
      </c>
      <c r="G86" s="87">
        <f t="shared" si="14"/>
        <v>46203</v>
      </c>
      <c r="H86" s="87">
        <f t="shared" si="14"/>
        <v>46295</v>
      </c>
      <c r="I86" s="87">
        <f t="shared" si="14"/>
        <v>46387</v>
      </c>
    </row>
    <row r="87" spans="1:9">
      <c r="A87" s="17" t="str">
        <f>HLOOKUP(INDICE!$F$2,Nombres!$C$3:$D$636,52,FALSE)</f>
        <v>Cash, cash balances at central banks and other demand deposits</v>
      </c>
      <c r="B87" s="77">
        <v>1520.8470599469551</v>
      </c>
      <c r="C87" s="77">
        <v>2074.8689757312754</v>
      </c>
      <c r="D87" s="77">
        <v>2515.6820488747217</v>
      </c>
      <c r="E87" s="78">
        <v>2967.7279044606817</v>
      </c>
      <c r="F87" s="77">
        <v>2478.6800000056446</v>
      </c>
      <c r="G87" s="77">
        <v>0</v>
      </c>
      <c r="H87" s="77">
        <v>0</v>
      </c>
      <c r="I87" s="77">
        <v>0</v>
      </c>
    </row>
    <row r="88" spans="1:9">
      <c r="A88" s="17" t="str">
        <f>HLOOKUP(INDICE!$F$2,Nombres!$C$3:$D$636,53,FALSE)</f>
        <v xml:space="preserve">Financial assets designated at fair value </v>
      </c>
      <c r="B88" s="86">
        <v>1767.5554526058613</v>
      </c>
      <c r="C88" s="86">
        <v>1962.2735113710339</v>
      </c>
      <c r="D88" s="86">
        <v>1893.192638305597</v>
      </c>
      <c r="E88" s="97">
        <v>2239.4750857422687</v>
      </c>
      <c r="F88" s="77">
        <v>2747.646000000077</v>
      </c>
      <c r="G88" s="77">
        <v>0</v>
      </c>
      <c r="H88" s="77">
        <v>0</v>
      </c>
      <c r="I88" s="77">
        <v>0</v>
      </c>
    </row>
    <row r="89" spans="1:9">
      <c r="A89" s="17" t="str">
        <f>HLOOKUP(INDICE!$F$2,Nombres!$C$3:$D$636,54,FALSE)</f>
        <v>Financial assets at amortized cost</v>
      </c>
      <c r="B89" s="77">
        <v>6049.5060235919173</v>
      </c>
      <c r="C89" s="77">
        <v>7162.5871454736052</v>
      </c>
      <c r="D89" s="77">
        <v>8460.7244529029158</v>
      </c>
      <c r="E89" s="78">
        <v>9642.818856942793</v>
      </c>
      <c r="F89" s="77">
        <v>9742.4050000199495</v>
      </c>
      <c r="G89" s="77">
        <v>0</v>
      </c>
      <c r="H89" s="77">
        <v>0</v>
      </c>
      <c r="I89" s="77">
        <v>0</v>
      </c>
    </row>
    <row r="90" spans="1:9">
      <c r="A90" s="17" t="str">
        <f>HLOOKUP(INDICE!$F$2,Nombres!$C$3:$D$636,55,FALSE)</f>
        <v xml:space="preserve">    of which loans and advances to customers</v>
      </c>
      <c r="B90" s="77">
        <v>5610.7807937908956</v>
      </c>
      <c r="C90" s="77">
        <v>6833.6221200928794</v>
      </c>
      <c r="D90" s="77">
        <v>7555.5551775616232</v>
      </c>
      <c r="E90" s="78">
        <v>8797.8945356820805</v>
      </c>
      <c r="F90" s="77">
        <v>9272.7780000039857</v>
      </c>
      <c r="G90" s="77">
        <v>0</v>
      </c>
      <c r="H90" s="77">
        <v>0</v>
      </c>
      <c r="I90" s="77">
        <v>0</v>
      </c>
    </row>
    <row r="91" spans="1:9" hidden="1">
      <c r="A91" s="17"/>
      <c r="B91" s="77"/>
      <c r="C91" s="77"/>
      <c r="D91" s="77"/>
      <c r="E91" s="78"/>
      <c r="F91" s="77"/>
      <c r="G91" s="77"/>
      <c r="H91" s="77"/>
      <c r="I91" s="77"/>
    </row>
    <row r="92" spans="1:9">
      <c r="A92" s="17" t="str">
        <f>HLOOKUP(INDICE!$F$2,Nombres!$C$3:$D$636,56,FALSE)</f>
        <v>Tangible assets</v>
      </c>
      <c r="B92" s="77">
        <v>701.89878157623377</v>
      </c>
      <c r="C92" s="77">
        <v>648.29650172994354</v>
      </c>
      <c r="D92" s="77">
        <v>625.01109094962624</v>
      </c>
      <c r="E92" s="78">
        <v>641.47685056817079</v>
      </c>
      <c r="F92" s="77">
        <v>739.94</v>
      </c>
      <c r="G92" s="77">
        <v>0</v>
      </c>
      <c r="H92" s="77">
        <v>0</v>
      </c>
      <c r="I92" s="77">
        <v>0</v>
      </c>
    </row>
    <row r="93" spans="1:9">
      <c r="A93" s="17" t="str">
        <f>HLOOKUP(INDICE!$F$2,Nombres!$C$3:$D$636,57,FALSE)</f>
        <v>Other assets</v>
      </c>
      <c r="B93" s="86">
        <f>+B94-B92-B89-B88-B87</f>
        <v>443.17411690168274</v>
      </c>
      <c r="C93" s="86">
        <f t="shared" ref="C93:I93" si="15">+C94-C92-C89-C88-C87</f>
        <v>419.37265634329151</v>
      </c>
      <c r="D93" s="86">
        <f t="shared" si="15"/>
        <v>522.90897154940376</v>
      </c>
      <c r="E93" s="97">
        <f t="shared" si="15"/>
        <v>554.55995010782453</v>
      </c>
      <c r="F93" s="77">
        <f t="shared" si="15"/>
        <v>558.68200000239631</v>
      </c>
      <c r="G93" s="77">
        <f t="shared" si="15"/>
        <v>0</v>
      </c>
      <c r="H93" s="77">
        <f t="shared" si="15"/>
        <v>0</v>
      </c>
      <c r="I93" s="77">
        <f t="shared" si="15"/>
        <v>0</v>
      </c>
    </row>
    <row r="94" spans="1:9">
      <c r="A94" s="19" t="str">
        <f>HLOOKUP(INDICE!$F$2,Nombres!$C$3:$D$636,58,FALSE)</f>
        <v>Total assets / Liabilities and equity</v>
      </c>
      <c r="B94" s="19">
        <v>10482.98143462265</v>
      </c>
      <c r="C94" s="19">
        <v>12267.398790649149</v>
      </c>
      <c r="D94" s="19">
        <v>14017.519202582265</v>
      </c>
      <c r="E94" s="19">
        <v>16046.058647821739</v>
      </c>
      <c r="F94" s="96">
        <v>16267.353000028068</v>
      </c>
      <c r="G94" s="96">
        <v>0</v>
      </c>
      <c r="H94" s="96">
        <v>0</v>
      </c>
      <c r="I94" s="96">
        <v>0</v>
      </c>
    </row>
    <row r="95" spans="1:9">
      <c r="A95" s="17" t="str">
        <f>HLOOKUP(INDICE!$F$2,Nombres!$C$3:$D$636,59,FALSE)</f>
        <v>Financial liabilities held for trading and designated at fair value through profit or loss</v>
      </c>
      <c r="B95" s="86">
        <v>7.881217875679301</v>
      </c>
      <c r="C95" s="86">
        <v>9.643860687042018</v>
      </c>
      <c r="D95" s="86">
        <v>46.240124006770223</v>
      </c>
      <c r="E95" s="97">
        <v>4.0147125478968961</v>
      </c>
      <c r="F95" s="77">
        <v>26.106000000000357</v>
      </c>
      <c r="G95" s="77">
        <v>0</v>
      </c>
      <c r="H95" s="77">
        <v>0</v>
      </c>
      <c r="I95" s="77">
        <v>0</v>
      </c>
    </row>
    <row r="96" spans="1:9">
      <c r="A96" s="17" t="str">
        <f>HLOOKUP(INDICE!$F$2,Nombres!$C$3:$D$636,60,FALSE)</f>
        <v>Deposits from central banks and credit institutions</v>
      </c>
      <c r="B96" s="86">
        <v>203.1456465976016</v>
      </c>
      <c r="C96" s="86">
        <v>224.21280546714456</v>
      </c>
      <c r="D96" s="86">
        <v>356.4565402174477</v>
      </c>
      <c r="E96" s="97">
        <v>778.79863772677629</v>
      </c>
      <c r="F96" s="77">
        <v>365.56800001991564</v>
      </c>
      <c r="G96" s="77">
        <v>0</v>
      </c>
      <c r="H96" s="77">
        <v>0</v>
      </c>
      <c r="I96" s="77">
        <v>0</v>
      </c>
    </row>
    <row r="97" spans="1:9">
      <c r="A97" s="17" t="str">
        <f>HLOOKUP(INDICE!$F$2,Nombres!$C$3:$D$636,61,FALSE)</f>
        <v>Deposits from customers</v>
      </c>
      <c r="B97" s="86">
        <v>6832.610582557576</v>
      </c>
      <c r="C97" s="86">
        <v>8139.720116554683</v>
      </c>
      <c r="D97" s="86">
        <v>9748.2238873664319</v>
      </c>
      <c r="E97" s="97">
        <v>10786.043270101689</v>
      </c>
      <c r="F97" s="77">
        <v>10965.94900000555</v>
      </c>
      <c r="G97" s="77">
        <v>0</v>
      </c>
      <c r="H97" s="77">
        <v>0</v>
      </c>
      <c r="I97" s="77">
        <v>0</v>
      </c>
    </row>
    <row r="98" spans="1:9">
      <c r="A98" s="17" t="str">
        <f>HLOOKUP(INDICE!$F$2,Nombres!$C$3:$D$636,62,FALSE)</f>
        <v>Debt certificates</v>
      </c>
      <c r="B98" s="77">
        <v>428.01373302144378</v>
      </c>
      <c r="C98" s="77">
        <v>617.63476183732007</v>
      </c>
      <c r="D98" s="77">
        <v>620.36104040751968</v>
      </c>
      <c r="E98" s="78">
        <v>782.7260917506544</v>
      </c>
      <c r="F98" s="77">
        <v>828.94171633900169</v>
      </c>
      <c r="G98" s="77">
        <v>0</v>
      </c>
      <c r="H98" s="77">
        <v>0</v>
      </c>
      <c r="I98" s="77">
        <v>0</v>
      </c>
    </row>
    <row r="99" spans="1:9" hidden="1">
      <c r="A99" s="17"/>
      <c r="B99" s="77"/>
      <c r="C99" s="77"/>
      <c r="D99" s="77"/>
      <c r="E99" s="78"/>
      <c r="F99" s="77"/>
      <c r="G99" s="77"/>
      <c r="H99" s="77"/>
      <c r="I99" s="77"/>
    </row>
    <row r="100" spans="1:9">
      <c r="A100" s="17" t="str">
        <f>HLOOKUP(INDICE!$F$2,Nombres!$C$3:$D$636,63,FALSE)</f>
        <v>Other liabilities</v>
      </c>
      <c r="B100" s="86">
        <f>+B94-B95-B96-B97-B98-B101</f>
        <v>1934.0021934341471</v>
      </c>
      <c r="C100" s="86">
        <f t="shared" ref="C100:I100" si="16">+C94-C95-C96-C97-C98-C101</f>
        <v>1986.7568787989708</v>
      </c>
      <c r="D100" s="86">
        <f t="shared" si="16"/>
        <v>1871.9513809830603</v>
      </c>
      <c r="E100" s="97">
        <f t="shared" si="16"/>
        <v>2189.5544566736107</v>
      </c>
      <c r="F100" s="77">
        <f t="shared" si="16"/>
        <v>2576.451143263213</v>
      </c>
      <c r="G100" s="77">
        <f t="shared" si="16"/>
        <v>0</v>
      </c>
      <c r="H100" s="77">
        <f t="shared" si="16"/>
        <v>0</v>
      </c>
      <c r="I100" s="77">
        <f t="shared" si="16"/>
        <v>0</v>
      </c>
    </row>
    <row r="101" spans="1:9">
      <c r="A101" s="17" t="str">
        <f>HLOOKUP(INDICE!$F$2,Nombres!$C$3:$D$636,282,FALSE)</f>
        <v>Allocated regulatory capital</v>
      </c>
      <c r="B101" s="86">
        <v>1077.3280611362029</v>
      </c>
      <c r="C101" s="86">
        <v>1289.430367303989</v>
      </c>
      <c r="D101" s="86">
        <v>1374.2862296010346</v>
      </c>
      <c r="E101" s="86">
        <v>1504.9214790211115</v>
      </c>
      <c r="F101" s="86">
        <v>1504.3371404003879</v>
      </c>
      <c r="G101" s="86">
        <v>0</v>
      </c>
      <c r="H101" s="86">
        <v>0</v>
      </c>
      <c r="I101" s="86">
        <v>0</v>
      </c>
    </row>
    <row r="102" spans="1:9">
      <c r="A102" s="93"/>
      <c r="B102" s="86"/>
      <c r="C102" s="86"/>
      <c r="D102" s="86"/>
      <c r="E102" s="86"/>
      <c r="F102" s="77"/>
      <c r="G102" s="77"/>
      <c r="H102" s="77"/>
      <c r="I102" s="77"/>
    </row>
    <row r="103" spans="1:9">
      <c r="A103" s="17"/>
      <c r="B103" s="86"/>
      <c r="C103" s="86"/>
      <c r="D103" s="86"/>
      <c r="E103" s="86"/>
      <c r="F103" s="77"/>
      <c r="G103" s="77"/>
      <c r="H103" s="77"/>
      <c r="I103" s="77"/>
    </row>
    <row r="104" spans="1:9" ht="17">
      <c r="A104" s="65" t="str">
        <f>HLOOKUP(INDICE!$F$2,Nombres!$C$3:$D$636,65,FALSE)</f>
        <v>Relevant business indicators</v>
      </c>
      <c r="B104" s="66"/>
      <c r="C104" s="66"/>
      <c r="D104" s="66"/>
      <c r="E104" s="66"/>
      <c r="F104" s="106"/>
      <c r="G104" s="106"/>
      <c r="H104" s="106"/>
      <c r="I104" s="106"/>
    </row>
    <row r="105" spans="1:9">
      <c r="A105" s="67" t="str">
        <f>HLOOKUP(INDICE!$F$2,Nombres!$C$3:$D$636,73,FALSE)</f>
        <v xml:space="preserve">(Constant million euros)    </v>
      </c>
      <c r="B105" s="62"/>
      <c r="C105" s="62"/>
      <c r="D105" s="62"/>
      <c r="E105" s="62"/>
      <c r="F105" s="107"/>
      <c r="G105" s="77"/>
      <c r="H105" s="77"/>
      <c r="I105" s="77"/>
    </row>
    <row r="106" spans="1:9">
      <c r="A106" s="62"/>
      <c r="B106" s="87">
        <f t="shared" ref="B106:I106" si="17">+B$30</f>
        <v>45747</v>
      </c>
      <c r="C106" s="87">
        <f t="shared" si="17"/>
        <v>45838</v>
      </c>
      <c r="D106" s="87">
        <f t="shared" si="17"/>
        <v>45930</v>
      </c>
      <c r="E106" s="100">
        <f t="shared" si="17"/>
        <v>46022</v>
      </c>
      <c r="F106" s="87">
        <f t="shared" si="17"/>
        <v>46112</v>
      </c>
      <c r="G106" s="87">
        <f t="shared" si="17"/>
        <v>46203</v>
      </c>
      <c r="H106" s="87">
        <f t="shared" si="17"/>
        <v>46295</v>
      </c>
      <c r="I106" s="87">
        <f t="shared" si="17"/>
        <v>46387</v>
      </c>
    </row>
    <row r="107" spans="1:9">
      <c r="A107" s="17" t="str">
        <f>HLOOKUP(INDICE!$F$2,Nombres!$C$3:$D$636,66,FALSE)</f>
        <v>Loans and advances to customers (gross) (*)</v>
      </c>
      <c r="B107" s="77">
        <v>5744.1064786511333</v>
      </c>
      <c r="C107" s="77">
        <v>7022.6329212412866</v>
      </c>
      <c r="D107" s="77">
        <v>7821.2189436872222</v>
      </c>
      <c r="E107" s="78">
        <v>9181.0232049932838</v>
      </c>
      <c r="F107" s="77">
        <v>9764.0200000039858</v>
      </c>
      <c r="G107" s="77">
        <v>0</v>
      </c>
      <c r="H107" s="77">
        <v>0</v>
      </c>
      <c r="I107" s="77">
        <v>0</v>
      </c>
    </row>
    <row r="108" spans="1:9">
      <c r="A108" s="17" t="str">
        <f>HLOOKUP(INDICE!$F$2,Nombres!$C$3:$D$636,67,FALSE)</f>
        <v>Customer deposits under management (*)</v>
      </c>
      <c r="B108" s="77">
        <v>6832.6105825575751</v>
      </c>
      <c r="C108" s="77">
        <v>8139.720116554684</v>
      </c>
      <c r="D108" s="77">
        <v>9748.2238873664319</v>
      </c>
      <c r="E108" s="78">
        <v>10786.043270101689</v>
      </c>
      <c r="F108" s="77">
        <v>10965.94900000555</v>
      </c>
      <c r="G108" s="77">
        <v>0</v>
      </c>
      <c r="H108" s="77">
        <v>0</v>
      </c>
      <c r="I108" s="77">
        <v>0</v>
      </c>
    </row>
    <row r="109" spans="1:9">
      <c r="A109" s="17" t="str">
        <f>HLOOKUP(INDICE!$F$2,Nombres!$C$3:$D$636,68,FALSE)</f>
        <v>Investment funds and managed portfolios</v>
      </c>
      <c r="B109" s="77">
        <v>2238.686493097433</v>
      </c>
      <c r="C109" s="77">
        <v>2147.9223391119272</v>
      </c>
      <c r="D109" s="77">
        <v>2498.668394302842</v>
      </c>
      <c r="E109" s="78">
        <v>2228.7438321277336</v>
      </c>
      <c r="F109" s="77">
        <v>2852.5747275654926</v>
      </c>
      <c r="G109" s="77">
        <v>0</v>
      </c>
      <c r="H109" s="77">
        <v>0</v>
      </c>
      <c r="I109" s="77">
        <v>0</v>
      </c>
    </row>
    <row r="110" spans="1:9">
      <c r="A110" s="17" t="str">
        <f>HLOOKUP(INDICE!$F$2,Nombres!$C$3:$D$636,69,FALSE)</f>
        <v>Pension funds</v>
      </c>
      <c r="B110" s="77">
        <v>0</v>
      </c>
      <c r="C110" s="77">
        <v>0</v>
      </c>
      <c r="D110" s="77">
        <v>0</v>
      </c>
      <c r="E110" s="78">
        <v>0</v>
      </c>
      <c r="F110" s="77">
        <v>0</v>
      </c>
      <c r="G110" s="77">
        <v>0</v>
      </c>
      <c r="H110" s="77">
        <v>0</v>
      </c>
      <c r="I110" s="77">
        <v>0</v>
      </c>
    </row>
    <row r="111" spans="1:9">
      <c r="A111" s="17" t="str">
        <f>HLOOKUP(INDICE!$F$2,Nombres!$C$3:$D$636,70,FALSE)</f>
        <v>Other off balance-sheet funds</v>
      </c>
      <c r="B111" s="77">
        <v>0</v>
      </c>
      <c r="C111" s="77">
        <v>0</v>
      </c>
      <c r="D111" s="77">
        <v>0</v>
      </c>
      <c r="E111" s="78">
        <v>0</v>
      </c>
      <c r="F111" s="77">
        <v>0</v>
      </c>
      <c r="G111" s="77">
        <v>0</v>
      </c>
      <c r="H111" s="77">
        <v>0</v>
      </c>
      <c r="I111" s="77">
        <v>0</v>
      </c>
    </row>
    <row r="112" spans="1:9">
      <c r="A112" s="93" t="str">
        <f>HLOOKUP(INDICE!$F$2,Nombres!$C$3:$D$636,71,FALSE)</f>
        <v xml:space="preserve">(*) Excluding repos. </v>
      </c>
      <c r="B112" s="86"/>
      <c r="C112" s="86"/>
      <c r="D112" s="86"/>
      <c r="E112" s="86"/>
      <c r="F112" s="86"/>
      <c r="G112" s="86"/>
      <c r="H112" s="86"/>
      <c r="I112" s="86"/>
    </row>
    <row r="113" spans="1:9">
      <c r="A113" s="93">
        <f>HLOOKUP(INDICE!$F$2,Nombres!$C$3:$D$636,72,FALSE)</f>
        <v>0</v>
      </c>
      <c r="B113" s="62"/>
      <c r="C113" s="62"/>
      <c r="D113" s="62"/>
      <c r="E113" s="62"/>
      <c r="F113" s="62"/>
      <c r="G113" s="62"/>
      <c r="H113" s="62"/>
      <c r="I113" s="62"/>
    </row>
    <row r="114" spans="1:9">
      <c r="A114" s="93"/>
      <c r="B114" s="86"/>
      <c r="C114" s="77"/>
      <c r="D114" s="77"/>
      <c r="E114" s="77"/>
      <c r="F114" s="77"/>
      <c r="G114" s="62"/>
      <c r="H114" s="62"/>
      <c r="I114" s="62"/>
    </row>
    <row r="115" spans="1:9" ht="17">
      <c r="A115" s="65" t="str">
        <f>HLOOKUP(INDICE!$F$2,Nombres!$C$3:$D$636,31,FALSE)</f>
        <v xml:space="preserve">Income statement  </v>
      </c>
      <c r="B115" s="66"/>
      <c r="C115" s="66"/>
      <c r="D115" s="66"/>
      <c r="E115" s="66"/>
      <c r="F115" s="66"/>
      <c r="G115" s="66"/>
      <c r="H115" s="66"/>
      <c r="I115" s="66"/>
    </row>
    <row r="116" spans="1:9">
      <c r="A116" s="67" t="str">
        <f>HLOOKUP(INDICE!$F$2,Nombres!$C$3:$D$636,78,FALSE)</f>
        <v>(Million Argentinian pesos)</v>
      </c>
      <c r="B116" s="62"/>
      <c r="C116" s="68"/>
      <c r="D116" s="68"/>
      <c r="E116" s="68"/>
      <c r="F116" s="62"/>
      <c r="G116" s="62"/>
      <c r="H116" s="62"/>
      <c r="I116" s="62"/>
    </row>
    <row r="117" spans="1:9">
      <c r="A117" s="69"/>
      <c r="B117" s="62"/>
      <c r="C117" s="68"/>
      <c r="D117" s="68"/>
      <c r="E117" s="68"/>
      <c r="F117" s="62"/>
      <c r="G117" s="62"/>
      <c r="H117" s="62"/>
      <c r="I117" s="62"/>
    </row>
    <row r="118" spans="1:9">
      <c r="A118" s="70"/>
      <c r="B118" s="301">
        <f>+B$6</f>
        <v>2025</v>
      </c>
      <c r="C118" s="301"/>
      <c r="D118" s="301"/>
      <c r="E118" s="302"/>
      <c r="F118" s="301">
        <f>+F$6</f>
        <v>2026</v>
      </c>
      <c r="G118" s="301"/>
      <c r="H118" s="301"/>
      <c r="I118" s="301"/>
    </row>
    <row r="119" spans="1:9">
      <c r="A119" s="70"/>
      <c r="B119" s="71" t="str">
        <f>+B$7</f>
        <v>1Q</v>
      </c>
      <c r="C119" s="71" t="str">
        <f t="shared" ref="C119:I119" si="18">+C$7</f>
        <v>2Q</v>
      </c>
      <c r="D119" s="71" t="str">
        <f t="shared" si="18"/>
        <v>3Q</v>
      </c>
      <c r="E119" s="72" t="str">
        <f t="shared" si="18"/>
        <v>4Q</v>
      </c>
      <c r="F119" s="71" t="str">
        <f t="shared" si="18"/>
        <v>1Q</v>
      </c>
      <c r="G119" s="71" t="str">
        <f t="shared" si="18"/>
        <v>2Q</v>
      </c>
      <c r="H119" s="71" t="str">
        <f t="shared" si="18"/>
        <v>3Q</v>
      </c>
      <c r="I119" s="71" t="str">
        <f t="shared" si="18"/>
        <v>4Q</v>
      </c>
    </row>
    <row r="120" spans="1:9">
      <c r="A120" s="25" t="str">
        <f>HLOOKUP(INDICE!$F$2,Nombres!$C$3:$D$636,33,FALSE)</f>
        <v>Net interest income</v>
      </c>
      <c r="B120" s="25">
        <v>529100.32518245874</v>
      </c>
      <c r="C120" s="25">
        <v>628466.9427840095</v>
      </c>
      <c r="D120" s="25">
        <v>673049.47311641998</v>
      </c>
      <c r="E120" s="73">
        <v>861261.56542571413</v>
      </c>
      <c r="F120" s="74">
        <v>864465.63118349027</v>
      </c>
      <c r="G120" s="74">
        <v>0</v>
      </c>
      <c r="H120" s="74">
        <v>0</v>
      </c>
      <c r="I120" s="74">
        <v>0</v>
      </c>
    </row>
    <row r="121" spans="1:9">
      <c r="A121" s="17" t="str">
        <f>HLOOKUP(INDICE!$F$2,Nombres!$C$3:$D$636,34,FALSE)</f>
        <v>Net fees and commissions</v>
      </c>
      <c r="B121" s="77">
        <v>103326.54835949812</v>
      </c>
      <c r="C121" s="77">
        <v>109107.89285226658</v>
      </c>
      <c r="D121" s="77">
        <v>159118.54467770204</v>
      </c>
      <c r="E121" s="78">
        <v>165176.02339762551</v>
      </c>
      <c r="F121" s="77">
        <v>177267.79912497633</v>
      </c>
      <c r="G121" s="77">
        <v>0</v>
      </c>
      <c r="H121" s="77">
        <v>0</v>
      </c>
      <c r="I121" s="77">
        <v>0</v>
      </c>
    </row>
    <row r="122" spans="1:9">
      <c r="A122" s="17" t="str">
        <f>HLOOKUP(INDICE!$F$2,Nombres!$C$3:$D$636,35,FALSE)</f>
        <v>Net trading income</v>
      </c>
      <c r="B122" s="77">
        <v>117665.26643103806</v>
      </c>
      <c r="C122" s="77">
        <v>97427.799851288684</v>
      </c>
      <c r="D122" s="77">
        <v>64928.051331670045</v>
      </c>
      <c r="E122" s="78">
        <v>134798.6893989309</v>
      </c>
      <c r="F122" s="77">
        <v>79780.086325542143</v>
      </c>
      <c r="G122" s="77">
        <v>0</v>
      </c>
      <c r="H122" s="77">
        <v>0</v>
      </c>
      <c r="I122" s="77">
        <v>0</v>
      </c>
    </row>
    <row r="123" spans="1:9">
      <c r="A123" s="17" t="str">
        <f>HLOOKUP(INDICE!$F$2,Nombres!$C$3:$D$636,36,FALSE)</f>
        <v>Other operating income and expenses</v>
      </c>
      <c r="B123" s="77">
        <v>-216083.88326675049</v>
      </c>
      <c r="C123" s="77">
        <v>-265520.90595151152</v>
      </c>
      <c r="D123" s="77">
        <v>-253796.19661138422</v>
      </c>
      <c r="E123" s="78">
        <v>-336755.99048782937</v>
      </c>
      <c r="F123" s="77">
        <v>-357116.32761425374</v>
      </c>
      <c r="G123" s="77">
        <v>0</v>
      </c>
      <c r="H123" s="77">
        <v>0</v>
      </c>
      <c r="I123" s="77">
        <v>0</v>
      </c>
    </row>
    <row r="124" spans="1:9">
      <c r="A124" s="25" t="str">
        <f>HLOOKUP(INDICE!$F$2,Nombres!$C$3:$D$636,37,FALSE)</f>
        <v>Gross income</v>
      </c>
      <c r="B124" s="25">
        <f>+SUM(B120:B123)</f>
        <v>534008.25670624443</v>
      </c>
      <c r="C124" s="25">
        <f t="shared" ref="C124:I124" si="19">+SUM(C120:C123)</f>
        <v>569481.72953605326</v>
      </c>
      <c r="D124" s="25">
        <f t="shared" si="19"/>
        <v>643299.87251440785</v>
      </c>
      <c r="E124" s="73">
        <f t="shared" si="19"/>
        <v>824480.28773444123</v>
      </c>
      <c r="F124" s="74">
        <f t="shared" si="19"/>
        <v>764397.18901975488</v>
      </c>
      <c r="G124" s="74">
        <f t="shared" si="19"/>
        <v>0</v>
      </c>
      <c r="H124" s="74">
        <f t="shared" si="19"/>
        <v>0</v>
      </c>
      <c r="I124" s="74">
        <f t="shared" si="19"/>
        <v>0</v>
      </c>
    </row>
    <row r="125" spans="1:9">
      <c r="A125" s="17" t="str">
        <f>HLOOKUP(INDICE!$F$2,Nombres!$C$3:$D$636,38,FALSE)</f>
        <v>Operating expenses</v>
      </c>
      <c r="B125" s="77">
        <v>-278941.81964067923</v>
      </c>
      <c r="C125" s="77">
        <v>-324567.45598515641</v>
      </c>
      <c r="D125" s="77">
        <v>-350903.28697946999</v>
      </c>
      <c r="E125" s="78">
        <v>-369211.14694827609</v>
      </c>
      <c r="F125" s="77">
        <v>-377081.05666854186</v>
      </c>
      <c r="G125" s="77">
        <v>0</v>
      </c>
      <c r="H125" s="77">
        <v>0</v>
      </c>
      <c r="I125" s="77">
        <v>0</v>
      </c>
    </row>
    <row r="126" spans="1:9">
      <c r="A126" s="17" t="str">
        <f>HLOOKUP(INDICE!$F$2,Nombres!$C$3:$D$636,39,FALSE)</f>
        <v xml:space="preserve">  Administration expenses</v>
      </c>
      <c r="B126" s="77">
        <v>-260045.42091546612</v>
      </c>
      <c r="C126" s="77">
        <v>-300276.66576989437</v>
      </c>
      <c r="D126" s="77">
        <v>-321120.17734124686</v>
      </c>
      <c r="E126" s="78">
        <v>-330708.20614828274</v>
      </c>
      <c r="F126" s="77">
        <v>-343306.49001037836</v>
      </c>
      <c r="G126" s="77">
        <v>0</v>
      </c>
      <c r="H126" s="77">
        <v>0</v>
      </c>
      <c r="I126" s="77">
        <v>0</v>
      </c>
    </row>
    <row r="127" spans="1:9">
      <c r="A127" s="79" t="str">
        <f>HLOOKUP(INDICE!$F$2,Nombres!$C$3:$D$636,40,FALSE)</f>
        <v xml:space="preserve">  Personnel expenses</v>
      </c>
      <c r="B127" s="77">
        <v>-124558.58747002625</v>
      </c>
      <c r="C127" s="77">
        <v>-152231.27192268849</v>
      </c>
      <c r="D127" s="77">
        <v>-168960.95341520981</v>
      </c>
      <c r="E127" s="78">
        <v>-169296.60353441298</v>
      </c>
      <c r="F127" s="77">
        <v>-190911.78858124017</v>
      </c>
      <c r="G127" s="77">
        <v>0</v>
      </c>
      <c r="H127" s="77">
        <v>0</v>
      </c>
      <c r="I127" s="77">
        <v>0</v>
      </c>
    </row>
    <row r="128" spans="1:9">
      <c r="A128" s="79" t="str">
        <f>HLOOKUP(INDICE!$F$2,Nombres!$C$3:$D$636,41,FALSE)</f>
        <v xml:space="preserve">  General and administrative expenses</v>
      </c>
      <c r="B128" s="77">
        <v>-135486.83344543987</v>
      </c>
      <c r="C128" s="77">
        <v>-148045.39384720585</v>
      </c>
      <c r="D128" s="77">
        <v>-152159.22392603708</v>
      </c>
      <c r="E128" s="78">
        <v>-161411.60261386979</v>
      </c>
      <c r="F128" s="77">
        <v>-152394.70142913819</v>
      </c>
      <c r="G128" s="77">
        <v>0</v>
      </c>
      <c r="H128" s="77">
        <v>0</v>
      </c>
      <c r="I128" s="77">
        <v>0</v>
      </c>
    </row>
    <row r="129" spans="1:9">
      <c r="A129" s="17" t="str">
        <f>HLOOKUP(INDICE!$F$2,Nombres!$C$3:$D$636,42,FALSE)</f>
        <v xml:space="preserve">  Depreciation</v>
      </c>
      <c r="B129" s="77">
        <v>-18896.398725213054</v>
      </c>
      <c r="C129" s="77">
        <v>-24290.790215262099</v>
      </c>
      <c r="D129" s="77">
        <v>-29783.109638223068</v>
      </c>
      <c r="E129" s="78">
        <v>-38502.940799993368</v>
      </c>
      <c r="F129" s="77">
        <v>-33774.566658163523</v>
      </c>
      <c r="G129" s="77">
        <v>0</v>
      </c>
      <c r="H129" s="77">
        <v>0</v>
      </c>
      <c r="I129" s="77">
        <v>0</v>
      </c>
    </row>
    <row r="130" spans="1:9">
      <c r="A130" s="25" t="str">
        <f>HLOOKUP(INDICE!$F$2,Nombres!$C$3:$D$636,43,FALSE)</f>
        <v>Operating income</v>
      </c>
      <c r="B130" s="25">
        <f>+B124+B125</f>
        <v>255066.4370655652</v>
      </c>
      <c r="C130" s="25">
        <f t="shared" ref="C130:I130" si="20">+C124+C125</f>
        <v>244914.27355089685</v>
      </c>
      <c r="D130" s="25">
        <f t="shared" si="20"/>
        <v>292396.58553493785</v>
      </c>
      <c r="E130" s="73">
        <f t="shared" si="20"/>
        <v>455269.14078616514</v>
      </c>
      <c r="F130" s="74">
        <f t="shared" si="20"/>
        <v>387316.13235121302</v>
      </c>
      <c r="G130" s="74">
        <f t="shared" si="20"/>
        <v>0</v>
      </c>
      <c r="H130" s="74">
        <f t="shared" si="20"/>
        <v>0</v>
      </c>
      <c r="I130" s="74">
        <f t="shared" si="20"/>
        <v>0</v>
      </c>
    </row>
    <row r="131" spans="1:9">
      <c r="A131" s="17" t="str">
        <f>HLOOKUP(INDICE!$F$2,Nombres!$C$3:$D$636,44,FALSE)</f>
        <v>Impaiment on financial assets not measured at fair value through profit or loss</v>
      </c>
      <c r="B131" s="77">
        <v>-108542.27016005976</v>
      </c>
      <c r="C131" s="77">
        <v>-71261.183340806369</v>
      </c>
      <c r="D131" s="77">
        <v>-206800.89066114597</v>
      </c>
      <c r="E131" s="78">
        <v>-300892.27518847788</v>
      </c>
      <c r="F131" s="77">
        <v>-283843.97309313813</v>
      </c>
      <c r="G131" s="77">
        <v>0</v>
      </c>
      <c r="H131" s="77">
        <v>0</v>
      </c>
      <c r="I131" s="77">
        <v>0</v>
      </c>
    </row>
    <row r="132" spans="1:9">
      <c r="A132" s="17" t="str">
        <f>HLOOKUP(INDICE!$F$2,Nombres!$C$3:$D$636,45,FALSE)</f>
        <v>Provisions or reversal of provisions and other results</v>
      </c>
      <c r="B132" s="77">
        <v>-6470.6061252062427</v>
      </c>
      <c r="C132" s="77">
        <v>-15258.253354291575</v>
      </c>
      <c r="D132" s="77">
        <v>6437.6252884663181</v>
      </c>
      <c r="E132" s="78">
        <v>5276.7167944060475</v>
      </c>
      <c r="F132" s="77">
        <v>-2216.5662037706543</v>
      </c>
      <c r="G132" s="77">
        <v>0</v>
      </c>
      <c r="H132" s="77">
        <v>0</v>
      </c>
      <c r="I132" s="77">
        <v>0</v>
      </c>
    </row>
    <row r="133" spans="1:9">
      <c r="A133" s="25" t="str">
        <f>HLOOKUP(INDICE!$F$2,Nombres!$C$3:$D$636,46,FALSE)</f>
        <v>Profit/(loss) before tax</v>
      </c>
      <c r="B133" s="25">
        <f>+B130+B131+B132</f>
        <v>140053.56078029919</v>
      </c>
      <c r="C133" s="25">
        <f t="shared" ref="C133:I133" si="21">+C130+C131+C132</f>
        <v>158394.8368557989</v>
      </c>
      <c r="D133" s="25">
        <f t="shared" si="21"/>
        <v>92033.320162258198</v>
      </c>
      <c r="E133" s="73">
        <f t="shared" si="21"/>
        <v>159653.58239209329</v>
      </c>
      <c r="F133" s="74">
        <f t="shared" si="21"/>
        <v>101255.59305430423</v>
      </c>
      <c r="G133" s="74">
        <f t="shared" si="21"/>
        <v>0</v>
      </c>
      <c r="H133" s="74">
        <f t="shared" si="21"/>
        <v>0</v>
      </c>
      <c r="I133" s="74">
        <f t="shared" si="21"/>
        <v>0</v>
      </c>
    </row>
    <row r="134" spans="1:9">
      <c r="A134" s="17" t="str">
        <f>HLOOKUP(INDICE!$F$2,Nombres!$C$3:$D$636,47,FALSE)</f>
        <v>Income tax</v>
      </c>
      <c r="B134" s="77">
        <v>-49556.634469059078</v>
      </c>
      <c r="C134" s="77">
        <v>-55153.921584210504</v>
      </c>
      <c r="D134" s="77">
        <v>-35367.03184401404</v>
      </c>
      <c r="E134" s="78">
        <v>-61002.575152881196</v>
      </c>
      <c r="F134" s="77">
        <v>-31668.926389991997</v>
      </c>
      <c r="G134" s="77">
        <v>0</v>
      </c>
      <c r="H134" s="77">
        <v>0</v>
      </c>
      <c r="I134" s="77">
        <v>0</v>
      </c>
    </row>
    <row r="135" spans="1:9">
      <c r="A135" s="25" t="str">
        <f>HLOOKUP(INDICE!$F$2,Nombres!$C$3:$D$636,48,FALSE)</f>
        <v>Profit/(loss) for the year</v>
      </c>
      <c r="B135" s="25">
        <f>+B133+B134</f>
        <v>90496.926311240109</v>
      </c>
      <c r="C135" s="25">
        <f t="shared" ref="C135:I135" si="22">+C133+C134</f>
        <v>103240.9152715884</v>
      </c>
      <c r="D135" s="25">
        <f t="shared" si="22"/>
        <v>56666.288318244158</v>
      </c>
      <c r="E135" s="73">
        <f t="shared" si="22"/>
        <v>98651.007239212093</v>
      </c>
      <c r="F135" s="74">
        <f t="shared" si="22"/>
        <v>69586.666664312244</v>
      </c>
      <c r="G135" s="74">
        <f t="shared" si="22"/>
        <v>0</v>
      </c>
      <c r="H135" s="74">
        <f t="shared" si="22"/>
        <v>0</v>
      </c>
      <c r="I135" s="74">
        <f t="shared" si="22"/>
        <v>0</v>
      </c>
    </row>
    <row r="136" spans="1:9">
      <c r="A136" s="17" t="str">
        <f>HLOOKUP(INDICE!$F$2,Nombres!$C$3:$D$636,49,FALSE)</f>
        <v>Non-controlling interests</v>
      </c>
      <c r="B136" s="77">
        <v>-32192.952355459816</v>
      </c>
      <c r="C136" s="77">
        <v>-34973.255372696185</v>
      </c>
      <c r="D136" s="77">
        <v>-20068.444665004266</v>
      </c>
      <c r="E136" s="78">
        <v>-33942.530972308727</v>
      </c>
      <c r="F136" s="77">
        <v>-25978.54254032559</v>
      </c>
      <c r="G136" s="77">
        <v>0</v>
      </c>
      <c r="H136" s="77">
        <v>0</v>
      </c>
      <c r="I136" s="77">
        <v>0</v>
      </c>
    </row>
    <row r="137" spans="1:9">
      <c r="A137" s="19" t="str">
        <f>HLOOKUP(INDICE!$F$2,Nombres!$C$3:$D$636,50,FALSE)</f>
        <v>Net attributable profit</v>
      </c>
      <c r="B137" s="19">
        <f>+B135+B136</f>
        <v>58303.973955780297</v>
      </c>
      <c r="C137" s="19">
        <f t="shared" ref="C137:I137" si="23">+C135+C136</f>
        <v>68267.65989889222</v>
      </c>
      <c r="D137" s="19">
        <f t="shared" si="23"/>
        <v>36597.843653239892</v>
      </c>
      <c r="E137" s="19">
        <f t="shared" si="23"/>
        <v>64708.476266903366</v>
      </c>
      <c r="F137" s="96">
        <f t="shared" si="23"/>
        <v>43608.12412398665</v>
      </c>
      <c r="G137" s="96">
        <f t="shared" si="23"/>
        <v>0</v>
      </c>
      <c r="H137" s="96">
        <f t="shared" si="23"/>
        <v>0</v>
      </c>
      <c r="I137" s="96">
        <f t="shared" si="23"/>
        <v>0</v>
      </c>
    </row>
    <row r="138" spans="1:9">
      <c r="A138" s="93"/>
      <c r="B138" s="101">
        <v>-1.2369127944111824E-10</v>
      </c>
      <c r="C138" s="101">
        <v>0</v>
      </c>
      <c r="D138" s="101">
        <v>1.0913936421275139E-10</v>
      </c>
      <c r="E138" s="101">
        <v>9.4587448984384537E-11</v>
      </c>
      <c r="F138" s="101">
        <v>-2.255546860396862E-10</v>
      </c>
      <c r="G138" s="101">
        <v>0</v>
      </c>
      <c r="H138" s="101">
        <v>0</v>
      </c>
      <c r="I138" s="101">
        <v>0</v>
      </c>
    </row>
    <row r="139" spans="1:9">
      <c r="A139" s="25"/>
      <c r="B139" s="25"/>
      <c r="C139" s="25"/>
      <c r="D139" s="25"/>
      <c r="E139" s="25"/>
      <c r="F139" s="74"/>
      <c r="G139" s="74"/>
      <c r="H139" s="74"/>
      <c r="I139" s="74"/>
    </row>
    <row r="140" spans="1:9" ht="17">
      <c r="A140" s="65" t="str">
        <f>HLOOKUP(INDICE!$F$2,Nombres!$C$3:$D$636,51,FALSE)</f>
        <v>Balance sheets</v>
      </c>
      <c r="B140" s="66"/>
      <c r="C140" s="66"/>
      <c r="D140" s="66"/>
      <c r="E140" s="66"/>
      <c r="F140" s="106"/>
      <c r="G140" s="106"/>
      <c r="H140" s="106"/>
      <c r="I140" s="106"/>
    </row>
    <row r="141" spans="1:9">
      <c r="A141" s="67" t="str">
        <f>HLOOKUP(INDICE!$F$2,Nombres!$C$3:$D$636,78,FALSE)</f>
        <v>(Million Argentinian pesos)</v>
      </c>
      <c r="B141" s="62"/>
      <c r="C141" s="85"/>
      <c r="D141" s="85"/>
      <c r="E141" s="85"/>
      <c r="F141" s="107"/>
      <c r="G141" s="77"/>
      <c r="H141" s="77"/>
      <c r="I141" s="77"/>
    </row>
    <row r="142" spans="1:9">
      <c r="A142" s="62"/>
      <c r="B142" s="87">
        <f t="shared" ref="B142:I142" si="24">+B$30</f>
        <v>45747</v>
      </c>
      <c r="C142" s="87">
        <f t="shared" si="24"/>
        <v>45838</v>
      </c>
      <c r="D142" s="87">
        <f t="shared" si="24"/>
        <v>45930</v>
      </c>
      <c r="E142" s="100">
        <f t="shared" si="24"/>
        <v>46022</v>
      </c>
      <c r="F142" s="87">
        <f t="shared" si="24"/>
        <v>46112</v>
      </c>
      <c r="G142" s="87">
        <f t="shared" si="24"/>
        <v>46203</v>
      </c>
      <c r="H142" s="87">
        <f t="shared" si="24"/>
        <v>46295</v>
      </c>
      <c r="I142" s="87">
        <f t="shared" si="24"/>
        <v>46387</v>
      </c>
    </row>
    <row r="143" spans="1:9">
      <c r="A143" s="17" t="str">
        <f>HLOOKUP(INDICE!$F$2,Nombres!$C$3:$D$636,52,FALSE)</f>
        <v>Cash, cash balances at central banks and other demand deposits</v>
      </c>
      <c r="B143" s="77">
        <v>2439260.632725263</v>
      </c>
      <c r="C143" s="77">
        <v>3327846.9241613382</v>
      </c>
      <c r="D143" s="77">
        <v>4034859.4857971896</v>
      </c>
      <c r="E143" s="78">
        <v>4759888.1154056797</v>
      </c>
      <c r="F143" s="77">
        <v>3975512.5313837305</v>
      </c>
      <c r="G143" s="77">
        <v>0</v>
      </c>
      <c r="H143" s="77">
        <v>0</v>
      </c>
      <c r="I143" s="77">
        <v>0</v>
      </c>
    </row>
    <row r="144" spans="1:9">
      <c r="A144" s="17" t="str">
        <f>HLOOKUP(INDICE!$F$2,Nombres!$C$3:$D$636,53,FALSE)</f>
        <v xml:space="preserve">Financial assets designated at fair value </v>
      </c>
      <c r="B144" s="86">
        <v>2834952.0114473188</v>
      </c>
      <c r="C144" s="86">
        <v>3147256.9813126884</v>
      </c>
      <c r="D144" s="86">
        <v>3036459.3484799117</v>
      </c>
      <c r="E144" s="97">
        <v>3591855.8535469552</v>
      </c>
      <c r="F144" s="77">
        <v>4406902.506488055</v>
      </c>
      <c r="G144" s="77">
        <v>0</v>
      </c>
      <c r="H144" s="77">
        <v>0</v>
      </c>
      <c r="I144" s="77">
        <v>0</v>
      </c>
    </row>
    <row r="145" spans="1:9">
      <c r="A145" s="17" t="str">
        <f>HLOOKUP(INDICE!$F$2,Nombres!$C$3:$D$636,54,FALSE)</f>
        <v>Financial assets at amortized cost</v>
      </c>
      <c r="B145" s="77">
        <v>9702699.4228445198</v>
      </c>
      <c r="C145" s="77">
        <v>11487951.229643801</v>
      </c>
      <c r="D145" s="77">
        <v>13570011.49282025</v>
      </c>
      <c r="E145" s="78">
        <v>15465952.524550207</v>
      </c>
      <c r="F145" s="77">
        <v>15625677.039112195</v>
      </c>
      <c r="G145" s="77">
        <v>0</v>
      </c>
      <c r="H145" s="77">
        <v>0</v>
      </c>
      <c r="I145" s="77">
        <v>0</v>
      </c>
    </row>
    <row r="146" spans="1:9">
      <c r="A146" s="17" t="str">
        <f>HLOOKUP(INDICE!$F$2,Nombres!$C$3:$D$636,55,FALSE)</f>
        <v xml:space="preserve">    of which loans and advances to customers</v>
      </c>
      <c r="B146" s="77">
        <v>8999035.5174980462</v>
      </c>
      <c r="C146" s="77">
        <v>10960329.842137117</v>
      </c>
      <c r="D146" s="77">
        <v>12118225.946830189</v>
      </c>
      <c r="E146" s="78">
        <v>14110792.831796324</v>
      </c>
      <c r="F146" s="77">
        <v>14872450.312130354</v>
      </c>
      <c r="G146" s="77">
        <v>0</v>
      </c>
      <c r="H146" s="77">
        <v>0</v>
      </c>
      <c r="I146" s="77">
        <v>0</v>
      </c>
    </row>
    <row r="147" spans="1:9" hidden="1">
      <c r="A147" s="17"/>
      <c r="B147" s="77"/>
      <c r="C147" s="77"/>
      <c r="D147" s="77"/>
      <c r="E147" s="78"/>
      <c r="F147" s="77"/>
      <c r="G147" s="77"/>
      <c r="H147" s="77"/>
      <c r="I147" s="77"/>
    </row>
    <row r="148" spans="1:9">
      <c r="A148" s="17" t="str">
        <f>HLOOKUP(INDICE!$F$2,Nombres!$C$3:$D$636,56,FALSE)</f>
        <v>Tangible assets</v>
      </c>
      <c r="B148" s="77">
        <v>847864.16052948369</v>
      </c>
      <c r="C148" s="77">
        <v>922505.96657789336</v>
      </c>
      <c r="D148" s="77">
        <v>987071.8393219281</v>
      </c>
      <c r="E148" s="78">
        <v>1085981.8117878358</v>
      </c>
      <c r="F148" s="77">
        <v>1186777.132371011</v>
      </c>
      <c r="G148" s="77">
        <v>0</v>
      </c>
      <c r="H148" s="77">
        <v>0</v>
      </c>
      <c r="I148" s="77">
        <v>0</v>
      </c>
    </row>
    <row r="149" spans="1:9">
      <c r="A149" s="17" t="str">
        <f>HLOOKUP(INDICE!$F$2,Nombres!$C$3:$D$636,57,FALSE)</f>
        <v>Other assets</v>
      </c>
      <c r="B149" s="86">
        <f>+B150-B148-B145-B144-B143</f>
        <v>684020.83702484611</v>
      </c>
      <c r="C149" s="86">
        <f t="shared" ref="C149:H149" si="25">+C150-C148-C145-C144-C143</f>
        <v>661579.70616087038</v>
      </c>
      <c r="D149" s="86">
        <f t="shared" si="25"/>
        <v>837234.43362160539</v>
      </c>
      <c r="E149" s="97">
        <f t="shared" si="25"/>
        <v>796737.17008382361</v>
      </c>
      <c r="F149" s="77">
        <f t="shared" si="25"/>
        <v>896060.52094785124</v>
      </c>
      <c r="G149" s="77">
        <f t="shared" si="25"/>
        <v>0</v>
      </c>
      <c r="H149" s="77">
        <f t="shared" si="25"/>
        <v>0</v>
      </c>
      <c r="I149" s="77">
        <f>+I150-I148-I145-I144-I143</f>
        <v>0</v>
      </c>
    </row>
    <row r="150" spans="1:9">
      <c r="A150" s="19" t="str">
        <f>HLOOKUP(INDICE!$F$2,Nombres!$C$3:$D$636,58,FALSE)</f>
        <v>Total assets / Liabilities and equity</v>
      </c>
      <c r="B150" s="19">
        <v>16508797.064571431</v>
      </c>
      <c r="C150" s="19">
        <v>19547140.807856593</v>
      </c>
      <c r="D150" s="19">
        <v>22465636.600040887</v>
      </c>
      <c r="E150" s="19">
        <v>25700415.475374501</v>
      </c>
      <c r="F150" s="96">
        <v>26090929.730302844</v>
      </c>
      <c r="G150" s="96">
        <v>0</v>
      </c>
      <c r="H150" s="96">
        <v>0</v>
      </c>
      <c r="I150" s="96">
        <v>0</v>
      </c>
    </row>
    <row r="151" spans="1:9">
      <c r="A151" s="17" t="str">
        <f>HLOOKUP(INDICE!$F$2,Nombres!$C$3:$D$636,59,FALSE)</f>
        <v>Financial liabilities held for trading and designated at fair value through profit or loss</v>
      </c>
      <c r="B151" s="86">
        <v>12640.550788023129</v>
      </c>
      <c r="C151" s="86">
        <v>15467.623498058298</v>
      </c>
      <c r="D151" s="86">
        <v>74163.745397241291</v>
      </c>
      <c r="E151" s="97">
        <v>6439.1289089480151</v>
      </c>
      <c r="F151" s="77">
        <v>41870.96766991655</v>
      </c>
      <c r="G151" s="77">
        <v>0</v>
      </c>
      <c r="H151" s="77">
        <v>0</v>
      </c>
      <c r="I151" s="77">
        <v>0</v>
      </c>
    </row>
    <row r="152" spans="1:9">
      <c r="A152" s="17" t="str">
        <f>HLOOKUP(INDICE!$F$2,Nombres!$C$3:$D$636,60,FALSE)</f>
        <v>Deposits from central banks and credit institutions</v>
      </c>
      <c r="B152" s="86">
        <v>325821.83409838157</v>
      </c>
      <c r="C152" s="86">
        <v>359611.09051160543</v>
      </c>
      <c r="D152" s="86">
        <v>571714.55876713619</v>
      </c>
      <c r="E152" s="97">
        <v>1249101.8379542038</v>
      </c>
      <c r="F152" s="77">
        <v>586328.27357656206</v>
      </c>
      <c r="G152" s="77">
        <v>0</v>
      </c>
      <c r="H152" s="77">
        <v>0</v>
      </c>
      <c r="I152" s="77">
        <v>0</v>
      </c>
    </row>
    <row r="153" spans="1:9">
      <c r="A153" s="17" t="str">
        <f>HLOOKUP(INDICE!$F$2,Nombres!$C$3:$D$636,61,FALSE)</f>
        <v>Deposits from customers</v>
      </c>
      <c r="B153" s="86">
        <v>10958707.454355087</v>
      </c>
      <c r="C153" s="86">
        <v>13055158.118533123</v>
      </c>
      <c r="D153" s="86">
        <v>15635009.85317637</v>
      </c>
      <c r="E153" s="97">
        <v>17299550.641566787</v>
      </c>
      <c r="F153" s="77">
        <v>17588098.370075069</v>
      </c>
      <c r="G153" s="77">
        <v>0</v>
      </c>
      <c r="H153" s="77">
        <v>0</v>
      </c>
      <c r="I153" s="77">
        <v>0</v>
      </c>
    </row>
    <row r="154" spans="1:9">
      <c r="A154" s="17" t="str">
        <f>HLOOKUP(INDICE!$F$2,Nombres!$C$3:$D$636,62,FALSE)</f>
        <v>Debt certificates</v>
      </c>
      <c r="B154" s="77">
        <v>693833.24254556757</v>
      </c>
      <c r="C154" s="77">
        <v>994100.27950087644</v>
      </c>
      <c r="D154" s="77">
        <v>995459.08345558145</v>
      </c>
      <c r="E154" s="78">
        <v>1253689.1257002577</v>
      </c>
      <c r="F154" s="77">
        <v>1329525.4656046499</v>
      </c>
      <c r="G154" s="77">
        <v>0</v>
      </c>
      <c r="H154" s="77">
        <v>0</v>
      </c>
      <c r="I154" s="77">
        <v>0</v>
      </c>
    </row>
    <row r="155" spans="1:9" hidden="1">
      <c r="A155" s="17"/>
      <c r="B155" s="77"/>
      <c r="C155" s="77"/>
      <c r="D155" s="77"/>
      <c r="E155" s="78"/>
      <c r="F155" s="77"/>
      <c r="G155" s="77"/>
      <c r="H155" s="77"/>
      <c r="I155" s="77"/>
    </row>
    <row r="156" spans="1:9">
      <c r="A156" s="17" t="str">
        <f>HLOOKUP(INDICE!$F$2,Nombres!$C$3:$D$636,63,FALSE)</f>
        <v>Other liabilities</v>
      </c>
      <c r="B156" s="86">
        <f>+B150-B151-B152-B153-B154-B157</f>
        <v>2768685.9266030146</v>
      </c>
      <c r="C156" s="86">
        <f t="shared" ref="C156:I156" si="26">+C150-C151-C152-C153-C154-C157</f>
        <v>3044651.3344819592</v>
      </c>
      <c r="D156" s="86">
        <f t="shared" si="26"/>
        <v>2983731.8629304464</v>
      </c>
      <c r="E156" s="97">
        <f t="shared" si="26"/>
        <v>3482855.0163531769</v>
      </c>
      <c r="F156" s="77">
        <f t="shared" si="26"/>
        <v>4132325.9987241356</v>
      </c>
      <c r="G156" s="77">
        <f t="shared" si="26"/>
        <v>0</v>
      </c>
      <c r="H156" s="77">
        <f t="shared" si="26"/>
        <v>0</v>
      </c>
      <c r="I156" s="77">
        <f t="shared" si="26"/>
        <v>0</v>
      </c>
    </row>
    <row r="157" spans="1:9">
      <c r="A157" s="17" t="str">
        <f>HLOOKUP(INDICE!$F$2,Nombres!$C$3:$D$636,282,FALSE)</f>
        <v>Allocated regulatory capital</v>
      </c>
      <c r="B157" s="86">
        <v>1749108.0561813572</v>
      </c>
      <c r="C157" s="86">
        <v>2078152.3613309693</v>
      </c>
      <c r="D157" s="86">
        <v>2205557.4963141126</v>
      </c>
      <c r="E157" s="86">
        <v>2408779.724891128</v>
      </c>
      <c r="F157" s="86">
        <v>2412780.6546525126</v>
      </c>
      <c r="G157" s="86">
        <v>0</v>
      </c>
      <c r="H157" s="86">
        <v>0</v>
      </c>
      <c r="I157" s="86">
        <v>0</v>
      </c>
    </row>
    <row r="158" spans="1:9">
      <c r="A158" s="93"/>
      <c r="B158" s="86"/>
      <c r="C158" s="86"/>
      <c r="D158" s="86"/>
      <c r="E158" s="86"/>
      <c r="F158" s="77"/>
      <c r="G158" s="77"/>
      <c r="H158" s="77"/>
      <c r="I158" s="77"/>
    </row>
    <row r="159" spans="1:9">
      <c r="A159" s="17"/>
      <c r="B159" s="86"/>
      <c r="C159" s="86"/>
      <c r="D159" s="86"/>
      <c r="E159" s="86"/>
      <c r="F159" s="77"/>
      <c r="G159" s="77"/>
      <c r="H159" s="77"/>
      <c r="I159" s="77"/>
    </row>
    <row r="160" spans="1:9" ht="17">
      <c r="A160" s="65" t="str">
        <f>HLOOKUP(INDICE!$F$2,Nombres!$C$3:$D$636,65,FALSE)</f>
        <v>Relevant business indicators</v>
      </c>
      <c r="B160" s="66"/>
      <c r="C160" s="66"/>
      <c r="D160" s="66"/>
      <c r="E160" s="66"/>
      <c r="F160" s="106"/>
      <c r="G160" s="106"/>
      <c r="H160" s="106"/>
      <c r="I160" s="106"/>
    </row>
    <row r="161" spans="1:15">
      <c r="A161" s="67" t="str">
        <f>HLOOKUP(INDICE!$F$2,Nombres!$C$3:$D$636,78,FALSE)</f>
        <v>(Million Argentinian pesos)</v>
      </c>
      <c r="B161" s="62"/>
      <c r="C161" s="62"/>
      <c r="D161" s="62"/>
      <c r="E161" s="62"/>
      <c r="F161" s="107"/>
      <c r="G161" s="77"/>
      <c r="H161" s="77"/>
      <c r="I161" s="77"/>
    </row>
    <row r="162" spans="1:15" ht="15.75" customHeight="1">
      <c r="A162" s="62"/>
      <c r="B162" s="87">
        <f t="shared" ref="B162:I162" si="27">+B$30</f>
        <v>45747</v>
      </c>
      <c r="C162" s="87">
        <f t="shared" si="27"/>
        <v>45838</v>
      </c>
      <c r="D162" s="87">
        <f t="shared" si="27"/>
        <v>45930</v>
      </c>
      <c r="E162" s="100">
        <f t="shared" si="27"/>
        <v>46022</v>
      </c>
      <c r="F162" s="87">
        <f t="shared" si="27"/>
        <v>46112</v>
      </c>
      <c r="G162" s="87">
        <f t="shared" si="27"/>
        <v>46203</v>
      </c>
      <c r="H162" s="87">
        <f t="shared" si="27"/>
        <v>46295</v>
      </c>
      <c r="I162" s="87">
        <f t="shared" si="27"/>
        <v>46387</v>
      </c>
    </row>
    <row r="163" spans="1:15" ht="15.75" customHeight="1">
      <c r="A163" s="17" t="str">
        <f>HLOOKUP(INDICE!$F$2,Nombres!$C$3:$D$636,66,FALSE)</f>
        <v>Loans and advances to customers (gross) (*)</v>
      </c>
      <c r="B163" s="77">
        <v>9212874.3070618417</v>
      </c>
      <c r="C163" s="77">
        <v>11263481.038955851</v>
      </c>
      <c r="D163" s="77">
        <v>12544319.525414156</v>
      </c>
      <c r="E163" s="78">
        <v>14725286.363020841</v>
      </c>
      <c r="F163" s="77">
        <v>15660344.968535198</v>
      </c>
      <c r="G163" s="77">
        <v>0</v>
      </c>
      <c r="H163" s="77">
        <v>0</v>
      </c>
      <c r="I163" s="77">
        <v>0</v>
      </c>
    </row>
    <row r="164" spans="1:15" ht="15.75" customHeight="1">
      <c r="A164" s="17" t="str">
        <f>HLOOKUP(INDICE!$F$2,Nombres!$C$3:$D$636,67,FALSE)</f>
        <v>Customer deposits under management (*)</v>
      </c>
      <c r="B164" s="77">
        <v>10958707.454355089</v>
      </c>
      <c r="C164" s="77">
        <v>13055158.118533121</v>
      </c>
      <c r="D164" s="77">
        <v>15635009.853176372</v>
      </c>
      <c r="E164" s="78">
        <v>17299550.641566787</v>
      </c>
      <c r="F164" s="77">
        <v>17588098.370075069</v>
      </c>
      <c r="G164" s="77">
        <v>0</v>
      </c>
      <c r="H164" s="77">
        <v>0</v>
      </c>
      <c r="I164" s="77">
        <v>0</v>
      </c>
    </row>
    <row r="165" spans="1:15" ht="15.75" customHeight="1">
      <c r="A165" s="17" t="str">
        <f>HLOOKUP(INDICE!$F$2,Nombres!$C$3:$D$636,68,FALSE)</f>
        <v>Investment funds and managed portfolios</v>
      </c>
      <c r="B165" s="77">
        <v>3590591.04326822</v>
      </c>
      <c r="C165" s="77">
        <v>3445015.9663849594</v>
      </c>
      <c r="D165" s="77">
        <v>4007571.5757180401</v>
      </c>
      <c r="E165" s="78">
        <v>3574644.1790984813</v>
      </c>
      <c r="F165" s="77">
        <v>4575195.9010922424</v>
      </c>
      <c r="G165" s="77">
        <v>0</v>
      </c>
      <c r="H165" s="77">
        <v>0</v>
      </c>
      <c r="I165" s="77">
        <v>0</v>
      </c>
    </row>
    <row r="166" spans="1:15" ht="15.75" customHeight="1">
      <c r="A166" s="17" t="str">
        <f>HLOOKUP(INDICE!$F$2,Nombres!$C$3:$D$636,69,FALSE)</f>
        <v>Pension funds</v>
      </c>
      <c r="B166" s="77">
        <v>0</v>
      </c>
      <c r="C166" s="77">
        <v>0</v>
      </c>
      <c r="D166" s="77">
        <v>0</v>
      </c>
      <c r="E166" s="78">
        <v>0</v>
      </c>
      <c r="F166" s="77">
        <v>0</v>
      </c>
      <c r="G166" s="77">
        <v>0</v>
      </c>
      <c r="H166" s="77">
        <v>0</v>
      </c>
      <c r="I166" s="77">
        <v>0</v>
      </c>
    </row>
    <row r="167" spans="1:15">
      <c r="A167" s="17" t="str">
        <f>HLOOKUP(INDICE!$F$2,Nombres!$C$3:$D$636,70,FALSE)</f>
        <v>Other off balance-sheet funds</v>
      </c>
      <c r="B167" s="77">
        <v>0</v>
      </c>
      <c r="C167" s="77">
        <v>0</v>
      </c>
      <c r="D167" s="77">
        <v>0</v>
      </c>
      <c r="E167" s="78">
        <v>0</v>
      </c>
      <c r="F167" s="77">
        <v>0</v>
      </c>
      <c r="G167" s="77">
        <v>0</v>
      </c>
      <c r="H167" s="77">
        <v>0</v>
      </c>
      <c r="I167" s="77">
        <v>0</v>
      </c>
    </row>
    <row r="168" spans="1:15">
      <c r="A168" s="93" t="str">
        <f>HLOOKUP(INDICE!$F$2,Nombres!$C$3:$D$636,71,FALSE)</f>
        <v xml:space="preserve">(*) Excluding repos. </v>
      </c>
      <c r="B168" s="86"/>
      <c r="C168" s="86"/>
      <c r="D168" s="86"/>
      <c r="E168" s="86"/>
      <c r="F168" s="86"/>
      <c r="G168" s="86"/>
      <c r="H168" s="86"/>
      <c r="I168" s="86"/>
    </row>
    <row r="169" spans="1:15">
      <c r="A169" s="93">
        <f>HLOOKUP(INDICE!$F$2,Nombres!$C$3:$D$636,72,FALSE)</f>
        <v>0</v>
      </c>
      <c r="B169" s="62"/>
      <c r="C169" s="62"/>
      <c r="D169" s="62"/>
      <c r="E169" s="62"/>
      <c r="F169" s="62"/>
      <c r="G169" s="62"/>
      <c r="H169" s="62"/>
      <c r="I169" s="62"/>
    </row>
    <row r="170" spans="1:15">
      <c r="A170" s="62"/>
      <c r="B170" s="62"/>
      <c r="C170" s="62"/>
      <c r="D170" s="62"/>
      <c r="E170" s="62"/>
      <c r="F170" s="62"/>
      <c r="G170" s="62"/>
      <c r="H170" s="62"/>
      <c r="I170" s="62"/>
    </row>
    <row r="171" spans="1:15">
      <c r="A171" s="62"/>
      <c r="B171" s="62"/>
      <c r="C171" s="62"/>
      <c r="D171" s="62"/>
      <c r="E171" s="62"/>
      <c r="F171" s="62"/>
      <c r="G171" s="62"/>
      <c r="H171" s="62"/>
      <c r="I171" s="62"/>
    </row>
    <row r="172" spans="1:15">
      <c r="A172" s="109"/>
      <c r="B172" s="110"/>
      <c r="C172" s="111"/>
      <c r="D172" s="111"/>
      <c r="E172" s="111"/>
      <c r="F172" s="110"/>
      <c r="G172" s="110"/>
      <c r="H172" s="110"/>
      <c r="I172" s="110"/>
    </row>
    <row r="173" spans="1:15">
      <c r="A173" s="109"/>
      <c r="B173" s="110"/>
      <c r="C173" s="111"/>
      <c r="D173" s="111"/>
      <c r="E173" s="111"/>
      <c r="F173" s="110"/>
      <c r="G173" s="110"/>
      <c r="H173" s="110"/>
      <c r="I173" s="110"/>
      <c r="J173" s="110"/>
      <c r="K173" s="110"/>
      <c r="L173" s="110"/>
      <c r="M173" s="110"/>
      <c r="N173" s="110"/>
      <c r="O173" s="110"/>
    </row>
    <row r="174" spans="1:15">
      <c r="A174" s="110"/>
      <c r="B174" s="110"/>
      <c r="C174" s="110"/>
      <c r="D174" s="110"/>
      <c r="E174" s="110"/>
      <c r="F174" s="110"/>
      <c r="G174" s="110"/>
      <c r="H174" s="110"/>
      <c r="I174" s="110"/>
      <c r="J174" s="110"/>
      <c r="K174" s="110"/>
      <c r="L174" s="110"/>
      <c r="M174" s="110"/>
      <c r="N174" s="110"/>
      <c r="O174" s="110"/>
    </row>
    <row r="175" spans="1:15">
      <c r="A175" s="110"/>
      <c r="B175" s="110"/>
      <c r="C175" s="110"/>
      <c r="D175" s="110"/>
      <c r="E175" s="110"/>
      <c r="F175" s="110"/>
      <c r="G175" s="110"/>
      <c r="H175" s="110"/>
      <c r="I175" s="110"/>
      <c r="J175" s="110"/>
      <c r="K175" s="110"/>
      <c r="L175" s="110"/>
      <c r="M175" s="110"/>
      <c r="N175" s="110"/>
      <c r="O175" s="110"/>
    </row>
    <row r="176" spans="1:15">
      <c r="A176" s="110"/>
      <c r="B176" s="110"/>
      <c r="C176" s="110"/>
      <c r="D176" s="110"/>
      <c r="E176" s="110"/>
      <c r="F176" s="110"/>
      <c r="G176" s="110"/>
      <c r="H176" s="110"/>
      <c r="I176" s="110"/>
      <c r="J176" s="110"/>
      <c r="K176" s="110"/>
      <c r="L176" s="110"/>
      <c r="M176" s="110"/>
      <c r="N176" s="110"/>
      <c r="O176" s="110"/>
    </row>
    <row r="177" spans="1:15">
      <c r="A177" s="110"/>
      <c r="B177" s="110"/>
      <c r="C177" s="110"/>
      <c r="D177" s="110"/>
      <c r="E177" s="110"/>
      <c r="F177" s="110"/>
      <c r="G177" s="110"/>
      <c r="H177" s="110"/>
      <c r="I177" s="110"/>
      <c r="J177" s="110"/>
      <c r="K177" s="110"/>
      <c r="L177" s="110"/>
      <c r="M177" s="110"/>
      <c r="N177" s="110"/>
      <c r="O177" s="110"/>
    </row>
    <row r="178" spans="1:15">
      <c r="A178" s="110"/>
      <c r="B178" s="110"/>
      <c r="C178" s="110"/>
      <c r="D178" s="110"/>
      <c r="E178" s="110"/>
      <c r="F178" s="110"/>
      <c r="G178" s="110"/>
      <c r="H178" s="110"/>
      <c r="I178" s="110"/>
      <c r="J178" s="110"/>
      <c r="K178" s="110"/>
      <c r="L178" s="110"/>
      <c r="M178" s="110"/>
      <c r="N178" s="110"/>
      <c r="O178" s="110"/>
    </row>
    <row r="179" spans="1:15">
      <c r="A179" s="110"/>
      <c r="B179" s="110"/>
      <c r="C179" s="110"/>
      <c r="D179" s="110"/>
      <c r="E179" s="110"/>
      <c r="F179" s="110"/>
      <c r="G179" s="110"/>
      <c r="H179" s="110"/>
      <c r="I179" s="110"/>
      <c r="J179" s="110"/>
      <c r="K179" s="110"/>
      <c r="L179" s="110"/>
      <c r="M179" s="110"/>
      <c r="N179" s="110"/>
      <c r="O179" s="110"/>
    </row>
    <row r="180" spans="1:15">
      <c r="A180" s="110"/>
      <c r="B180" s="110"/>
      <c r="C180" s="110"/>
      <c r="D180" s="110"/>
      <c r="E180" s="110"/>
      <c r="F180" s="110"/>
      <c r="G180" s="110"/>
      <c r="H180" s="110"/>
      <c r="I180" s="110"/>
      <c r="J180" s="110"/>
      <c r="K180" s="110"/>
      <c r="L180" s="110"/>
      <c r="M180" s="110"/>
      <c r="N180" s="110"/>
      <c r="O180" s="110"/>
    </row>
    <row r="1006" spans="1:1">
      <c r="A1006" s="63" t="s">
        <v>555</v>
      </c>
    </row>
  </sheetData>
  <mergeCells count="6">
    <mergeCell ref="B6:E6"/>
    <mergeCell ref="F6:I6"/>
    <mergeCell ref="B62:E62"/>
    <mergeCell ref="F62:I62"/>
    <mergeCell ref="B118:E118"/>
    <mergeCell ref="F118:I118"/>
  </mergeCells>
  <conditionalFormatting sqref="B26:I26">
    <cfRule type="cellIs" dxfId="32" priority="3" operator="notBetween">
      <formula>0.5</formula>
      <formula>-0.5</formula>
    </cfRule>
  </conditionalFormatting>
  <conditionalFormatting sqref="B82:I82">
    <cfRule type="cellIs" dxfId="31" priority="2" operator="notBetween">
      <formula>0.5</formula>
      <formula>-0.5</formula>
    </cfRule>
  </conditionalFormatting>
  <conditionalFormatting sqref="B138:I138">
    <cfRule type="cellIs" dxfId="30" priority="1" operator="notBetween">
      <formula>0.5</formula>
      <formula>-0.5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Nombres</vt:lpstr>
      <vt:lpstr>INDICE</vt:lpstr>
      <vt:lpstr>Cuenta de Resultados</vt:lpstr>
      <vt:lpstr>Balance</vt:lpstr>
      <vt:lpstr>España</vt:lpstr>
      <vt:lpstr>Mexico</vt:lpstr>
      <vt:lpstr>Turquia</vt:lpstr>
      <vt:lpstr>AdS</vt:lpstr>
      <vt:lpstr>Argentina</vt:lpstr>
      <vt:lpstr>Chile</vt:lpstr>
      <vt:lpstr>Colombia</vt:lpstr>
      <vt:lpstr>Peru</vt:lpstr>
      <vt:lpstr>Resto de Negocios</vt:lpstr>
      <vt:lpstr>Centro Corporativo</vt:lpstr>
      <vt:lpstr>Corporate &amp; Investment Banking</vt:lpstr>
      <vt:lpstr>Eficiencia</vt:lpstr>
      <vt:lpstr>RORWA</vt:lpstr>
      <vt:lpstr>Mora,cobertura,coste de riesgo</vt:lpstr>
      <vt:lpstr>Empleados, oficinas y cajeros</vt:lpstr>
      <vt:lpstr>Tipos de Cambio</vt:lpstr>
      <vt:lpstr>Diferenciales</vt:lpstr>
      <vt:lpstr>APRs</vt:lpstr>
      <vt:lpstr>Inversion</vt:lpstr>
      <vt:lpstr>Recursos</vt:lpstr>
      <vt:lpstr>ALCO</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LERCHUNDI LIZASO ,ION</dc:creator>
  <cp:lastModifiedBy>ACOSTA GARCIA ,LOURDES</cp:lastModifiedBy>
  <dcterms:created xsi:type="dcterms:W3CDTF">2026-04-29T15:05:18Z</dcterms:created>
  <dcterms:modified xsi:type="dcterms:W3CDTF">2026-04-30T04:41:20Z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