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626" yWindow="1335" windowWidth="23475" windowHeight="918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APRs" sheetId="18" r:id="rId18"/>
    <sheet name="Empleados, oficinas y cajeros" sheetId="19" r:id="rId19"/>
    <sheet name="Diferenciales" sheetId="20" r:id="rId20"/>
    <sheet name="Tipos de Cambio"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<sst xmlns="http://schemas.openxmlformats.org/spreadsheetml/2006/main" count="668" uniqueCount="554">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</sst>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09">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0" fillId="0" borderId="0" xfId="0" applyFill="1" applyBorder="1" applyAlignment="1">
      <alignment horizontal="right"/>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3" fontId="25" fillId="0" borderId="0" xfId="57" applyNumberFormat="1" applyFont="1" applyFill="1" applyAlignment="1">
      <alignment horizontal="right"/>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3" fontId="15" fillId="0" borderId="13" xfId="0" applyNumberFormat="1" applyFont="1" applyFill="1" applyBorder="1" applyAlignment="1">
      <alignment horizontal="right"/>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0" fontId="0" fillId="0" borderId="0" xfId="57" applyFont="1" applyAlignment="1">
      <alignment horizontal="right"/>
      <protection/>
    </xf>
    <xf numFmtId="10" fontId="0" fillId="0" borderId="0" xfId="63" applyNumberFormat="1" applyFont="1" applyFill="1" applyAlignment="1">
      <alignment/>
    </xf>
    <xf numFmtId="10" fontId="0" fillId="0" borderId="0" xfId="64" applyNumberFormat="1" applyFont="1" applyAlignment="1">
      <alignment/>
    </xf>
    <xf numFmtId="167" fontId="0" fillId="0" borderId="0" xfId="63" applyNumberFormat="1" applyFont="1" applyAlignment="1">
      <alignment/>
    </xf>
    <xf numFmtId="0" fontId="0" fillId="0" borderId="0" xfId="57" applyFont="1" applyAlignment="1">
      <alignment horizontal="right"/>
      <protection/>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113" fillId="0" borderId="11"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2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8"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6"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9077325" y="342900"/>
          <a:ext cx="121920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619125</xdr:colOff>
      <xdr:row>5</xdr:row>
      <xdr:rowOff>85725</xdr:rowOff>
    </xdr:to>
    <xdr:sp>
      <xdr:nvSpPr>
        <xdr:cNvPr id="1" name="2 Rectángulo redondeado">
          <a:hlinkClick r:id="rId1"/>
        </xdr:cNvPr>
        <xdr:cNvSpPr>
          <a:spLocks/>
        </xdr:cNvSpPr>
      </xdr:nvSpPr>
      <xdr:spPr>
        <a:xfrm>
          <a:off x="8886825" y="34290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590550</xdr:colOff>
      <xdr:row>6</xdr:row>
      <xdr:rowOff>9525</xdr:rowOff>
    </xdr:to>
    <xdr:sp>
      <xdr:nvSpPr>
        <xdr:cNvPr id="1" name="2 Rectángulo redondeado">
          <a:hlinkClick r:id="rId1"/>
        </xdr:cNvPr>
        <xdr:cNvSpPr>
          <a:spLocks/>
        </xdr:cNvSpPr>
      </xdr:nvSpPr>
      <xdr:spPr>
        <a:xfrm>
          <a:off x="8858250" y="457200"/>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11039475" y="523875"/>
          <a:ext cx="122872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742950</xdr:colOff>
      <xdr:row>5</xdr:row>
      <xdr:rowOff>123825</xdr:rowOff>
    </xdr:to>
    <xdr:sp>
      <xdr:nvSpPr>
        <xdr:cNvPr id="1" name="2 Rectángulo redondeado">
          <a:hlinkClick r:id="rId1"/>
        </xdr:cNvPr>
        <xdr:cNvSpPr>
          <a:spLocks/>
        </xdr:cNvSpPr>
      </xdr:nvSpPr>
      <xdr:spPr>
        <a:xfrm>
          <a:off x="8991600" y="352425"/>
          <a:ext cx="1219200"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7229475" y="123825"/>
          <a:ext cx="942975"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820025" y="133350"/>
          <a:ext cx="120967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8439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6600825" y="323850"/>
          <a:ext cx="94297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6667500" y="342900"/>
          <a:ext cx="885825"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1906250" y="266700"/>
          <a:ext cx="12477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24900" y="200025"/>
          <a:ext cx="105727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7791450" y="390525"/>
          <a:ext cx="904875" cy="5238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7534275" y="276225"/>
          <a:ext cx="135255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7267575" y="266700"/>
          <a:ext cx="971550"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161925</xdr:rowOff>
    </xdr:to>
    <xdr:sp>
      <xdr:nvSpPr>
        <xdr:cNvPr id="1" name="2 Rectángulo redondeado">
          <a:hlinkClick r:id="rId1"/>
        </xdr:cNvPr>
        <xdr:cNvSpPr>
          <a:spLocks/>
        </xdr:cNvSpPr>
      </xdr:nvSpPr>
      <xdr:spPr>
        <a:xfrm>
          <a:off x="10382250" y="600075"/>
          <a:ext cx="120967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133350</xdr:rowOff>
    </xdr:to>
    <xdr:sp>
      <xdr:nvSpPr>
        <xdr:cNvPr id="1" name="2 Rectángulo redondeado">
          <a:hlinkClick r:id="rId1"/>
        </xdr:cNvPr>
        <xdr:cNvSpPr>
          <a:spLocks/>
        </xdr:cNvSpPr>
      </xdr:nvSpPr>
      <xdr:spPr>
        <a:xfrm>
          <a:off x="9220200" y="59055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xdr:row>
      <xdr:rowOff>161925</xdr:rowOff>
    </xdr:from>
    <xdr:to>
      <xdr:col>10</xdr:col>
      <xdr:colOff>619125</xdr:colOff>
      <xdr:row>6</xdr:row>
      <xdr:rowOff>161925</xdr:rowOff>
    </xdr:to>
    <xdr:sp>
      <xdr:nvSpPr>
        <xdr:cNvPr id="1" name="2 Rectángulo redondeado">
          <a:hlinkClick r:id="rId1"/>
        </xdr:cNvPr>
        <xdr:cNvSpPr>
          <a:spLocks/>
        </xdr:cNvSpPr>
      </xdr:nvSpPr>
      <xdr:spPr>
        <a:xfrm>
          <a:off x="8867775" y="638175"/>
          <a:ext cx="1219200" cy="8096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9067800" y="552450"/>
          <a:ext cx="1190625" cy="857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90678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695325</xdr:colOff>
      <xdr:row>6</xdr:row>
      <xdr:rowOff>47625</xdr:rowOff>
    </xdr:to>
    <xdr:sp>
      <xdr:nvSpPr>
        <xdr:cNvPr id="1" name="2 Rectángulo redondeado">
          <a:hlinkClick r:id="rId1"/>
        </xdr:cNvPr>
        <xdr:cNvSpPr>
          <a:spLocks/>
        </xdr:cNvSpPr>
      </xdr:nvSpPr>
      <xdr:spPr>
        <a:xfrm>
          <a:off x="8953500" y="514350"/>
          <a:ext cx="1209675"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657225</xdr:colOff>
      <xdr:row>6</xdr:row>
      <xdr:rowOff>0</xdr:rowOff>
    </xdr:to>
    <xdr:sp>
      <xdr:nvSpPr>
        <xdr:cNvPr id="1" name="2 Rectángulo redondeado">
          <a:hlinkClick r:id="rId1"/>
        </xdr:cNvPr>
        <xdr:cNvSpPr>
          <a:spLocks/>
        </xdr:cNvSpPr>
      </xdr:nvSpPr>
      <xdr:spPr>
        <a:xfrm>
          <a:off x="9124950" y="438150"/>
          <a:ext cx="12001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A1" sqref="A1:IV16384"/>
    </sheetView>
  </sheetViews>
  <sheetFormatPr defaultColWidth="11.421875" defaultRowHeight="15"/>
  <cols>
    <col min="2" max="2" width="6.421875" style="0" customWidth="1"/>
    <col min="3" max="3" width="107.421875" style="0" customWidth="1"/>
    <col min="4" max="4" width="54.421875" style="0" customWidth="1"/>
  </cols>
  <sheetData>
    <row r="1" spans="1:4" ht="15">
      <c r="A1" s="229"/>
      <c r="B1" s="229"/>
      <c r="C1" s="230"/>
      <c r="D1" s="230"/>
    </row>
    <row r="2" spans="1:4" ht="15">
      <c r="A2" s="229"/>
      <c r="B2" s="229" t="s">
        <v>12</v>
      </c>
      <c r="C2" s="230" t="s">
        <v>13</v>
      </c>
      <c r="D2" s="230" t="s">
        <v>14</v>
      </c>
    </row>
    <row r="3" spans="1:9" ht="19.5">
      <c r="A3" s="229"/>
      <c r="B3" s="229">
        <v>1</v>
      </c>
      <c r="C3" s="231">
        <v>7</v>
      </c>
      <c r="D3" s="231">
        <v>8</v>
      </c>
      <c r="I3" s="232" t="s">
        <v>0</v>
      </c>
    </row>
    <row r="4" spans="2:9" ht="19.5">
      <c r="B4">
        <v>2</v>
      </c>
      <c r="C4" s="233" t="s">
        <v>522</v>
      </c>
      <c r="D4" s="233" t="s">
        <v>523</v>
      </c>
      <c r="I4" s="232" t="s">
        <v>15</v>
      </c>
    </row>
    <row r="5" spans="2:9" ht="19.5">
      <c r="B5">
        <v>3</v>
      </c>
      <c r="C5" s="233" t="s">
        <v>16</v>
      </c>
      <c r="D5" s="233" t="s">
        <v>17</v>
      </c>
      <c r="I5" s="232" t="s">
        <v>18</v>
      </c>
    </row>
    <row r="6" spans="2:4" ht="15.75">
      <c r="B6">
        <v>4</v>
      </c>
      <c r="C6" s="233" t="s">
        <v>19</v>
      </c>
      <c r="D6" s="233" t="s">
        <v>20</v>
      </c>
    </row>
    <row r="7" spans="2:4" ht="15.75">
      <c r="B7">
        <v>5</v>
      </c>
      <c r="C7" s="233" t="s">
        <v>21</v>
      </c>
      <c r="D7" s="233" t="s">
        <v>22</v>
      </c>
    </row>
    <row r="8" spans="2:4" ht="15.75">
      <c r="B8">
        <v>6</v>
      </c>
      <c r="C8" s="233" t="s">
        <v>23</v>
      </c>
      <c r="D8" s="233" t="s">
        <v>24</v>
      </c>
    </row>
    <row r="9" spans="2:4" ht="15.75">
      <c r="B9">
        <v>7</v>
      </c>
      <c r="C9" s="233" t="s">
        <v>25</v>
      </c>
      <c r="D9" s="233" t="s">
        <v>26</v>
      </c>
    </row>
    <row r="10" spans="2:4" ht="15.75">
      <c r="B10">
        <v>8</v>
      </c>
      <c r="C10" s="233" t="s">
        <v>27</v>
      </c>
      <c r="D10" s="233" t="s">
        <v>28</v>
      </c>
    </row>
    <row r="11" spans="2:4" ht="15.75">
      <c r="B11">
        <v>9</v>
      </c>
      <c r="C11" s="233" t="s">
        <v>29</v>
      </c>
      <c r="D11" s="233" t="s">
        <v>29</v>
      </c>
    </row>
    <row r="12" spans="2:4" ht="15.75">
      <c r="B12">
        <v>10</v>
      </c>
      <c r="C12" s="234" t="s">
        <v>30</v>
      </c>
      <c r="D12" s="234" t="s">
        <v>31</v>
      </c>
    </row>
    <row r="13" spans="2:4" ht="15.75">
      <c r="B13">
        <v>11</v>
      </c>
      <c r="C13" s="234" t="s">
        <v>32</v>
      </c>
      <c r="D13" s="234" t="s">
        <v>33</v>
      </c>
    </row>
    <row r="14" spans="2:4" ht="15.75">
      <c r="B14">
        <v>12</v>
      </c>
      <c r="C14" s="234" t="s">
        <v>34</v>
      </c>
      <c r="D14" s="234" t="s">
        <v>35</v>
      </c>
    </row>
    <row r="15" spans="2:4" ht="15.75">
      <c r="B15">
        <v>13</v>
      </c>
      <c r="C15" s="234" t="s">
        <v>36</v>
      </c>
      <c r="D15" s="234" t="s">
        <v>37</v>
      </c>
    </row>
    <row r="16" spans="2:4" ht="15.75">
      <c r="B16">
        <v>14</v>
      </c>
      <c r="C16" s="234" t="s">
        <v>7</v>
      </c>
      <c r="D16" s="234" t="s">
        <v>7</v>
      </c>
    </row>
    <row r="17" spans="2:4" ht="15.75">
      <c r="B17">
        <v>15</v>
      </c>
      <c r="C17" s="234" t="s">
        <v>8</v>
      </c>
      <c r="D17" s="234" t="s">
        <v>8</v>
      </c>
    </row>
    <row r="18" spans="2:4" ht="15.75">
      <c r="B18">
        <v>16</v>
      </c>
      <c r="C18" s="234" t="s">
        <v>9</v>
      </c>
      <c r="D18" s="234" t="s">
        <v>9</v>
      </c>
    </row>
    <row r="19" spans="2:4" ht="15.75">
      <c r="B19">
        <v>17</v>
      </c>
      <c r="C19" s="234" t="s">
        <v>10</v>
      </c>
      <c r="D19" s="234" t="s">
        <v>38</v>
      </c>
    </row>
    <row r="20" spans="2:4" ht="15.75">
      <c r="B20">
        <v>18</v>
      </c>
      <c r="C20" s="234" t="s">
        <v>39</v>
      </c>
      <c r="D20" s="234" t="s">
        <v>40</v>
      </c>
    </row>
    <row r="21" spans="2:4" ht="15.75">
      <c r="B21">
        <v>19</v>
      </c>
      <c r="C21" s="234" t="s">
        <v>41</v>
      </c>
      <c r="D21" s="234" t="s">
        <v>42</v>
      </c>
    </row>
    <row r="22" spans="2:4" ht="15.75">
      <c r="B22">
        <v>20</v>
      </c>
      <c r="C22" s="234" t="s">
        <v>43</v>
      </c>
      <c r="D22" s="234" t="s">
        <v>44</v>
      </c>
    </row>
    <row r="23" spans="2:4" ht="15.75">
      <c r="B23">
        <v>21</v>
      </c>
      <c r="C23" s="234" t="s">
        <v>45</v>
      </c>
      <c r="D23" s="234" t="s">
        <v>45</v>
      </c>
    </row>
    <row r="24" spans="2:4" ht="15.75">
      <c r="B24">
        <v>22</v>
      </c>
      <c r="C24" s="234" t="s">
        <v>46</v>
      </c>
      <c r="D24" s="234" t="s">
        <v>47</v>
      </c>
    </row>
    <row r="25" spans="2:4" ht="15.75">
      <c r="B25">
        <v>23</v>
      </c>
      <c r="C25" s="234" t="s">
        <v>48</v>
      </c>
      <c r="D25" s="234" t="s">
        <v>49</v>
      </c>
    </row>
    <row r="26" spans="2:4" ht="15.75">
      <c r="B26">
        <v>24</v>
      </c>
      <c r="C26" s="234" t="s">
        <v>50</v>
      </c>
      <c r="D26" s="234" t="s">
        <v>51</v>
      </c>
    </row>
    <row r="27" spans="2:4" ht="15.75">
      <c r="B27">
        <v>25</v>
      </c>
      <c r="C27" s="234" t="s">
        <v>52</v>
      </c>
      <c r="D27" s="234" t="s">
        <v>53</v>
      </c>
    </row>
    <row r="28" spans="2:4" ht="15.75">
      <c r="B28">
        <v>26</v>
      </c>
      <c r="C28" s="234" t="s">
        <v>54</v>
      </c>
      <c r="D28" s="234" t="s">
        <v>55</v>
      </c>
    </row>
    <row r="29" spans="2:4" ht="15.75">
      <c r="B29">
        <v>27</v>
      </c>
      <c r="C29" s="234" t="s">
        <v>56</v>
      </c>
      <c r="D29" s="234" t="s">
        <v>57</v>
      </c>
    </row>
    <row r="30" spans="2:4" ht="15.75">
      <c r="B30">
        <v>28</v>
      </c>
      <c r="C30" s="234" t="s">
        <v>58</v>
      </c>
      <c r="D30" s="234" t="s">
        <v>59</v>
      </c>
    </row>
    <row r="31" spans="2:4" ht="15.75">
      <c r="B31">
        <v>29</v>
      </c>
      <c r="C31" s="234" t="s">
        <v>60</v>
      </c>
      <c r="D31" s="234" t="s">
        <v>61</v>
      </c>
    </row>
    <row r="32" spans="2:4" ht="15.75">
      <c r="B32">
        <v>30</v>
      </c>
      <c r="C32" s="234" t="s">
        <v>62</v>
      </c>
      <c r="D32" s="234" t="s">
        <v>63</v>
      </c>
    </row>
    <row r="33" spans="2:4" ht="15.75">
      <c r="B33">
        <v>31</v>
      </c>
      <c r="C33" s="234" t="s">
        <v>64</v>
      </c>
      <c r="D33" t="s">
        <v>65</v>
      </c>
    </row>
    <row r="34" spans="2:4" ht="15.75">
      <c r="B34">
        <v>32</v>
      </c>
      <c r="C34" s="234" t="s">
        <v>66</v>
      </c>
      <c r="D34" t="s">
        <v>67</v>
      </c>
    </row>
    <row r="35" spans="2:4" ht="15.75">
      <c r="B35">
        <v>33</v>
      </c>
      <c r="C35" s="234" t="s">
        <v>68</v>
      </c>
      <c r="D35" t="s">
        <v>69</v>
      </c>
    </row>
    <row r="36" spans="2:4" ht="15.75">
      <c r="B36">
        <v>34</v>
      </c>
      <c r="C36" s="234" t="s">
        <v>70</v>
      </c>
      <c r="D36" t="s">
        <v>71</v>
      </c>
    </row>
    <row r="37" spans="2:4" ht="15.75">
      <c r="B37">
        <v>35</v>
      </c>
      <c r="C37" s="234" t="s">
        <v>72</v>
      </c>
      <c r="D37" t="s">
        <v>73</v>
      </c>
    </row>
    <row r="38" spans="2:4" ht="15.75">
      <c r="B38">
        <v>36</v>
      </c>
      <c r="C38" s="234" t="s">
        <v>74</v>
      </c>
      <c r="D38" t="s">
        <v>75</v>
      </c>
    </row>
    <row r="39" spans="2:4" ht="15.75">
      <c r="B39">
        <v>37</v>
      </c>
      <c r="C39" s="234" t="s">
        <v>76</v>
      </c>
      <c r="D39" t="s">
        <v>77</v>
      </c>
    </row>
    <row r="40" spans="2:4" ht="15.75">
      <c r="B40">
        <v>38</v>
      </c>
      <c r="C40" s="234" t="s">
        <v>78</v>
      </c>
      <c r="D40" t="s">
        <v>79</v>
      </c>
    </row>
    <row r="41" spans="2:4" ht="15.75">
      <c r="B41">
        <v>39</v>
      </c>
      <c r="C41" s="234" t="s">
        <v>80</v>
      </c>
      <c r="D41" t="s">
        <v>81</v>
      </c>
    </row>
    <row r="42" spans="2:4" ht="15.75">
      <c r="B42">
        <v>40</v>
      </c>
      <c r="C42" s="234" t="s">
        <v>82</v>
      </c>
      <c r="D42" t="s">
        <v>83</v>
      </c>
    </row>
    <row r="43" spans="2:4" ht="15.75">
      <c r="B43">
        <v>41</v>
      </c>
      <c r="C43" s="234" t="s">
        <v>84</v>
      </c>
      <c r="D43" t="s">
        <v>85</v>
      </c>
    </row>
    <row r="44" spans="2:4" ht="15.75">
      <c r="B44">
        <v>42</v>
      </c>
      <c r="C44" s="234" t="s">
        <v>86</v>
      </c>
      <c r="D44" t="s">
        <v>87</v>
      </c>
    </row>
    <row r="45" spans="2:10" ht="15.75">
      <c r="B45">
        <v>43</v>
      </c>
      <c r="C45" s="234" t="s">
        <v>88</v>
      </c>
      <c r="D45" t="s">
        <v>89</v>
      </c>
      <c r="J45" t="s">
        <v>531</v>
      </c>
    </row>
    <row r="46" spans="2:4" ht="15.75">
      <c r="B46">
        <v>44</v>
      </c>
      <c r="C46" s="234" t="s">
        <v>90</v>
      </c>
      <c r="D46" t="s">
        <v>91</v>
      </c>
    </row>
    <row r="47" spans="2:4" ht="15.75">
      <c r="B47">
        <v>45</v>
      </c>
      <c r="C47" s="234" t="s">
        <v>92</v>
      </c>
      <c r="D47" t="s">
        <v>93</v>
      </c>
    </row>
    <row r="48" spans="2:4" ht="15.75">
      <c r="B48">
        <v>46</v>
      </c>
      <c r="C48" s="234" t="s">
        <v>94</v>
      </c>
      <c r="D48" t="s">
        <v>95</v>
      </c>
    </row>
    <row r="49" spans="2:4" ht="15.75">
      <c r="B49">
        <v>47</v>
      </c>
      <c r="C49" s="234" t="s">
        <v>96</v>
      </c>
      <c r="D49" t="s">
        <v>97</v>
      </c>
    </row>
    <row r="50" spans="2:4" ht="15.75">
      <c r="B50">
        <v>48</v>
      </c>
      <c r="C50" s="234" t="s">
        <v>98</v>
      </c>
      <c r="D50" t="s">
        <v>99</v>
      </c>
    </row>
    <row r="51" spans="2:4" ht="15.75">
      <c r="B51">
        <v>49</v>
      </c>
      <c r="C51" s="234" t="s">
        <v>100</v>
      </c>
      <c r="D51" t="s">
        <v>101</v>
      </c>
    </row>
    <row r="52" spans="2:4" ht="15.75">
      <c r="B52">
        <v>50</v>
      </c>
      <c r="C52" s="234" t="s">
        <v>102</v>
      </c>
      <c r="D52" t="s">
        <v>103</v>
      </c>
    </row>
    <row r="53" spans="2:4" ht="15.75">
      <c r="B53">
        <v>51</v>
      </c>
      <c r="C53" s="234" t="s">
        <v>104</v>
      </c>
      <c r="D53" t="s">
        <v>105</v>
      </c>
    </row>
    <row r="54" spans="2:4" ht="15.75">
      <c r="B54">
        <v>52</v>
      </c>
      <c r="C54" s="234" t="s">
        <v>106</v>
      </c>
      <c r="D54" t="s">
        <v>107</v>
      </c>
    </row>
    <row r="55" spans="2:4" ht="15.75">
      <c r="B55">
        <v>53</v>
      </c>
      <c r="C55" s="234" t="s">
        <v>108</v>
      </c>
      <c r="D55" t="s">
        <v>109</v>
      </c>
    </row>
    <row r="56" spans="2:4" ht="15.75">
      <c r="B56">
        <v>54</v>
      </c>
      <c r="C56" s="234" t="s">
        <v>110</v>
      </c>
      <c r="D56" t="s">
        <v>111</v>
      </c>
    </row>
    <row r="57" spans="2:4" ht="15.75">
      <c r="B57">
        <v>55</v>
      </c>
      <c r="C57" s="234" t="s">
        <v>112</v>
      </c>
      <c r="D57" t="s">
        <v>113</v>
      </c>
    </row>
    <row r="58" spans="2:4" ht="15.75">
      <c r="B58">
        <v>56</v>
      </c>
      <c r="C58" s="234" t="s">
        <v>114</v>
      </c>
      <c r="D58" t="s">
        <v>115</v>
      </c>
    </row>
    <row r="59" spans="2:4" ht="15.75">
      <c r="B59">
        <v>57</v>
      </c>
      <c r="C59" s="234" t="s">
        <v>116</v>
      </c>
      <c r="D59" t="s">
        <v>117</v>
      </c>
    </row>
    <row r="60" spans="2:4" ht="15.75">
      <c r="B60">
        <v>58</v>
      </c>
      <c r="C60" s="234" t="s">
        <v>118</v>
      </c>
      <c r="D60" t="s">
        <v>119</v>
      </c>
    </row>
    <row r="61" spans="2:4" ht="15.75">
      <c r="B61">
        <v>59</v>
      </c>
      <c r="C61" s="234" t="s">
        <v>120</v>
      </c>
      <c r="D61" t="s">
        <v>121</v>
      </c>
    </row>
    <row r="62" spans="2:4" ht="15.75">
      <c r="B62">
        <v>60</v>
      </c>
      <c r="C62" s="234" t="s">
        <v>122</v>
      </c>
      <c r="D62" t="s">
        <v>123</v>
      </c>
    </row>
    <row r="63" spans="2:4" ht="15.75">
      <c r="B63">
        <v>61</v>
      </c>
      <c r="C63" s="234" t="s">
        <v>124</v>
      </c>
      <c r="D63" t="s">
        <v>125</v>
      </c>
    </row>
    <row r="64" spans="2:4" ht="15.75">
      <c r="B64">
        <v>62</v>
      </c>
      <c r="C64" s="234" t="s">
        <v>126</v>
      </c>
      <c r="D64" t="s">
        <v>127</v>
      </c>
    </row>
    <row r="65" spans="2:4" ht="15.75">
      <c r="B65">
        <v>63</v>
      </c>
      <c r="C65" s="234" t="s">
        <v>128</v>
      </c>
      <c r="D65" t="s">
        <v>129</v>
      </c>
    </row>
    <row r="66" spans="2:4" ht="15.75">
      <c r="B66">
        <v>64</v>
      </c>
      <c r="C66" s="234" t="s">
        <v>130</v>
      </c>
      <c r="D66" t="s">
        <v>131</v>
      </c>
    </row>
    <row r="67" spans="2:4" ht="15.75">
      <c r="B67">
        <v>65</v>
      </c>
      <c r="C67" s="234" t="s">
        <v>132</v>
      </c>
      <c r="D67" t="s">
        <v>133</v>
      </c>
    </row>
    <row r="68" spans="2:4" ht="15.75">
      <c r="B68">
        <v>66</v>
      </c>
      <c r="C68" s="234" t="s">
        <v>134</v>
      </c>
      <c r="D68" s="59" t="s">
        <v>135</v>
      </c>
    </row>
    <row r="69" spans="2:4" ht="15.75">
      <c r="B69">
        <v>67</v>
      </c>
      <c r="C69" s="234" t="s">
        <v>136</v>
      </c>
      <c r="D69" s="59" t="s">
        <v>137</v>
      </c>
    </row>
    <row r="70" spans="2:4" ht="15.75">
      <c r="B70">
        <v>68</v>
      </c>
      <c r="C70" s="234" t="s">
        <v>524</v>
      </c>
      <c r="D70" s="59" t="s">
        <v>525</v>
      </c>
    </row>
    <row r="71" spans="2:4" ht="15.75">
      <c r="B71">
        <v>69</v>
      </c>
      <c r="C71" s="234" t="s">
        <v>138</v>
      </c>
      <c r="D71" s="59" t="s">
        <v>139</v>
      </c>
    </row>
    <row r="72" spans="2:4" ht="15.75">
      <c r="B72">
        <v>70</v>
      </c>
      <c r="C72" s="234" t="s">
        <v>140</v>
      </c>
      <c r="D72" s="59" t="s">
        <v>141</v>
      </c>
    </row>
    <row r="73" spans="2:4" ht="15.75">
      <c r="B73">
        <v>71</v>
      </c>
      <c r="C73" s="234" t="s">
        <v>142</v>
      </c>
      <c r="D73" s="235" t="s">
        <v>143</v>
      </c>
    </row>
    <row r="74" spans="2:4" ht="15.75">
      <c r="B74">
        <v>72</v>
      </c>
      <c r="C74" s="234" t="s">
        <v>144</v>
      </c>
      <c r="D74" s="235"/>
    </row>
    <row r="75" spans="2:4" ht="15.75">
      <c r="B75">
        <v>73</v>
      </c>
      <c r="C75" s="234" t="s">
        <v>145</v>
      </c>
      <c r="D75" s="163" t="s">
        <v>146</v>
      </c>
    </row>
    <row r="76" spans="2:4" ht="15.75">
      <c r="B76">
        <v>74</v>
      </c>
      <c r="C76" s="234" t="s">
        <v>147</v>
      </c>
      <c r="D76" s="163" t="s">
        <v>148</v>
      </c>
    </row>
    <row r="77" spans="2:4" ht="15.75">
      <c r="B77">
        <v>75</v>
      </c>
      <c r="C77" s="234" t="s">
        <v>149</v>
      </c>
      <c r="D77" s="163" t="s">
        <v>150</v>
      </c>
    </row>
    <row r="78" spans="2:4" ht="15.75">
      <c r="B78">
        <v>76</v>
      </c>
      <c r="C78" s="234" t="s">
        <v>151</v>
      </c>
      <c r="D78" s="163" t="s">
        <v>152</v>
      </c>
    </row>
    <row r="79" spans="2:4" ht="15.75">
      <c r="B79">
        <v>77</v>
      </c>
      <c r="C79" s="234" t="s">
        <v>153</v>
      </c>
      <c r="D79" s="163" t="s">
        <v>154</v>
      </c>
    </row>
    <row r="80" spans="2:4" ht="15.75">
      <c r="B80">
        <v>78</v>
      </c>
      <c r="C80" s="234" t="s">
        <v>155</v>
      </c>
      <c r="D80" s="163" t="s">
        <v>156</v>
      </c>
    </row>
    <row r="81" spans="2:4" ht="15.75">
      <c r="B81">
        <v>79</v>
      </c>
      <c r="C81" s="234" t="s">
        <v>157</v>
      </c>
      <c r="D81" s="163" t="s">
        <v>158</v>
      </c>
    </row>
    <row r="82" spans="2:4" ht="15.75">
      <c r="B82">
        <v>80</v>
      </c>
      <c r="C82" s="234" t="s">
        <v>159</v>
      </c>
      <c r="D82" s="163" t="s">
        <v>159</v>
      </c>
    </row>
    <row r="83" spans="2:4" ht="15.75">
      <c r="B83">
        <v>81</v>
      </c>
      <c r="C83" s="234" t="s">
        <v>160</v>
      </c>
      <c r="D83" s="163" t="s">
        <v>161</v>
      </c>
    </row>
    <row r="84" spans="2:4" ht="15">
      <c r="B84">
        <v>82</v>
      </c>
      <c r="C84" t="s">
        <v>162</v>
      </c>
      <c r="D84" t="s">
        <v>163</v>
      </c>
    </row>
    <row r="85" spans="2:4" ht="15">
      <c r="B85">
        <v>83</v>
      </c>
      <c r="C85" t="s">
        <v>164</v>
      </c>
      <c r="D85" t="s">
        <v>165</v>
      </c>
    </row>
    <row r="86" spans="2:4" ht="15.75">
      <c r="B86">
        <v>84</v>
      </c>
      <c r="C86" s="234" t="s">
        <v>166</v>
      </c>
      <c r="D86" t="s">
        <v>167</v>
      </c>
    </row>
    <row r="87" spans="2:4" ht="15">
      <c r="B87">
        <v>85</v>
      </c>
      <c r="C87" t="s">
        <v>168</v>
      </c>
      <c r="D87" t="s">
        <v>169</v>
      </c>
    </row>
    <row r="88" spans="2:4" ht="15">
      <c r="B88">
        <v>86</v>
      </c>
      <c r="C88" t="s">
        <v>170</v>
      </c>
      <c r="D88" t="s">
        <v>171</v>
      </c>
    </row>
    <row r="89" spans="2:4" ht="15">
      <c r="B89">
        <v>87</v>
      </c>
      <c r="C89" t="s">
        <v>412</v>
      </c>
      <c r="D89" t="s">
        <v>413</v>
      </c>
    </row>
    <row r="90" spans="2:4" ht="15">
      <c r="B90">
        <v>88</v>
      </c>
      <c r="C90" t="s">
        <v>58</v>
      </c>
      <c r="D90" t="s">
        <v>59</v>
      </c>
    </row>
    <row r="91" spans="2:4" ht="15">
      <c r="B91">
        <v>89</v>
      </c>
      <c r="C91" s="236" t="s">
        <v>172</v>
      </c>
      <c r="D91" t="s">
        <v>173</v>
      </c>
    </row>
    <row r="92" spans="2:4" ht="15">
      <c r="B92">
        <v>90</v>
      </c>
      <c r="C92" t="s">
        <v>174</v>
      </c>
      <c r="D92" t="s">
        <v>174</v>
      </c>
    </row>
    <row r="93" spans="2:4" ht="15">
      <c r="B93">
        <v>91</v>
      </c>
      <c r="C93" t="s">
        <v>175</v>
      </c>
      <c r="D93" t="s">
        <v>176</v>
      </c>
    </row>
    <row r="94" spans="2:4" ht="15">
      <c r="B94">
        <v>92</v>
      </c>
      <c r="C94" t="s">
        <v>1</v>
      </c>
      <c r="D94" t="s">
        <v>177</v>
      </c>
    </row>
    <row r="95" spans="2:4" ht="15">
      <c r="B95">
        <v>93</v>
      </c>
      <c r="C95" t="s">
        <v>2</v>
      </c>
      <c r="D95" t="s">
        <v>178</v>
      </c>
    </row>
    <row r="96" spans="2:4" ht="15">
      <c r="B96">
        <v>94</v>
      </c>
      <c r="C96" t="s">
        <v>3</v>
      </c>
      <c r="D96" t="s">
        <v>179</v>
      </c>
    </row>
    <row r="97" spans="2:4" ht="15">
      <c r="B97">
        <v>95</v>
      </c>
      <c r="C97" t="s">
        <v>4</v>
      </c>
      <c r="D97" t="s">
        <v>180</v>
      </c>
    </row>
    <row r="98" spans="2:4" ht="15">
      <c r="B98">
        <v>96</v>
      </c>
      <c r="C98" s="237" t="s">
        <v>181</v>
      </c>
      <c r="D98" s="237" t="s">
        <v>182</v>
      </c>
    </row>
    <row r="99" spans="2:4" ht="15">
      <c r="B99">
        <v>97</v>
      </c>
      <c r="C99" s="237" t="s">
        <v>183</v>
      </c>
      <c r="D99" s="237" t="s">
        <v>184</v>
      </c>
    </row>
    <row r="100" spans="2:4" ht="15">
      <c r="B100">
        <v>98</v>
      </c>
      <c r="C100" s="237" t="s">
        <v>185</v>
      </c>
      <c r="D100" s="237" t="s">
        <v>186</v>
      </c>
    </row>
    <row r="101" spans="2:4" ht="15">
      <c r="B101">
        <v>99</v>
      </c>
      <c r="C101" s="237" t="s">
        <v>187</v>
      </c>
      <c r="D101" t="s">
        <v>188</v>
      </c>
    </row>
    <row r="102" spans="2:4" ht="15">
      <c r="B102">
        <v>100</v>
      </c>
      <c r="C102" s="237" t="s">
        <v>355</v>
      </c>
      <c r="D102" t="s">
        <v>356</v>
      </c>
    </row>
    <row r="103" spans="2:4" ht="15">
      <c r="B103">
        <v>101</v>
      </c>
      <c r="C103" t="s">
        <v>189</v>
      </c>
      <c r="D103" t="s">
        <v>190</v>
      </c>
    </row>
    <row r="104" spans="2:4" ht="15" customHeight="1">
      <c r="B104">
        <v>102</v>
      </c>
      <c r="C104" t="s">
        <v>191</v>
      </c>
      <c r="D104" t="s">
        <v>192</v>
      </c>
    </row>
    <row r="105" spans="2:4" ht="15">
      <c r="B105">
        <v>103</v>
      </c>
      <c r="C105" t="s">
        <v>193</v>
      </c>
      <c r="D105" t="s">
        <v>194</v>
      </c>
    </row>
    <row r="106" spans="2:4" ht="15">
      <c r="B106">
        <v>104</v>
      </c>
      <c r="C106" t="s">
        <v>195</v>
      </c>
      <c r="D106" t="s">
        <v>196</v>
      </c>
    </row>
    <row r="107" spans="2:4" ht="15">
      <c r="B107">
        <v>105</v>
      </c>
      <c r="C107" s="214" t="s">
        <v>197</v>
      </c>
      <c r="D107" t="s">
        <v>198</v>
      </c>
    </row>
    <row r="108" spans="2:4" ht="15">
      <c r="B108">
        <v>106</v>
      </c>
      <c r="C108" s="214" t="s">
        <v>199</v>
      </c>
      <c r="D108" t="s">
        <v>200</v>
      </c>
    </row>
    <row r="109" spans="2:4" ht="15">
      <c r="B109">
        <v>107</v>
      </c>
      <c r="C109" t="s">
        <v>201</v>
      </c>
      <c r="D109" t="s">
        <v>202</v>
      </c>
    </row>
    <row r="110" spans="2:4" ht="15">
      <c r="B110">
        <v>108</v>
      </c>
      <c r="C110" s="214" t="s">
        <v>203</v>
      </c>
      <c r="D110" t="s">
        <v>204</v>
      </c>
    </row>
    <row r="111" spans="2:4" ht="15">
      <c r="B111">
        <v>109</v>
      </c>
      <c r="C111" s="214" t="s">
        <v>205</v>
      </c>
      <c r="D111" t="s">
        <v>206</v>
      </c>
    </row>
    <row r="112" spans="2:4" ht="15">
      <c r="B112">
        <v>110</v>
      </c>
      <c r="C112" s="214" t="s">
        <v>207</v>
      </c>
      <c r="D112" t="s">
        <v>208</v>
      </c>
    </row>
    <row r="113" spans="2:4" ht="15">
      <c r="B113">
        <v>111</v>
      </c>
      <c r="C113" s="214" t="s">
        <v>11</v>
      </c>
      <c r="D113" t="s">
        <v>209</v>
      </c>
    </row>
    <row r="114" spans="2:4" ht="15">
      <c r="B114">
        <v>112</v>
      </c>
      <c r="C114" s="216" t="s">
        <v>210</v>
      </c>
      <c r="D114" t="s">
        <v>211</v>
      </c>
    </row>
    <row r="115" spans="2:4" ht="15">
      <c r="B115">
        <v>113</v>
      </c>
      <c r="C115" s="216" t="s">
        <v>60</v>
      </c>
      <c r="D115" t="s">
        <v>61</v>
      </c>
    </row>
    <row r="116" spans="2:4" ht="15">
      <c r="B116">
        <v>114</v>
      </c>
      <c r="C116" s="214" t="s">
        <v>212</v>
      </c>
      <c r="D116" t="s">
        <v>213</v>
      </c>
    </row>
    <row r="117" spans="2:4" ht="15">
      <c r="B117">
        <v>115</v>
      </c>
      <c r="C117" s="214" t="s">
        <v>214</v>
      </c>
      <c r="D117" t="s">
        <v>215</v>
      </c>
    </row>
    <row r="118" spans="2:4" ht="15">
      <c r="B118">
        <v>116</v>
      </c>
      <c r="C118" s="214" t="s">
        <v>216</v>
      </c>
      <c r="D118" t="s">
        <v>217</v>
      </c>
    </row>
    <row r="119" spans="2:4" ht="15.75">
      <c r="B119">
        <v>117</v>
      </c>
      <c r="C119" s="234"/>
      <c r="D119" s="59"/>
    </row>
    <row r="120" spans="2:4" ht="15.75">
      <c r="B120">
        <v>118</v>
      </c>
      <c r="C120" s="209" t="s">
        <v>218</v>
      </c>
      <c r="D120" t="s">
        <v>219</v>
      </c>
    </row>
    <row r="121" spans="2:3" ht="15">
      <c r="B121">
        <v>119</v>
      </c>
      <c r="C121" s="226" t="s">
        <v>220</v>
      </c>
    </row>
    <row r="122" spans="2:4" ht="18">
      <c r="B122">
        <v>120</v>
      </c>
      <c r="C122" s="205" t="s">
        <v>62</v>
      </c>
      <c r="D122" t="s">
        <v>63</v>
      </c>
    </row>
    <row r="123" spans="2:4" ht="15">
      <c r="B123">
        <v>121</v>
      </c>
      <c r="C123" t="s">
        <v>221</v>
      </c>
      <c r="D123" t="s">
        <v>222</v>
      </c>
    </row>
    <row r="124" spans="2:4" ht="15">
      <c r="B124">
        <v>122</v>
      </c>
      <c r="C124" t="s">
        <v>223</v>
      </c>
      <c r="D124" t="s">
        <v>222</v>
      </c>
    </row>
    <row r="125" spans="2:4" ht="15">
      <c r="B125">
        <v>123</v>
      </c>
      <c r="C125" t="s">
        <v>224</v>
      </c>
      <c r="D125" t="s">
        <v>225</v>
      </c>
    </row>
    <row r="126" spans="2:4" ht="15">
      <c r="B126">
        <v>124</v>
      </c>
      <c r="C126" t="s">
        <v>226</v>
      </c>
      <c r="D126" t="s">
        <v>227</v>
      </c>
    </row>
    <row r="127" spans="2:4" ht="15">
      <c r="B127">
        <v>125</v>
      </c>
      <c r="C127" t="s">
        <v>228</v>
      </c>
      <c r="D127" t="s">
        <v>229</v>
      </c>
    </row>
    <row r="128" spans="2:4" ht="15">
      <c r="B128">
        <v>126</v>
      </c>
      <c r="C128" t="s">
        <v>230</v>
      </c>
      <c r="D128" t="s">
        <v>230</v>
      </c>
    </row>
    <row r="129" spans="2:4" ht="15">
      <c r="B129">
        <v>127</v>
      </c>
      <c r="C129" t="s">
        <v>231</v>
      </c>
      <c r="D129" t="s">
        <v>231</v>
      </c>
    </row>
    <row r="130" spans="2:4" ht="15">
      <c r="B130">
        <v>128</v>
      </c>
      <c r="C130" t="s">
        <v>232</v>
      </c>
      <c r="D130" t="s">
        <v>232</v>
      </c>
    </row>
    <row r="131" spans="2:4" ht="15">
      <c r="B131">
        <v>129</v>
      </c>
      <c r="C131" t="s">
        <v>233</v>
      </c>
      <c r="D131" t="s">
        <v>233</v>
      </c>
    </row>
    <row r="132" spans="2:4" ht="15">
      <c r="B132">
        <v>130</v>
      </c>
      <c r="C132" t="s">
        <v>234</v>
      </c>
      <c r="D132" t="s">
        <v>234</v>
      </c>
    </row>
    <row r="133" spans="2:4" ht="15">
      <c r="B133">
        <v>131</v>
      </c>
      <c r="C133" s="43" t="s">
        <v>235</v>
      </c>
      <c r="D133" t="s">
        <v>236</v>
      </c>
    </row>
    <row r="134" spans="2:4" ht="15">
      <c r="B134">
        <v>132</v>
      </c>
      <c r="C134" s="43" t="s">
        <v>237</v>
      </c>
      <c r="D134" t="s">
        <v>238</v>
      </c>
    </row>
    <row r="135" spans="2:4" ht="15">
      <c r="B135">
        <v>133</v>
      </c>
      <c r="C135" s="43" t="s">
        <v>239</v>
      </c>
      <c r="D135" t="s">
        <v>240</v>
      </c>
    </row>
    <row r="136" spans="2:4" ht="15">
      <c r="B136">
        <v>134</v>
      </c>
      <c r="C136" s="43" t="s">
        <v>241</v>
      </c>
      <c r="D136" t="s">
        <v>242</v>
      </c>
    </row>
    <row r="137" spans="2:4" ht="15">
      <c r="B137">
        <v>135</v>
      </c>
      <c r="C137" s="43" t="s">
        <v>110</v>
      </c>
      <c r="D137" t="s">
        <v>111</v>
      </c>
    </row>
    <row r="138" spans="2:4" ht="15">
      <c r="B138">
        <v>136</v>
      </c>
      <c r="C138" s="43" t="s">
        <v>243</v>
      </c>
      <c r="D138" t="s">
        <v>244</v>
      </c>
    </row>
    <row r="139" spans="2:4" ht="15">
      <c r="B139">
        <v>137</v>
      </c>
      <c r="C139" s="43" t="s">
        <v>245</v>
      </c>
      <c r="D139" t="s">
        <v>246</v>
      </c>
    </row>
    <row r="140" spans="2:4" ht="15">
      <c r="B140">
        <v>138</v>
      </c>
      <c r="C140" s="43" t="s">
        <v>247</v>
      </c>
      <c r="D140" t="s">
        <v>248</v>
      </c>
    </row>
    <row r="141" spans="2:4" ht="15">
      <c r="B141">
        <v>139</v>
      </c>
      <c r="C141" s="43" t="s">
        <v>249</v>
      </c>
      <c r="D141" t="s">
        <v>250</v>
      </c>
    </row>
    <row r="142" spans="2:4" ht="15">
      <c r="B142">
        <v>140</v>
      </c>
      <c r="C142" s="43" t="s">
        <v>251</v>
      </c>
      <c r="D142" t="s">
        <v>252</v>
      </c>
    </row>
    <row r="143" spans="2:4" ht="15">
      <c r="B143">
        <v>141</v>
      </c>
      <c r="C143" s="43" t="s">
        <v>253</v>
      </c>
      <c r="D143" s="59" t="s">
        <v>254</v>
      </c>
    </row>
    <row r="144" spans="2:4" ht="15">
      <c r="B144">
        <v>142</v>
      </c>
      <c r="C144" s="59" t="s">
        <v>255</v>
      </c>
      <c r="D144" s="59" t="s">
        <v>256</v>
      </c>
    </row>
    <row r="145" spans="2:4" ht="15">
      <c r="B145">
        <v>143</v>
      </c>
      <c r="C145" s="59" t="s">
        <v>257</v>
      </c>
      <c r="D145" t="s">
        <v>258</v>
      </c>
    </row>
    <row r="146" spans="2:4" ht="15">
      <c r="B146">
        <v>144</v>
      </c>
      <c r="C146" s="43" t="s">
        <v>259</v>
      </c>
      <c r="D146" t="s">
        <v>260</v>
      </c>
    </row>
    <row r="147" spans="2:4" ht="15">
      <c r="B147">
        <v>145</v>
      </c>
      <c r="C147" s="43" t="s">
        <v>261</v>
      </c>
      <c r="D147" t="s">
        <v>262</v>
      </c>
    </row>
    <row r="148" spans="2:4" ht="15">
      <c r="B148">
        <v>146</v>
      </c>
      <c r="C148" s="103" t="s">
        <v>263</v>
      </c>
      <c r="D148" t="s">
        <v>264</v>
      </c>
    </row>
    <row r="149" spans="2:4" ht="15">
      <c r="B149">
        <v>147</v>
      </c>
      <c r="C149" s="59" t="s">
        <v>265</v>
      </c>
      <c r="D149" t="s">
        <v>101</v>
      </c>
    </row>
    <row r="150" spans="2:4" ht="15">
      <c r="B150">
        <v>148</v>
      </c>
      <c r="C150" s="59" t="s">
        <v>266</v>
      </c>
      <c r="D150" t="s">
        <v>267</v>
      </c>
    </row>
    <row r="151" spans="2:4" ht="15">
      <c r="B151">
        <v>149</v>
      </c>
      <c r="C151" s="59" t="s">
        <v>268</v>
      </c>
      <c r="D151" t="s">
        <v>269</v>
      </c>
    </row>
    <row r="152" spans="2:4" ht="15">
      <c r="B152">
        <v>150</v>
      </c>
      <c r="C152" s="103" t="s">
        <v>270</v>
      </c>
      <c r="D152" t="s">
        <v>271</v>
      </c>
    </row>
    <row r="153" spans="2:4" ht="15">
      <c r="B153">
        <v>151</v>
      </c>
      <c r="C153" s="47" t="s">
        <v>272</v>
      </c>
      <c r="D153" t="s">
        <v>273</v>
      </c>
    </row>
    <row r="154" spans="2:4" ht="15">
      <c r="B154">
        <v>152</v>
      </c>
      <c r="C154" s="59" t="s">
        <v>274</v>
      </c>
      <c r="D154" t="s">
        <v>275</v>
      </c>
    </row>
    <row r="155" spans="2:4" ht="15">
      <c r="B155">
        <v>153</v>
      </c>
      <c r="C155" s="59" t="s">
        <v>276</v>
      </c>
      <c r="D155" t="s">
        <v>277</v>
      </c>
    </row>
    <row r="156" spans="2:4" ht="15">
      <c r="B156">
        <v>154</v>
      </c>
      <c r="C156" s="59" t="s">
        <v>278</v>
      </c>
      <c r="D156" t="s">
        <v>279</v>
      </c>
    </row>
    <row r="157" spans="2:4" ht="15">
      <c r="B157">
        <v>155</v>
      </c>
      <c r="C157" s="59" t="s">
        <v>280</v>
      </c>
      <c r="D157" t="s">
        <v>281</v>
      </c>
    </row>
    <row r="158" spans="2:4" ht="15">
      <c r="B158">
        <v>156</v>
      </c>
      <c r="C158" s="59" t="s">
        <v>282</v>
      </c>
      <c r="D158" t="s">
        <v>283</v>
      </c>
    </row>
    <row r="159" spans="2:4" ht="15">
      <c r="B159">
        <v>157</v>
      </c>
      <c r="C159" s="59" t="s">
        <v>284</v>
      </c>
      <c r="D159" t="s">
        <v>285</v>
      </c>
    </row>
    <row r="160" spans="2:4" ht="15">
      <c r="B160">
        <v>158</v>
      </c>
      <c r="C160" s="59" t="s">
        <v>286</v>
      </c>
      <c r="D160" t="s">
        <v>287</v>
      </c>
    </row>
    <row r="161" spans="2:4" ht="15">
      <c r="B161">
        <v>159</v>
      </c>
      <c r="C161" s="116" t="s">
        <v>288</v>
      </c>
      <c r="D161" t="s">
        <v>289</v>
      </c>
    </row>
    <row r="162" spans="2:4" ht="15">
      <c r="B162">
        <v>160</v>
      </c>
      <c r="C162" s="116" t="s">
        <v>290</v>
      </c>
      <c r="D162" t="s">
        <v>291</v>
      </c>
    </row>
    <row r="163" spans="2:4" ht="15">
      <c r="B163">
        <v>161</v>
      </c>
      <c r="C163" s="59" t="s">
        <v>54</v>
      </c>
      <c r="D163" t="s">
        <v>55</v>
      </c>
    </row>
    <row r="164" spans="2:4" ht="15">
      <c r="B164">
        <v>162</v>
      </c>
      <c r="C164" s="59" t="s">
        <v>292</v>
      </c>
      <c r="D164" t="s">
        <v>293</v>
      </c>
    </row>
    <row r="165" spans="2:5" ht="15">
      <c r="B165">
        <v>163</v>
      </c>
      <c r="C165" s="59" t="s">
        <v>294</v>
      </c>
      <c r="D165" t="s">
        <v>295</v>
      </c>
      <c r="E165" s="238"/>
    </row>
    <row r="166" spans="2:4" ht="15">
      <c r="B166">
        <v>164</v>
      </c>
      <c r="C166" t="s">
        <v>296</v>
      </c>
      <c r="D166" t="s">
        <v>297</v>
      </c>
    </row>
    <row r="167" spans="2:4" ht="15.75">
      <c r="B167">
        <v>165</v>
      </c>
      <c r="C167" s="239" t="s">
        <v>298</v>
      </c>
      <c r="D167" t="s">
        <v>299</v>
      </c>
    </row>
    <row r="168" spans="2:4" ht="15">
      <c r="B168">
        <v>166</v>
      </c>
      <c r="C168" s="163" t="s">
        <v>292</v>
      </c>
      <c r="D168" t="s">
        <v>293</v>
      </c>
    </row>
    <row r="169" spans="2:4" ht="15">
      <c r="B169">
        <v>167</v>
      </c>
      <c r="C169" t="s">
        <v>1</v>
      </c>
      <c r="D169" t="s">
        <v>177</v>
      </c>
    </row>
    <row r="170" spans="2:4" ht="15">
      <c r="B170">
        <v>168</v>
      </c>
      <c r="C170" t="s">
        <v>2</v>
      </c>
      <c r="D170" t="s">
        <v>178</v>
      </c>
    </row>
    <row r="171" spans="2:4" ht="15">
      <c r="B171">
        <v>169</v>
      </c>
      <c r="C171" t="s">
        <v>3</v>
      </c>
      <c r="D171" t="s">
        <v>179</v>
      </c>
    </row>
    <row r="172" spans="2:4" ht="15">
      <c r="B172">
        <v>170</v>
      </c>
      <c r="C172" t="s">
        <v>4</v>
      </c>
      <c r="D172" t="s">
        <v>180</v>
      </c>
    </row>
    <row r="173" spans="2:4" ht="15">
      <c r="B173">
        <v>171</v>
      </c>
      <c r="C173" t="s">
        <v>300</v>
      </c>
      <c r="D173" t="s">
        <v>301</v>
      </c>
    </row>
    <row r="174" spans="2:4" ht="15">
      <c r="B174">
        <v>172</v>
      </c>
      <c r="C174" t="s">
        <v>166</v>
      </c>
      <c r="D174" t="s">
        <v>167</v>
      </c>
    </row>
    <row r="175" spans="2:4" ht="15">
      <c r="B175">
        <v>173</v>
      </c>
      <c r="C175" t="s">
        <v>416</v>
      </c>
      <c r="D175" s="185" t="s">
        <v>418</v>
      </c>
    </row>
    <row r="176" spans="2:4" ht="15">
      <c r="B176">
        <v>174</v>
      </c>
      <c r="C176" t="s">
        <v>417</v>
      </c>
      <c r="D176" s="185" t="s">
        <v>415</v>
      </c>
    </row>
    <row r="177" spans="2:4" ht="15">
      <c r="B177">
        <v>175</v>
      </c>
      <c r="C177" s="188" t="s">
        <v>27</v>
      </c>
      <c r="D177" t="s">
        <v>28</v>
      </c>
    </row>
    <row r="178" spans="2:4" ht="15">
      <c r="B178">
        <v>176</v>
      </c>
      <c r="C178" s="188" t="s">
        <v>302</v>
      </c>
      <c r="D178" s="41" t="s">
        <v>303</v>
      </c>
    </row>
    <row r="179" spans="2:4" ht="15">
      <c r="B179">
        <v>177</v>
      </c>
      <c r="C179" s="188" t="s">
        <v>304</v>
      </c>
      <c r="D179" t="s">
        <v>305</v>
      </c>
    </row>
    <row r="180" spans="2:4" ht="15">
      <c r="B180">
        <v>178</v>
      </c>
      <c r="C180" s="188" t="s">
        <v>306</v>
      </c>
      <c r="D180" t="s">
        <v>307</v>
      </c>
    </row>
    <row r="181" spans="2:4" ht="15">
      <c r="B181">
        <v>179</v>
      </c>
      <c r="C181" s="188" t="s">
        <v>308</v>
      </c>
      <c r="D181" t="s">
        <v>309</v>
      </c>
    </row>
    <row r="182" spans="2:4" ht="15">
      <c r="B182">
        <v>180</v>
      </c>
      <c r="C182" s="188" t="s">
        <v>310</v>
      </c>
      <c r="D182" t="s">
        <v>311</v>
      </c>
    </row>
    <row r="183" spans="2:4" ht="15">
      <c r="B183">
        <v>181</v>
      </c>
      <c r="C183" s="188" t="s">
        <v>7</v>
      </c>
      <c r="D183" t="s">
        <v>7</v>
      </c>
    </row>
    <row r="184" spans="2:4" ht="15">
      <c r="B184">
        <v>182</v>
      </c>
      <c r="C184" s="188" t="s">
        <v>9</v>
      </c>
      <c r="D184" t="s">
        <v>9</v>
      </c>
    </row>
    <row r="185" spans="2:4" ht="15">
      <c r="B185">
        <v>183</v>
      </c>
      <c r="C185" s="188" t="s">
        <v>10</v>
      </c>
      <c r="D185" t="s">
        <v>38</v>
      </c>
    </row>
    <row r="186" spans="2:4" ht="15">
      <c r="B186">
        <v>184</v>
      </c>
      <c r="C186" t="s">
        <v>312</v>
      </c>
      <c r="D186" t="s">
        <v>313</v>
      </c>
    </row>
    <row r="187" spans="2:4" ht="15">
      <c r="B187">
        <v>185</v>
      </c>
      <c r="C187" t="s">
        <v>314</v>
      </c>
      <c r="D187" t="s">
        <v>315</v>
      </c>
    </row>
    <row r="188" spans="2:4" ht="15">
      <c r="B188">
        <v>186</v>
      </c>
      <c r="C188" t="s">
        <v>316</v>
      </c>
      <c r="D188" t="s">
        <v>317</v>
      </c>
    </row>
    <row r="189" spans="2:4" ht="15">
      <c r="B189">
        <v>187</v>
      </c>
      <c r="C189" t="s">
        <v>318</v>
      </c>
      <c r="D189" t="s">
        <v>269</v>
      </c>
    </row>
    <row r="190" spans="2:3" ht="15">
      <c r="B190">
        <v>188</v>
      </c>
      <c r="C190" s="214" t="s">
        <v>319</v>
      </c>
    </row>
    <row r="191" spans="2:3" ht="15">
      <c r="B191">
        <v>189</v>
      </c>
      <c r="C191" s="214" t="s">
        <v>320</v>
      </c>
    </row>
    <row r="192" spans="2:3" ht="15">
      <c r="B192">
        <v>190</v>
      </c>
      <c r="C192" s="214" t="s">
        <v>321</v>
      </c>
    </row>
    <row r="193" spans="2:4" ht="15">
      <c r="B193">
        <v>191</v>
      </c>
      <c r="C193" s="214" t="s">
        <v>203</v>
      </c>
      <c r="D193" t="s">
        <v>204</v>
      </c>
    </row>
    <row r="194" spans="2:3" ht="15">
      <c r="B194">
        <v>192</v>
      </c>
      <c r="C194" s="214" t="s">
        <v>205</v>
      </c>
    </row>
    <row r="195" spans="2:3" ht="15">
      <c r="B195">
        <v>193</v>
      </c>
      <c r="C195" s="214" t="s">
        <v>11</v>
      </c>
    </row>
    <row r="196" spans="2:3" ht="15">
      <c r="B196">
        <v>194</v>
      </c>
      <c r="C196" s="216" t="s">
        <v>210</v>
      </c>
    </row>
    <row r="197" spans="2:3" ht="15">
      <c r="B197">
        <v>195</v>
      </c>
      <c r="C197" s="214" t="s">
        <v>322</v>
      </c>
    </row>
    <row r="198" spans="2:3" ht="15">
      <c r="B198">
        <v>196</v>
      </c>
      <c r="C198" s="214" t="s">
        <v>323</v>
      </c>
    </row>
    <row r="199" spans="2:3" ht="15">
      <c r="B199">
        <v>197</v>
      </c>
      <c r="C199" s="214" t="s">
        <v>207</v>
      </c>
    </row>
    <row r="200" spans="2:3" ht="15">
      <c r="B200">
        <v>198</v>
      </c>
      <c r="C200" s="214" t="s">
        <v>199</v>
      </c>
    </row>
    <row r="201" spans="2:3" ht="15">
      <c r="B201">
        <v>199</v>
      </c>
      <c r="C201" s="214" t="s">
        <v>324</v>
      </c>
    </row>
    <row r="202" spans="2:3" ht="15">
      <c r="B202">
        <v>200</v>
      </c>
      <c r="C202" s="214" t="s">
        <v>197</v>
      </c>
    </row>
    <row r="203" spans="2:3" ht="15">
      <c r="B203">
        <v>201</v>
      </c>
      <c r="C203" s="214" t="s">
        <v>325</v>
      </c>
    </row>
    <row r="204" spans="2:3" ht="15">
      <c r="B204">
        <v>202</v>
      </c>
      <c r="C204" s="216" t="s">
        <v>326</v>
      </c>
    </row>
    <row r="205" spans="2:4" ht="15">
      <c r="B205">
        <v>203</v>
      </c>
      <c r="C205" s="214" t="s">
        <v>327</v>
      </c>
      <c r="D205" t="s">
        <v>328</v>
      </c>
    </row>
    <row r="206" spans="2:4" ht="15">
      <c r="B206">
        <v>204</v>
      </c>
      <c r="C206" s="214" t="s">
        <v>329</v>
      </c>
      <c r="D206" t="s">
        <v>329</v>
      </c>
    </row>
    <row r="207" spans="2:4" ht="15">
      <c r="B207">
        <v>205</v>
      </c>
      <c r="C207" s="214" t="s">
        <v>330</v>
      </c>
      <c r="D207" s="214" t="s">
        <v>331</v>
      </c>
    </row>
    <row r="208" spans="2:4" ht="15">
      <c r="B208">
        <v>206</v>
      </c>
      <c r="C208" t="s">
        <v>526</v>
      </c>
      <c r="D208" t="s">
        <v>527</v>
      </c>
    </row>
    <row r="209" spans="2:4" ht="15">
      <c r="B209">
        <v>207</v>
      </c>
      <c r="C209" t="s">
        <v>332</v>
      </c>
      <c r="D209" t="s">
        <v>333</v>
      </c>
    </row>
    <row r="210" spans="2:4" ht="15">
      <c r="B210">
        <v>208</v>
      </c>
      <c r="C210" s="214" t="s">
        <v>334</v>
      </c>
      <c r="D210" t="s">
        <v>335</v>
      </c>
    </row>
    <row r="211" spans="2:4" ht="15">
      <c r="B211">
        <v>209</v>
      </c>
      <c r="C211" s="214" t="s">
        <v>197</v>
      </c>
      <c r="D211" t="s">
        <v>198</v>
      </c>
    </row>
    <row r="212" spans="2:4" ht="15">
      <c r="B212">
        <v>210</v>
      </c>
      <c r="C212" s="214" t="s">
        <v>336</v>
      </c>
      <c r="D212" t="s">
        <v>337</v>
      </c>
    </row>
    <row r="213" spans="2:4" ht="15">
      <c r="B213">
        <v>211</v>
      </c>
      <c r="C213" s="214" t="s">
        <v>338</v>
      </c>
      <c r="D213" t="s">
        <v>362</v>
      </c>
    </row>
    <row r="214" spans="2:4" ht="15">
      <c r="B214">
        <v>212</v>
      </c>
      <c r="C214" s="214" t="s">
        <v>339</v>
      </c>
      <c r="D214" t="s">
        <v>340</v>
      </c>
    </row>
    <row r="215" spans="2:4" ht="15">
      <c r="B215">
        <v>213</v>
      </c>
      <c r="C215" s="214" t="s">
        <v>341</v>
      </c>
      <c r="D215" t="s">
        <v>342</v>
      </c>
    </row>
    <row r="216" spans="2:4" ht="15">
      <c r="B216">
        <v>214</v>
      </c>
      <c r="C216" s="214" t="s">
        <v>203</v>
      </c>
      <c r="D216" t="s">
        <v>204</v>
      </c>
    </row>
    <row r="217" spans="2:4" ht="15">
      <c r="B217">
        <v>215</v>
      </c>
      <c r="C217" s="214" t="s">
        <v>11</v>
      </c>
      <c r="D217" t="s">
        <v>343</v>
      </c>
    </row>
    <row r="218" spans="2:4" ht="15">
      <c r="B218">
        <v>216</v>
      </c>
      <c r="C218" s="214" t="s">
        <v>325</v>
      </c>
      <c r="D218" t="s">
        <v>344</v>
      </c>
    </row>
    <row r="219" spans="2:4" ht="15">
      <c r="B219">
        <v>217</v>
      </c>
      <c r="C219" s="214" t="s">
        <v>345</v>
      </c>
      <c r="D219" t="s">
        <v>328</v>
      </c>
    </row>
    <row r="220" spans="2:8" ht="15" customHeight="1">
      <c r="B220">
        <v>218</v>
      </c>
      <c r="C220" s="214" t="s">
        <v>346</v>
      </c>
      <c r="D220" s="214" t="s">
        <v>347</v>
      </c>
      <c r="E220" s="214"/>
      <c r="F220" s="214"/>
      <c r="G220" s="214"/>
      <c r="H220" s="214"/>
    </row>
    <row r="221" spans="2:4" ht="15" customHeight="1">
      <c r="B221">
        <v>219</v>
      </c>
      <c r="C221" t="s">
        <v>394</v>
      </c>
      <c r="D221" t="s">
        <v>348</v>
      </c>
    </row>
    <row r="222" spans="2:4" ht="15">
      <c r="B222">
        <v>220</v>
      </c>
      <c r="C222" t="s">
        <v>349</v>
      </c>
      <c r="D222" t="s">
        <v>350</v>
      </c>
    </row>
    <row r="223" spans="2:4" ht="15">
      <c r="B223">
        <v>221</v>
      </c>
      <c r="C223" t="s">
        <v>351</v>
      </c>
      <c r="D223" t="s">
        <v>352</v>
      </c>
    </row>
    <row r="224" spans="2:4" ht="15">
      <c r="B224">
        <v>222</v>
      </c>
      <c r="C224" t="s">
        <v>359</v>
      </c>
      <c r="D224" t="s">
        <v>359</v>
      </c>
    </row>
    <row r="225" spans="2:4" ht="15">
      <c r="B225">
        <v>223</v>
      </c>
      <c r="C225" t="s">
        <v>357</v>
      </c>
      <c r="D225" t="s">
        <v>358</v>
      </c>
    </row>
    <row r="226" spans="2:4" ht="15">
      <c r="B226">
        <v>224</v>
      </c>
      <c r="C226" t="s">
        <v>360</v>
      </c>
      <c r="D226" t="s">
        <v>361</v>
      </c>
    </row>
    <row r="227" spans="2:4" ht="15">
      <c r="B227">
        <v>225</v>
      </c>
      <c r="C227" t="s">
        <v>353</v>
      </c>
      <c r="D227" t="s">
        <v>354</v>
      </c>
    </row>
    <row r="228" spans="2:4" ht="15">
      <c r="B228">
        <v>226</v>
      </c>
      <c r="C228" t="s">
        <v>363</v>
      </c>
      <c r="D228" t="s">
        <v>364</v>
      </c>
    </row>
    <row r="229" spans="2:4" ht="15">
      <c r="B229">
        <v>227</v>
      </c>
      <c r="C229" s="237" t="s">
        <v>355</v>
      </c>
      <c r="D229" t="s">
        <v>356</v>
      </c>
    </row>
    <row r="230" spans="2:4" ht="15">
      <c r="B230">
        <v>228</v>
      </c>
      <c r="C230" t="s">
        <v>393</v>
      </c>
      <c r="D230" t="s">
        <v>365</v>
      </c>
    </row>
    <row r="231" spans="2:4" ht="15">
      <c r="B231">
        <v>229</v>
      </c>
      <c r="C231" t="s">
        <v>366</v>
      </c>
      <c r="D231" t="s">
        <v>367</v>
      </c>
    </row>
    <row r="232" spans="2:4" ht="15">
      <c r="B232">
        <v>230</v>
      </c>
      <c r="C232" s="216" t="s">
        <v>16</v>
      </c>
      <c r="D232" t="s">
        <v>17</v>
      </c>
    </row>
    <row r="233" spans="2:4" ht="15">
      <c r="B233">
        <v>231</v>
      </c>
      <c r="C233" s="214" t="s">
        <v>368</v>
      </c>
      <c r="D233" t="s">
        <v>369</v>
      </c>
    </row>
    <row r="234" spans="2:4" ht="15">
      <c r="B234">
        <v>232</v>
      </c>
      <c r="C234" s="214" t="s">
        <v>25</v>
      </c>
      <c r="D234" t="s">
        <v>26</v>
      </c>
    </row>
    <row r="235" spans="2:4" ht="15">
      <c r="B235">
        <v>233</v>
      </c>
      <c r="C235" s="214" t="s">
        <v>370</v>
      </c>
      <c r="D235" t="s">
        <v>371</v>
      </c>
    </row>
    <row r="236" spans="2:4" ht="15">
      <c r="B236">
        <v>234</v>
      </c>
      <c r="C236" s="214" t="s">
        <v>372</v>
      </c>
      <c r="D236" t="s">
        <v>373</v>
      </c>
    </row>
    <row r="237" spans="2:4" ht="15">
      <c r="B237">
        <v>235</v>
      </c>
      <c r="C237" s="214" t="s">
        <v>31</v>
      </c>
      <c r="D237" t="s">
        <v>31</v>
      </c>
    </row>
    <row r="238" spans="2:4" ht="15">
      <c r="B238">
        <v>236</v>
      </c>
      <c r="C238" s="214" t="s">
        <v>374</v>
      </c>
      <c r="D238" t="s">
        <v>375</v>
      </c>
    </row>
    <row r="239" spans="2:4" ht="15">
      <c r="B239">
        <v>237</v>
      </c>
      <c r="C239" s="214" t="s">
        <v>33</v>
      </c>
      <c r="D239" t="s">
        <v>33</v>
      </c>
    </row>
    <row r="240" spans="2:4" ht="15">
      <c r="B240">
        <v>238</v>
      </c>
      <c r="C240" s="214" t="s">
        <v>376</v>
      </c>
      <c r="D240" t="s">
        <v>37</v>
      </c>
    </row>
    <row r="241" spans="2:4" ht="15">
      <c r="B241">
        <v>239</v>
      </c>
      <c r="C241" s="214" t="s">
        <v>377</v>
      </c>
      <c r="D241" t="s">
        <v>378</v>
      </c>
    </row>
    <row r="242" spans="2:4" ht="15">
      <c r="B242">
        <v>240</v>
      </c>
      <c r="C242" s="214" t="s">
        <v>379</v>
      </c>
      <c r="D242" t="s">
        <v>380</v>
      </c>
    </row>
    <row r="243" spans="2:4" ht="15">
      <c r="B243">
        <v>241</v>
      </c>
      <c r="C243" s="214" t="s">
        <v>381</v>
      </c>
      <c r="D243" t="s">
        <v>382</v>
      </c>
    </row>
    <row r="244" spans="2:4" ht="15">
      <c r="B244">
        <v>242</v>
      </c>
      <c r="C244" s="214" t="s">
        <v>383</v>
      </c>
      <c r="D244" t="s">
        <v>384</v>
      </c>
    </row>
    <row r="245" spans="2:4" ht="15">
      <c r="B245">
        <v>243</v>
      </c>
      <c r="C245" t="s">
        <v>385</v>
      </c>
      <c r="D245" t="s">
        <v>386</v>
      </c>
    </row>
    <row r="246" spans="2:4" ht="15">
      <c r="B246">
        <v>244</v>
      </c>
      <c r="C246" t="s">
        <v>387</v>
      </c>
      <c r="D246" t="s">
        <v>388</v>
      </c>
    </row>
    <row r="247" spans="2:4" ht="15.75">
      <c r="B247">
        <v>245</v>
      </c>
      <c r="C247" s="234" t="s">
        <v>389</v>
      </c>
      <c r="D247" s="234" t="s">
        <v>390</v>
      </c>
    </row>
    <row r="248" spans="2:4" ht="15">
      <c r="B248">
        <v>246</v>
      </c>
      <c r="C248" s="214" t="s">
        <v>391</v>
      </c>
      <c r="D248" t="s">
        <v>391</v>
      </c>
    </row>
    <row r="249" spans="2:4" ht="15">
      <c r="B249">
        <v>247</v>
      </c>
      <c r="C249" t="s">
        <v>395</v>
      </c>
      <c r="D249" t="s">
        <v>396</v>
      </c>
    </row>
    <row r="250" spans="2:4" ht="15">
      <c r="B250">
        <v>248</v>
      </c>
      <c r="C250" t="s">
        <v>397</v>
      </c>
      <c r="D250" t="s">
        <v>398</v>
      </c>
    </row>
    <row r="251" spans="2:4" ht="15">
      <c r="B251">
        <v>249</v>
      </c>
      <c r="C251" t="s">
        <v>399</v>
      </c>
      <c r="D251" t="s">
        <v>400</v>
      </c>
    </row>
    <row r="252" spans="2:4" ht="15">
      <c r="B252">
        <v>250</v>
      </c>
      <c r="C252" t="s">
        <v>401</v>
      </c>
      <c r="D252" t="s">
        <v>402</v>
      </c>
    </row>
    <row r="253" spans="2:4" ht="15">
      <c r="B253">
        <v>251</v>
      </c>
      <c r="C253" t="s">
        <v>403</v>
      </c>
      <c r="D253" t="s">
        <v>404</v>
      </c>
    </row>
    <row r="254" spans="2:4" ht="15">
      <c r="B254">
        <v>252</v>
      </c>
      <c r="C254" t="s">
        <v>405</v>
      </c>
      <c r="D254" t="s">
        <v>406</v>
      </c>
    </row>
    <row r="255" spans="2:4" ht="15">
      <c r="B255">
        <v>253</v>
      </c>
      <c r="C255" t="s">
        <v>407</v>
      </c>
      <c r="D255" t="s">
        <v>408</v>
      </c>
    </row>
    <row r="256" spans="2:4" ht="15">
      <c r="B256">
        <v>254</v>
      </c>
      <c r="C256" t="s">
        <v>409</v>
      </c>
      <c r="D256" t="s">
        <v>410</v>
      </c>
    </row>
    <row r="257" spans="2:4" ht="15">
      <c r="B257">
        <v>255</v>
      </c>
      <c r="C257" t="s">
        <v>423</v>
      </c>
      <c r="D257" t="s">
        <v>411</v>
      </c>
    </row>
    <row r="258" spans="2:4" ht="15">
      <c r="B258">
        <v>256</v>
      </c>
      <c r="C258" t="s">
        <v>532</v>
      </c>
      <c r="D258" t="s">
        <v>533</v>
      </c>
    </row>
    <row r="259" spans="2:4" ht="15">
      <c r="B259">
        <v>257</v>
      </c>
      <c r="C259" t="s">
        <v>422</v>
      </c>
      <c r="D259" t="s">
        <v>424</v>
      </c>
    </row>
    <row r="260" spans="2:4" ht="15">
      <c r="B260">
        <v>258</v>
      </c>
      <c r="C260" t="s">
        <v>419</v>
      </c>
      <c r="D260" t="s">
        <v>420</v>
      </c>
    </row>
    <row r="261" spans="2:4" ht="15">
      <c r="B261">
        <v>259</v>
      </c>
      <c r="C261" t="s">
        <v>425</v>
      </c>
      <c r="D261" t="s">
        <v>426</v>
      </c>
    </row>
    <row r="262" spans="2:4" ht="15">
      <c r="B262">
        <v>260</v>
      </c>
      <c r="C262" t="s">
        <v>427</v>
      </c>
      <c r="D262" t="s">
        <v>428</v>
      </c>
    </row>
    <row r="263" spans="2:4" ht="15">
      <c r="B263">
        <v>261</v>
      </c>
      <c r="C263" t="s">
        <v>429</v>
      </c>
      <c r="D263" t="s">
        <v>430</v>
      </c>
    </row>
    <row r="264" spans="2:4" ht="15">
      <c r="B264">
        <v>262</v>
      </c>
      <c r="C264" t="s">
        <v>431</v>
      </c>
      <c r="D264" t="s">
        <v>432</v>
      </c>
    </row>
    <row r="265" spans="2:4" ht="15">
      <c r="B265">
        <v>263</v>
      </c>
      <c r="C265" t="s">
        <v>433</v>
      </c>
      <c r="D265" t="s">
        <v>434</v>
      </c>
    </row>
    <row r="266" spans="2:4" ht="15">
      <c r="B266">
        <v>264</v>
      </c>
      <c r="C266" t="s">
        <v>446</v>
      </c>
      <c r="D266" t="s">
        <v>447</v>
      </c>
    </row>
    <row r="267" spans="2:4" ht="15" customHeight="1">
      <c r="B267">
        <v>265</v>
      </c>
      <c r="C267" t="s">
        <v>435</v>
      </c>
      <c r="D267" t="s">
        <v>436</v>
      </c>
    </row>
    <row r="268" spans="2:4" ht="15">
      <c r="B268">
        <v>266</v>
      </c>
      <c r="C268" t="s">
        <v>445</v>
      </c>
      <c r="D268" t="s">
        <v>444</v>
      </c>
    </row>
    <row r="269" spans="2:4" ht="15">
      <c r="B269">
        <v>267</v>
      </c>
      <c r="C269" t="s">
        <v>437</v>
      </c>
      <c r="D269" t="s">
        <v>438</v>
      </c>
    </row>
    <row r="270" spans="2:4" ht="15">
      <c r="B270">
        <v>268</v>
      </c>
      <c r="C270" t="s">
        <v>448</v>
      </c>
      <c r="D270" t="s">
        <v>439</v>
      </c>
    </row>
    <row r="271" spans="2:4" ht="15">
      <c r="B271">
        <v>269</v>
      </c>
      <c r="C271" t="s">
        <v>441</v>
      </c>
      <c r="D271" t="s">
        <v>440</v>
      </c>
    </row>
    <row r="272" spans="2:4" ht="15">
      <c r="B272">
        <v>270</v>
      </c>
      <c r="C272" t="s">
        <v>443</v>
      </c>
      <c r="D272" t="s">
        <v>442</v>
      </c>
    </row>
    <row r="273" spans="2:4" ht="15">
      <c r="B273">
        <v>271</v>
      </c>
      <c r="C273" t="s">
        <v>449</v>
      </c>
      <c r="D273" t="s">
        <v>450</v>
      </c>
    </row>
    <row r="274" spans="2:4" ht="15">
      <c r="B274">
        <v>272</v>
      </c>
      <c r="C274" t="s">
        <v>451</v>
      </c>
      <c r="D274" t="s">
        <v>452</v>
      </c>
    </row>
    <row r="275" spans="2:4" ht="15">
      <c r="B275">
        <v>273</v>
      </c>
      <c r="C275" s="285" t="s">
        <v>453</v>
      </c>
      <c r="D275" s="285" t="s">
        <v>454</v>
      </c>
    </row>
    <row r="276" spans="2:4" ht="15.75">
      <c r="B276">
        <v>274</v>
      </c>
      <c r="C276" s="286" t="s">
        <v>534</v>
      </c>
      <c r="D276" t="s">
        <v>455</v>
      </c>
    </row>
    <row r="277" spans="2:4" ht="15">
      <c r="B277">
        <v>275</v>
      </c>
      <c r="C277" s="286" t="s">
        <v>456</v>
      </c>
      <c r="D277" t="s">
        <v>457</v>
      </c>
    </row>
    <row r="278" spans="2:4" ht="15">
      <c r="B278">
        <v>276</v>
      </c>
      <c r="C278" s="286" t="s">
        <v>458</v>
      </c>
      <c r="D278" t="s">
        <v>459</v>
      </c>
    </row>
    <row r="279" spans="2:4" ht="15">
      <c r="B279">
        <v>277</v>
      </c>
      <c r="C279" s="286" t="s">
        <v>460</v>
      </c>
      <c r="D279" t="s">
        <v>461</v>
      </c>
    </row>
    <row r="280" spans="2:4" ht="15">
      <c r="B280">
        <v>278</v>
      </c>
      <c r="C280" s="286" t="s">
        <v>462</v>
      </c>
      <c r="D280" t="s">
        <v>463</v>
      </c>
    </row>
    <row r="281" spans="2:4" ht="15">
      <c r="B281">
        <v>279</v>
      </c>
      <c r="C281" s="286" t="s">
        <v>464</v>
      </c>
      <c r="D281" t="s">
        <v>465</v>
      </c>
    </row>
    <row r="282" spans="2:4" ht="15.75">
      <c r="B282">
        <v>280</v>
      </c>
      <c r="C282" s="234" t="s">
        <v>466</v>
      </c>
      <c r="D282" s="234" t="s">
        <v>466</v>
      </c>
    </row>
    <row r="283" spans="2:4" ht="15">
      <c r="B283">
        <v>281</v>
      </c>
      <c r="C283" s="286" t="s">
        <v>467</v>
      </c>
      <c r="D283" t="s">
        <v>468</v>
      </c>
    </row>
    <row r="284" spans="2:4" ht="15.75">
      <c r="B284">
        <v>282</v>
      </c>
      <c r="C284" s="234" t="s">
        <v>469</v>
      </c>
      <c r="D284" t="s">
        <v>470</v>
      </c>
    </row>
    <row r="285" spans="2:4" ht="15.75">
      <c r="B285">
        <v>283</v>
      </c>
      <c r="C285" s="234" t="s">
        <v>36</v>
      </c>
      <c r="D285" s="234" t="s">
        <v>528</v>
      </c>
    </row>
    <row r="286" spans="2:4" ht="15.75">
      <c r="B286">
        <v>284</v>
      </c>
      <c r="C286" s="234" t="s">
        <v>471</v>
      </c>
      <c r="D286" t="s">
        <v>472</v>
      </c>
    </row>
    <row r="287" spans="2:4" ht="15.75">
      <c r="B287">
        <v>285</v>
      </c>
      <c r="C287" s="234" t="s">
        <v>473</v>
      </c>
      <c r="D287" s="214" t="s">
        <v>474</v>
      </c>
    </row>
    <row r="288" spans="2:4" ht="15.75">
      <c r="B288">
        <v>286</v>
      </c>
      <c r="C288" s="234" t="s">
        <v>475</v>
      </c>
      <c r="D288" s="214" t="s">
        <v>476</v>
      </c>
    </row>
    <row r="289" spans="2:4" ht="15.75">
      <c r="B289">
        <v>287</v>
      </c>
      <c r="C289" s="234" t="s">
        <v>477</v>
      </c>
      <c r="D289" s="216" t="s">
        <v>478</v>
      </c>
    </row>
    <row r="290" spans="2:4" ht="15.75">
      <c r="B290">
        <v>288</v>
      </c>
      <c r="C290" s="234" t="s">
        <v>479</v>
      </c>
      <c r="D290" s="216" t="s">
        <v>480</v>
      </c>
    </row>
    <row r="291" spans="2:4" ht="15.75">
      <c r="B291">
        <v>289</v>
      </c>
      <c r="C291" s="234" t="s">
        <v>481</v>
      </c>
      <c r="D291" s="214" t="s">
        <v>482</v>
      </c>
    </row>
    <row r="292" spans="2:4" ht="15.75">
      <c r="B292">
        <v>290</v>
      </c>
      <c r="C292" s="234" t="s">
        <v>483</v>
      </c>
      <c r="D292" s="214" t="s">
        <v>484</v>
      </c>
    </row>
    <row r="293" spans="2:4" ht="15.75">
      <c r="B293">
        <v>291</v>
      </c>
      <c r="C293" s="234" t="s">
        <v>485</v>
      </c>
      <c r="D293" s="216" t="s">
        <v>486</v>
      </c>
    </row>
    <row r="294" spans="2:4" ht="15.75">
      <c r="B294">
        <v>292</v>
      </c>
      <c r="C294" s="234" t="s">
        <v>487</v>
      </c>
      <c r="D294" s="214" t="s">
        <v>488</v>
      </c>
    </row>
    <row r="295" spans="2:4" ht="15.75">
      <c r="B295">
        <v>293</v>
      </c>
      <c r="C295" s="234" t="s">
        <v>489</v>
      </c>
      <c r="D295" s="214" t="s">
        <v>490</v>
      </c>
    </row>
    <row r="296" spans="2:4" ht="15.75">
      <c r="B296">
        <v>294</v>
      </c>
      <c r="C296" s="234" t="s">
        <v>491</v>
      </c>
      <c r="D296" s="216" t="s">
        <v>492</v>
      </c>
    </row>
    <row r="297" spans="2:4" ht="15.75">
      <c r="B297">
        <v>295</v>
      </c>
      <c r="C297" s="234" t="s">
        <v>493</v>
      </c>
      <c r="D297" s="234" t="s">
        <v>494</v>
      </c>
    </row>
    <row r="298" spans="2:4" ht="15">
      <c r="B298">
        <v>296</v>
      </c>
      <c r="C298" s="214" t="s">
        <v>495</v>
      </c>
      <c r="D298" t="s">
        <v>496</v>
      </c>
    </row>
    <row r="299" spans="2:11" ht="15">
      <c r="B299">
        <v>297</v>
      </c>
      <c r="C299" t="s">
        <v>535</v>
      </c>
      <c r="D299" t="s">
        <v>536</v>
      </c>
      <c r="E299" s="287"/>
      <c r="F299" s="287"/>
      <c r="G299" s="287"/>
      <c r="H299" s="287"/>
      <c r="I299" s="287"/>
      <c r="J299" s="287"/>
      <c r="K299" s="287"/>
    </row>
    <row r="300" spans="2:4" ht="15">
      <c r="B300">
        <v>298</v>
      </c>
      <c r="C300" t="s">
        <v>503</v>
      </c>
      <c r="D300" t="s">
        <v>504</v>
      </c>
    </row>
    <row r="301" spans="2:4" ht="15.75">
      <c r="B301">
        <v>299</v>
      </c>
      <c r="C301" s="234" t="s">
        <v>497</v>
      </c>
      <c r="D301" t="s">
        <v>498</v>
      </c>
    </row>
    <row r="302" spans="2:4" ht="15.75">
      <c r="B302">
        <v>300</v>
      </c>
      <c r="C302" s="234" t="s">
        <v>499</v>
      </c>
      <c r="D302" s="234" t="s">
        <v>500</v>
      </c>
    </row>
    <row r="303" spans="2:4" ht="15">
      <c r="B303">
        <v>301</v>
      </c>
      <c r="C303" t="s">
        <v>501</v>
      </c>
      <c r="D303" t="s">
        <v>502</v>
      </c>
    </row>
    <row r="304" spans="2:4" ht="15">
      <c r="B304">
        <v>302</v>
      </c>
      <c r="C304" t="s">
        <v>505</v>
      </c>
      <c r="D304" t="s">
        <v>506</v>
      </c>
    </row>
    <row r="305" spans="2:4" ht="15.75">
      <c r="B305">
        <v>303</v>
      </c>
      <c r="C305" s="291" t="s">
        <v>507</v>
      </c>
      <c r="D305" s="291" t="s">
        <v>508</v>
      </c>
    </row>
    <row r="306" spans="2:4" ht="15.75">
      <c r="B306">
        <v>304</v>
      </c>
      <c r="C306" s="286" t="s">
        <v>537</v>
      </c>
      <c r="D306" t="s">
        <v>509</v>
      </c>
    </row>
    <row r="307" spans="2:4" ht="15">
      <c r="B307">
        <v>305</v>
      </c>
      <c r="C307" t="s">
        <v>510</v>
      </c>
      <c r="D307" t="s">
        <v>511</v>
      </c>
    </row>
    <row r="308" spans="2:4" ht="15">
      <c r="B308">
        <v>306</v>
      </c>
      <c r="C308" t="s">
        <v>512</v>
      </c>
      <c r="D308" t="s">
        <v>513</v>
      </c>
    </row>
    <row r="309" spans="2:4" ht="15">
      <c r="B309">
        <v>307</v>
      </c>
      <c r="C309" t="s">
        <v>514</v>
      </c>
      <c r="D309" t="s">
        <v>515</v>
      </c>
    </row>
    <row r="310" spans="2:4" ht="15">
      <c r="B310">
        <v>308</v>
      </c>
      <c r="C310" t="s">
        <v>516</v>
      </c>
      <c r="D310" t="s">
        <v>517</v>
      </c>
    </row>
    <row r="311" spans="2:4" ht="15.75">
      <c r="B311">
        <v>309</v>
      </c>
      <c r="C311" s="286" t="s">
        <v>538</v>
      </c>
      <c r="D311" t="s">
        <v>518</v>
      </c>
    </row>
    <row r="312" spans="2:4" ht="15.75">
      <c r="B312">
        <v>310</v>
      </c>
      <c r="C312" s="286" t="s">
        <v>539</v>
      </c>
      <c r="D312" t="s">
        <v>519</v>
      </c>
    </row>
    <row r="313" spans="2:4" ht="15">
      <c r="B313">
        <v>311</v>
      </c>
      <c r="C313" t="s">
        <v>540</v>
      </c>
      <c r="D313" t="s">
        <v>541</v>
      </c>
    </row>
    <row r="314" spans="2:4" ht="15">
      <c r="B314">
        <v>312</v>
      </c>
      <c r="C314" t="s">
        <v>529</v>
      </c>
      <c r="D314" t="s">
        <v>530</v>
      </c>
    </row>
    <row r="315" spans="2:4" ht="15">
      <c r="B315">
        <v>313</v>
      </c>
      <c r="C315" t="s">
        <v>542</v>
      </c>
      <c r="D315" t="s">
        <v>543</v>
      </c>
    </row>
    <row r="316" spans="2:4" ht="15">
      <c r="B316">
        <v>314</v>
      </c>
      <c r="C316" t="s">
        <v>544</v>
      </c>
      <c r="D316" t="s">
        <v>545</v>
      </c>
    </row>
    <row r="317" spans="2:4" ht="15">
      <c r="B317">
        <v>315</v>
      </c>
      <c r="C317" t="s">
        <v>546</v>
      </c>
      <c r="D317" t="s">
        <v>547</v>
      </c>
    </row>
    <row r="318" spans="2:4" ht="15">
      <c r="B318">
        <v>316</v>
      </c>
      <c r="C318" t="s">
        <v>548</v>
      </c>
      <c r="D318" t="s">
        <v>549</v>
      </c>
    </row>
    <row r="319" spans="2:4" ht="15">
      <c r="B319">
        <v>317</v>
      </c>
      <c r="C319" t="s">
        <v>550</v>
      </c>
      <c r="D319" t="s">
        <v>551</v>
      </c>
    </row>
    <row r="320" spans="2:4" ht="15">
      <c r="B320">
        <v>318</v>
      </c>
      <c r="C320" t="s">
        <v>520</v>
      </c>
      <c r="D320" t="s">
        <v>504</v>
      </c>
    </row>
    <row r="321" spans="2:4" ht="15">
      <c r="B321">
        <v>319</v>
      </c>
      <c r="C321" t="s">
        <v>552</v>
      </c>
      <c r="D321" t="s">
        <v>553</v>
      </c>
    </row>
    <row r="1000" ht="15">
      <c r="A1000" t="s">
        <v>392</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19">
      <selection activeCell="A1" sqref="A1"/>
    </sheetView>
  </sheetViews>
  <sheetFormatPr defaultColWidth="11.421875" defaultRowHeight="15"/>
  <cols>
    <col min="1" max="1" width="62.00390625" style="31" customWidth="1"/>
    <col min="2" max="2" width="12.8515625" style="31" customWidth="1"/>
    <col min="3" max="3" width="13.00390625" style="31" customWidth="1"/>
    <col min="4" max="7" width="11.421875" style="31" customWidth="1"/>
    <col min="8" max="9" width="0" style="31" hidden="1" customWidth="1"/>
    <col min="10"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50">
        <v>33.449</v>
      </c>
      <c r="C8" s="50">
        <v>36.57300000000001</v>
      </c>
      <c r="D8" s="50">
        <v>34.124</v>
      </c>
      <c r="E8" s="274">
        <v>34.707</v>
      </c>
      <c r="F8" s="50">
        <v>33.682</v>
      </c>
      <c r="G8" s="50">
        <v>33.482</v>
      </c>
      <c r="H8" s="50">
        <v>0</v>
      </c>
      <c r="I8" s="50">
        <v>0</v>
      </c>
    </row>
    <row r="9" spans="1:9" ht="15">
      <c r="A9" s="43" t="str">
        <f>HLOOKUP(INDICE!$F$2,Nombres!$C$3:$D$636,34,FALSE)</f>
        <v>Net fees and commissions</v>
      </c>
      <c r="B9" s="44">
        <v>-4.187999999999999</v>
      </c>
      <c r="C9" s="44">
        <v>-4.568000000000001</v>
      </c>
      <c r="D9" s="44">
        <v>-0.8979999999999991</v>
      </c>
      <c r="E9" s="45">
        <v>2.3269999999999964</v>
      </c>
      <c r="F9" s="44">
        <v>5</v>
      </c>
      <c r="G9" s="44">
        <v>3.191</v>
      </c>
      <c r="H9" s="44">
        <v>0</v>
      </c>
      <c r="I9" s="44">
        <v>0</v>
      </c>
    </row>
    <row r="10" spans="1:9" ht="15">
      <c r="A10" s="43" t="str">
        <f>HLOOKUP(INDICE!$F$2,Nombres!$C$3:$D$636,35,FALSE)</f>
        <v>Net trading income</v>
      </c>
      <c r="B10" s="44">
        <v>0.04000000000000001</v>
      </c>
      <c r="C10" s="44">
        <v>-0.034</v>
      </c>
      <c r="D10" s="44">
        <v>0.517</v>
      </c>
      <c r="E10" s="45">
        <v>0.44</v>
      </c>
      <c r="F10" s="44">
        <v>1.4220000000000002</v>
      </c>
      <c r="G10" s="44">
        <v>1.581</v>
      </c>
      <c r="H10" s="44">
        <v>0</v>
      </c>
      <c r="I10" s="44">
        <v>0</v>
      </c>
    </row>
    <row r="11" spans="1:9" ht="15">
      <c r="A11" s="43" t="str">
        <f>HLOOKUP(INDICE!$F$2,Nombres!$C$3:$D$636,36,FALSE)</f>
        <v>Other operating income and expenses</v>
      </c>
      <c r="B11" s="44">
        <v>-0.5</v>
      </c>
      <c r="C11" s="44">
        <v>0.39100000000000007</v>
      </c>
      <c r="D11" s="44">
        <v>0.182</v>
      </c>
      <c r="E11" s="45">
        <v>-0.081</v>
      </c>
      <c r="F11" s="44">
        <v>-0.11699999999999999</v>
      </c>
      <c r="G11" s="44">
        <v>-0.206</v>
      </c>
      <c r="H11" s="44">
        <v>0</v>
      </c>
      <c r="I11" s="44">
        <v>0</v>
      </c>
    </row>
    <row r="12" spans="1:9" ht="15">
      <c r="A12" s="41" t="str">
        <f>HLOOKUP(INDICE!$F$2,Nombres!$C$3:$D$636,37,FALSE)</f>
        <v>Gross income</v>
      </c>
      <c r="B12" s="50">
        <f aca="true" t="shared" si="0" ref="B12:I12">+SUM(B8:B11)</f>
        <v>28.801</v>
      </c>
      <c r="C12" s="50">
        <f t="shared" si="0"/>
        <v>32.36200000000001</v>
      </c>
      <c r="D12" s="50">
        <f t="shared" si="0"/>
        <v>33.92500000000001</v>
      </c>
      <c r="E12" s="274">
        <f t="shared" si="0"/>
        <v>37.392999999999994</v>
      </c>
      <c r="F12" s="50">
        <f t="shared" si="0"/>
        <v>39.987</v>
      </c>
      <c r="G12" s="50">
        <f t="shared" si="0"/>
        <v>38.048</v>
      </c>
      <c r="H12" s="50">
        <f t="shared" si="0"/>
        <v>0</v>
      </c>
      <c r="I12" s="50">
        <f t="shared" si="0"/>
        <v>0</v>
      </c>
    </row>
    <row r="13" spans="1:9" ht="15">
      <c r="A13" s="43" t="str">
        <f>HLOOKUP(INDICE!$F$2,Nombres!$C$3:$D$636,38,FALSE)</f>
        <v>Operating expenses</v>
      </c>
      <c r="B13" s="44">
        <v>-14.449659</v>
      </c>
      <c r="C13" s="44">
        <v>-13.405659000000002</v>
      </c>
      <c r="D13" s="44">
        <v>-8.705659</v>
      </c>
      <c r="E13" s="45">
        <v>-11.887659</v>
      </c>
      <c r="F13" s="44">
        <v>-12.910109000000002</v>
      </c>
      <c r="G13" s="44">
        <v>-13.933108</v>
      </c>
      <c r="H13" s="44">
        <v>0</v>
      </c>
      <c r="I13" s="44">
        <v>0</v>
      </c>
    </row>
    <row r="14" spans="1:9" ht="15">
      <c r="A14" s="43" t="str">
        <f>HLOOKUP(INDICE!$F$2,Nombres!$C$3:$D$636,39,FALSE)</f>
        <v>  Administration expenses</v>
      </c>
      <c r="B14" s="44">
        <v>-13.328659000000002</v>
      </c>
      <c r="C14" s="44">
        <v>-12.290659000000003</v>
      </c>
      <c r="D14" s="44">
        <v>-7.638659</v>
      </c>
      <c r="E14" s="45">
        <v>-10.706659</v>
      </c>
      <c r="F14" s="44">
        <v>-11.585109</v>
      </c>
      <c r="G14" s="44">
        <v>-12.615108</v>
      </c>
      <c r="H14" s="44">
        <v>0</v>
      </c>
      <c r="I14" s="44">
        <v>0</v>
      </c>
    </row>
    <row r="15" spans="1:9" ht="15">
      <c r="A15" s="46" t="str">
        <f>HLOOKUP(INDICE!$F$2,Nombres!$C$3:$D$636,40,FALSE)</f>
        <v>  Personnel expenses</v>
      </c>
      <c r="B15" s="44">
        <v>-5.585</v>
      </c>
      <c r="C15" s="44">
        <v>-5.62</v>
      </c>
      <c r="D15" s="44">
        <v>-5.567</v>
      </c>
      <c r="E15" s="45">
        <v>-5.902999999999999</v>
      </c>
      <c r="F15" s="44">
        <v>-5.876999999999999</v>
      </c>
      <c r="G15" s="44">
        <v>-5.970000000000001</v>
      </c>
      <c r="H15" s="44">
        <v>0</v>
      </c>
      <c r="I15" s="44">
        <v>0</v>
      </c>
    </row>
    <row r="16" spans="1:9" ht="15">
      <c r="A16" s="46" t="str">
        <f>HLOOKUP(INDICE!$F$2,Nombres!$C$3:$D$636,41,FALSE)</f>
        <v>  General and administrative expenses</v>
      </c>
      <c r="B16" s="44">
        <v>-7.743659000000001</v>
      </c>
      <c r="C16" s="44">
        <v>-6.670659000000001</v>
      </c>
      <c r="D16" s="44">
        <v>-2.0716589999999986</v>
      </c>
      <c r="E16" s="45">
        <v>-4.803659</v>
      </c>
      <c r="F16" s="44">
        <v>-5.708109</v>
      </c>
      <c r="G16" s="44">
        <v>-6.645108</v>
      </c>
      <c r="H16" s="44">
        <v>0</v>
      </c>
      <c r="I16" s="44">
        <v>0</v>
      </c>
    </row>
    <row r="17" spans="1:9" ht="15">
      <c r="A17" s="43" t="str">
        <f>HLOOKUP(INDICE!$F$2,Nombres!$C$3:$D$636,42,FALSE)</f>
        <v>  Depreciation</v>
      </c>
      <c r="B17" s="44">
        <v>-1.121</v>
      </c>
      <c r="C17" s="44">
        <v>-1.115</v>
      </c>
      <c r="D17" s="44">
        <v>-1.0670000000000002</v>
      </c>
      <c r="E17" s="45">
        <v>-1.1809999999999998</v>
      </c>
      <c r="F17" s="44">
        <v>-1.3250000000000002</v>
      </c>
      <c r="G17" s="44">
        <v>-1.318</v>
      </c>
      <c r="H17" s="44">
        <v>0</v>
      </c>
      <c r="I17" s="44">
        <v>0</v>
      </c>
    </row>
    <row r="18" spans="1:9" ht="15">
      <c r="A18" s="41" t="str">
        <f>HLOOKUP(INDICE!$F$2,Nombres!$C$3:$D$636,43,FALSE)</f>
        <v>Operating income</v>
      </c>
      <c r="B18" s="50">
        <f aca="true" t="shared" si="1" ref="B18:I18">+B12+B13</f>
        <v>14.351340999999998</v>
      </c>
      <c r="C18" s="50">
        <f t="shared" si="1"/>
        <v>18.95634100000001</v>
      </c>
      <c r="D18" s="50">
        <f t="shared" si="1"/>
        <v>25.21934100000001</v>
      </c>
      <c r="E18" s="274">
        <f t="shared" si="1"/>
        <v>25.505340999999994</v>
      </c>
      <c r="F18" s="50">
        <f t="shared" si="1"/>
        <v>27.076891</v>
      </c>
      <c r="G18" s="50">
        <f t="shared" si="1"/>
        <v>24.114892</v>
      </c>
      <c r="H18" s="50">
        <f t="shared" si="1"/>
        <v>0</v>
      </c>
      <c r="I18" s="50">
        <f t="shared" si="1"/>
        <v>0</v>
      </c>
    </row>
    <row r="19" spans="1:9" ht="15">
      <c r="A19" s="43" t="str">
        <f>HLOOKUP(INDICE!$F$2,Nombres!$C$3:$D$636,44,FALSE)</f>
        <v>Impaiment on financial assets not measured at fair value through profit or loss</v>
      </c>
      <c r="B19" s="44">
        <v>0.5200000000000006</v>
      </c>
      <c r="C19" s="44">
        <v>1.5740000000000003</v>
      </c>
      <c r="D19" s="44">
        <v>-5.572</v>
      </c>
      <c r="E19" s="45">
        <v>-6.531000000000002</v>
      </c>
      <c r="F19" s="44">
        <v>-3.9930000000000003</v>
      </c>
      <c r="G19" s="44">
        <v>-10.717000000000002</v>
      </c>
      <c r="H19" s="44">
        <v>0</v>
      </c>
      <c r="I19" s="44">
        <v>0</v>
      </c>
    </row>
    <row r="20" spans="1:9" ht="15">
      <c r="A20" s="43" t="str">
        <f>HLOOKUP(INDICE!$F$2,Nombres!$C$3:$D$636,45,FALSE)</f>
        <v>Provisions or reversal of provisions and other results</v>
      </c>
      <c r="B20" s="44">
        <v>0.455</v>
      </c>
      <c r="C20" s="44">
        <v>0.28099999999999997</v>
      </c>
      <c r="D20" s="44">
        <v>0.4830000000000001</v>
      </c>
      <c r="E20" s="45">
        <v>-4.24</v>
      </c>
      <c r="F20" s="44">
        <v>0.132</v>
      </c>
      <c r="G20" s="44">
        <v>0.02599999999999998</v>
      </c>
      <c r="H20" s="44">
        <v>0</v>
      </c>
      <c r="I20" s="44">
        <v>0</v>
      </c>
    </row>
    <row r="21" spans="1:9" ht="15">
      <c r="A21" s="41" t="str">
        <f>HLOOKUP(INDICE!$F$2,Nombres!$C$3:$D$636,46,FALSE)</f>
        <v>Profit/(loss) before tax</v>
      </c>
      <c r="B21" s="50">
        <f aca="true" t="shared" si="2" ref="B21:I21">+B18+B19+B20</f>
        <v>15.326341</v>
      </c>
      <c r="C21" s="50">
        <f t="shared" si="2"/>
        <v>20.81134100000001</v>
      </c>
      <c r="D21" s="50">
        <f t="shared" si="2"/>
        <v>20.130341000000012</v>
      </c>
      <c r="E21" s="274">
        <f t="shared" si="2"/>
        <v>14.734340999999992</v>
      </c>
      <c r="F21" s="50">
        <f t="shared" si="2"/>
        <v>23.215891000000003</v>
      </c>
      <c r="G21" s="50">
        <f t="shared" si="2"/>
        <v>13.423891999999999</v>
      </c>
      <c r="H21" s="50">
        <f t="shared" si="2"/>
        <v>0</v>
      </c>
      <c r="I21" s="50">
        <f t="shared" si="2"/>
        <v>0</v>
      </c>
    </row>
    <row r="22" spans="1:9" ht="15">
      <c r="A22" s="43" t="str">
        <f>HLOOKUP(INDICE!$F$2,Nombres!$C$3:$D$636,47,FALSE)</f>
        <v>Income tax</v>
      </c>
      <c r="B22" s="44">
        <v>-3.4912023</v>
      </c>
      <c r="C22" s="44">
        <v>-5.184202299999999</v>
      </c>
      <c r="D22" s="44">
        <v>-4.854202300000001</v>
      </c>
      <c r="E22" s="45">
        <v>-2.076202300000001</v>
      </c>
      <c r="F22" s="44">
        <v>-4.7428673</v>
      </c>
      <c r="G22" s="44">
        <v>-0.041867600000000005</v>
      </c>
      <c r="H22" s="44">
        <v>0</v>
      </c>
      <c r="I22" s="44">
        <v>0</v>
      </c>
    </row>
    <row r="23" spans="1:9" ht="15">
      <c r="A23" s="41" t="str">
        <f>HLOOKUP(INDICE!$F$2,Nombres!$C$3:$D$636,48,FALSE)</f>
        <v>Profit/(loss) for the year</v>
      </c>
      <c r="B23" s="50">
        <f aca="true" t="shared" si="3" ref="B23:I23">+B21+B22</f>
        <v>11.8351387</v>
      </c>
      <c r="C23" s="50">
        <f t="shared" si="3"/>
        <v>15.62713870000001</v>
      </c>
      <c r="D23" s="50">
        <f t="shared" si="3"/>
        <v>15.276138700000011</v>
      </c>
      <c r="E23" s="274">
        <f t="shared" si="3"/>
        <v>12.658138699999991</v>
      </c>
      <c r="F23" s="50">
        <f t="shared" si="3"/>
        <v>18.473023700000002</v>
      </c>
      <c r="G23" s="50">
        <f t="shared" si="3"/>
        <v>13.382024399999999</v>
      </c>
      <c r="H23" s="50">
        <f t="shared" si="3"/>
        <v>0</v>
      </c>
      <c r="I23" s="50">
        <f t="shared" si="3"/>
        <v>0</v>
      </c>
    </row>
    <row r="24" spans="1:9" ht="15">
      <c r="A24" s="43" t="str">
        <f>HLOOKUP(INDICE!$F$2,Nombres!$C$3:$D$636,49,FALSE)</f>
        <v>Non-controlling interests</v>
      </c>
      <c r="B24" s="44">
        <v>0</v>
      </c>
      <c r="C24" s="44">
        <v>0</v>
      </c>
      <c r="D24" s="44">
        <v>0</v>
      </c>
      <c r="E24" s="45">
        <v>0</v>
      </c>
      <c r="F24" s="44">
        <v>0</v>
      </c>
      <c r="G24" s="44">
        <v>0</v>
      </c>
      <c r="H24" s="44">
        <v>0</v>
      </c>
      <c r="I24" s="44">
        <v>0</v>
      </c>
    </row>
    <row r="25" spans="1:9" ht="15">
      <c r="A25" s="47" t="str">
        <f>HLOOKUP(INDICE!$F$2,Nombres!$C$3:$D$636,50,FALSE)</f>
        <v>Net attributable profit</v>
      </c>
      <c r="B25" s="51">
        <f aca="true" t="shared" si="4" ref="B25:I25">+B23+B24</f>
        <v>11.8351387</v>
      </c>
      <c r="C25" s="51">
        <f t="shared" si="4"/>
        <v>15.62713870000001</v>
      </c>
      <c r="D25" s="51">
        <f t="shared" si="4"/>
        <v>15.276138700000011</v>
      </c>
      <c r="E25" s="79">
        <f t="shared" si="4"/>
        <v>12.658138699999991</v>
      </c>
      <c r="F25" s="51">
        <f t="shared" si="4"/>
        <v>18.473023700000002</v>
      </c>
      <c r="G25" s="51">
        <f t="shared" si="4"/>
        <v>13.382024399999999</v>
      </c>
      <c r="H25" s="51">
        <f t="shared" si="4"/>
        <v>0</v>
      </c>
      <c r="I25" s="51">
        <f t="shared" si="4"/>
        <v>0</v>
      </c>
    </row>
    <row r="26" spans="1:9" ht="15">
      <c r="A26" s="273"/>
      <c r="B26" s="63">
        <v>0</v>
      </c>
      <c r="C26" s="63">
        <v>0</v>
      </c>
      <c r="D26" s="63">
        <v>0</v>
      </c>
      <c r="E26" s="63">
        <v>0</v>
      </c>
      <c r="F26" s="63">
        <v>0</v>
      </c>
      <c r="G26" s="63">
        <v>0</v>
      </c>
      <c r="H26" s="63">
        <v>0</v>
      </c>
      <c r="I26" s="63">
        <v>0</v>
      </c>
    </row>
    <row r="27" spans="1:13" s="283" customFormat="1" ht="15">
      <c r="A27" s="41"/>
      <c r="B27" s="41"/>
      <c r="C27" s="41"/>
      <c r="D27" s="41"/>
      <c r="E27" s="41"/>
      <c r="F27" s="41"/>
      <c r="G27" s="41"/>
      <c r="H27" s="41"/>
      <c r="I27" s="41"/>
      <c r="J27" s="31"/>
      <c r="K27" s="31"/>
      <c r="L27" s="31"/>
      <c r="M27" s="31"/>
    </row>
    <row r="28" spans="1:13" s="283" customFormat="1" ht="18">
      <c r="A28" s="33" t="str">
        <f>HLOOKUP(INDICE!$F$2,Nombres!$C$3:$D$636,51,FALSE)</f>
        <v>Balance sheets</v>
      </c>
      <c r="B28" s="34"/>
      <c r="C28" s="34"/>
      <c r="D28" s="34"/>
      <c r="E28" s="34"/>
      <c r="F28" s="34"/>
      <c r="G28" s="34"/>
      <c r="H28" s="34"/>
      <c r="I28" s="34"/>
      <c r="J28" s="31"/>
      <c r="K28" s="31"/>
      <c r="L28" s="31"/>
      <c r="M28" s="31"/>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20.195</v>
      </c>
      <c r="C31" s="44">
        <v>31.8</v>
      </c>
      <c r="D31" s="44">
        <v>17.276</v>
      </c>
      <c r="E31" s="45">
        <v>30.214</v>
      </c>
      <c r="F31" s="44">
        <v>21.08</v>
      </c>
      <c r="G31" s="44">
        <v>25.774</v>
      </c>
      <c r="H31" s="44">
        <v>0</v>
      </c>
      <c r="I31" s="44">
        <v>0</v>
      </c>
    </row>
    <row r="32" spans="1:9" ht="15">
      <c r="A32" s="43" t="str">
        <f>HLOOKUP(INDICE!$F$2,Nombres!$C$3:$D$636,53,FALSE)</f>
        <v>Financial assets designated at fair value </v>
      </c>
      <c r="B32" s="58">
        <v>0</v>
      </c>
      <c r="C32" s="58">
        <v>2.784</v>
      </c>
      <c r="D32" s="58">
        <v>0</v>
      </c>
      <c r="E32" s="64">
        <v>0</v>
      </c>
      <c r="F32" s="44">
        <v>0</v>
      </c>
      <c r="G32" s="44">
        <v>0</v>
      </c>
      <c r="H32" s="44">
        <v>0</v>
      </c>
      <c r="I32" s="44">
        <v>0</v>
      </c>
    </row>
    <row r="33" spans="1:9" ht="15">
      <c r="A33" s="43" t="str">
        <f>HLOOKUP(INDICE!$F$2,Nombres!$C$3:$D$636,54,FALSE)</f>
        <v>Financial assets at amortized cost</v>
      </c>
      <c r="B33" s="44">
        <v>1543.154</v>
      </c>
      <c r="C33" s="44">
        <v>1493.4980000000005</v>
      </c>
      <c r="D33" s="44">
        <v>1442.3569999999997</v>
      </c>
      <c r="E33" s="45">
        <v>1459.7740000000001</v>
      </c>
      <c r="F33" s="44">
        <v>1755.8490000000002</v>
      </c>
      <c r="G33" s="44">
        <v>1642.141</v>
      </c>
      <c r="H33" s="44">
        <v>0</v>
      </c>
      <c r="I33" s="44">
        <v>0</v>
      </c>
    </row>
    <row r="34" spans="1:9" ht="15">
      <c r="A34" s="43" t="str">
        <f>HLOOKUP(INDICE!$F$2,Nombres!$C$3:$D$636,55,FALSE)</f>
        <v>    of which loans and advances to customers</v>
      </c>
      <c r="B34" s="44">
        <v>1498.221</v>
      </c>
      <c r="C34" s="44">
        <v>1476.1489999999997</v>
      </c>
      <c r="D34" s="44">
        <v>1392.7369999999999</v>
      </c>
      <c r="E34" s="45">
        <v>1400.476</v>
      </c>
      <c r="F34" s="44">
        <v>1639.6470000000002</v>
      </c>
      <c r="G34" s="44">
        <v>1616.2820000000002</v>
      </c>
      <c r="H34" s="44">
        <v>0</v>
      </c>
      <c r="I34" s="44">
        <v>0</v>
      </c>
    </row>
    <row r="35" spans="1:9" ht="15" hidden="1">
      <c r="A35" s="43"/>
      <c r="B35" s="44"/>
      <c r="C35" s="44"/>
      <c r="D35" s="44"/>
      <c r="E35" s="45"/>
      <c r="F35" s="44"/>
      <c r="G35" s="44"/>
      <c r="H35" s="44"/>
      <c r="I35" s="44"/>
    </row>
    <row r="36" spans="1:9" ht="15">
      <c r="A36" s="43" t="str">
        <f>HLOOKUP(INDICE!$F$2,Nombres!$C$3:$D$636,56,FALSE)</f>
        <v>Tangible assets</v>
      </c>
      <c r="B36" s="44">
        <v>9.796000000000001</v>
      </c>
      <c r="C36" s="44">
        <v>9.110999999999999</v>
      </c>
      <c r="D36" s="44">
        <v>8.038</v>
      </c>
      <c r="E36" s="45">
        <v>7.380000000000001</v>
      </c>
      <c r="F36" s="44">
        <v>7.614999999999999</v>
      </c>
      <c r="G36" s="44">
        <v>6.5440000000000005</v>
      </c>
      <c r="H36" s="44">
        <v>0</v>
      </c>
      <c r="I36" s="44">
        <v>0</v>
      </c>
    </row>
    <row r="37" spans="1:9" ht="15">
      <c r="A37" s="43" t="str">
        <f>HLOOKUP(INDICE!$F$2,Nombres!$C$3:$D$636,57,FALSE)</f>
        <v>Other assets</v>
      </c>
      <c r="B37" s="58">
        <f>+B38-B36-B33-B32-B31</f>
        <v>191.50399999999985</v>
      </c>
      <c r="C37" s="58">
        <f aca="true" t="shared" si="5" ref="C37:I37">+C38-C36-C33-C32-C31</f>
        <v>184.1130000000001</v>
      </c>
      <c r="D37" s="58">
        <f t="shared" si="5"/>
        <v>182.85500022999992</v>
      </c>
      <c r="E37" s="64">
        <f t="shared" si="5"/>
        <v>207.4530001799996</v>
      </c>
      <c r="F37" s="44">
        <f t="shared" si="5"/>
        <v>233.48189099999962</v>
      </c>
      <c r="G37" s="44">
        <f t="shared" si="5"/>
        <v>274.05478300000016</v>
      </c>
      <c r="H37" s="44">
        <f t="shared" si="5"/>
        <v>0</v>
      </c>
      <c r="I37" s="44">
        <f t="shared" si="5"/>
        <v>0</v>
      </c>
    </row>
    <row r="38" spans="1:9" ht="15">
      <c r="A38" s="47" t="str">
        <f>HLOOKUP(INDICE!$F$2,Nombres!$C$3:$D$636,58,FALSE)</f>
        <v>Total assets / Liabilities and equity</v>
      </c>
      <c r="B38" s="47">
        <v>1764.649</v>
      </c>
      <c r="C38" s="47">
        <v>1721.3060000000007</v>
      </c>
      <c r="D38" s="47">
        <v>1650.5260002299997</v>
      </c>
      <c r="E38" s="47">
        <v>1704.8210001799998</v>
      </c>
      <c r="F38" s="51">
        <v>2018.0258909999998</v>
      </c>
      <c r="G38" s="51">
        <v>1948.5137830000003</v>
      </c>
      <c r="H38" s="51">
        <v>0</v>
      </c>
      <c r="I38" s="51">
        <v>0</v>
      </c>
    </row>
    <row r="39" spans="1:9" ht="15">
      <c r="A39" s="43" t="str">
        <f>HLOOKUP(INDICE!$F$2,Nombres!$C$3:$D$636,59,FALSE)</f>
        <v>Financial liabilities held for trading and designated at fair value through profit or loss</v>
      </c>
      <c r="B39" s="58">
        <v>0</v>
      </c>
      <c r="C39" s="58">
        <v>0</v>
      </c>
      <c r="D39" s="58">
        <v>0</v>
      </c>
      <c r="E39" s="64">
        <v>0</v>
      </c>
      <c r="F39" s="44">
        <v>0</v>
      </c>
      <c r="G39" s="44">
        <v>0</v>
      </c>
      <c r="H39" s="44">
        <v>0</v>
      </c>
      <c r="I39" s="44">
        <v>0</v>
      </c>
    </row>
    <row r="40" spans="1:9" ht="15.75" customHeight="1">
      <c r="A40" s="43" t="str">
        <f>HLOOKUP(INDICE!$F$2,Nombres!$C$3:$D$636,60,FALSE)</f>
        <v>Deposits from central banks and credit institutions</v>
      </c>
      <c r="B40" s="58">
        <v>424.039</v>
      </c>
      <c r="C40" s="58">
        <v>422.686</v>
      </c>
      <c r="D40" s="58">
        <v>381.438</v>
      </c>
      <c r="E40" s="64">
        <v>475.307</v>
      </c>
      <c r="F40" s="44">
        <v>648.445</v>
      </c>
      <c r="G40" s="44">
        <v>545.695</v>
      </c>
      <c r="H40" s="44">
        <v>0</v>
      </c>
      <c r="I40" s="44">
        <v>0</v>
      </c>
    </row>
    <row r="41" spans="1:9" ht="15">
      <c r="A41" s="43" t="str">
        <f>HLOOKUP(INDICE!$F$2,Nombres!$C$3:$D$636,61,FALSE)</f>
        <v>Deposits from customers</v>
      </c>
      <c r="B41" s="58">
        <v>5.29</v>
      </c>
      <c r="C41" s="58">
        <v>7.186</v>
      </c>
      <c r="D41" s="58">
        <v>6.383</v>
      </c>
      <c r="E41" s="64">
        <v>7.503</v>
      </c>
      <c r="F41" s="44">
        <v>15.479</v>
      </c>
      <c r="G41" s="44">
        <v>10.869</v>
      </c>
      <c r="H41" s="44">
        <v>0</v>
      </c>
      <c r="I41" s="44">
        <v>0</v>
      </c>
    </row>
    <row r="42" spans="1:9" ht="15">
      <c r="A42" s="43" t="str">
        <f>HLOOKUP(INDICE!$F$2,Nombres!$C$3:$D$636,62,FALSE)</f>
        <v>Debt certificates</v>
      </c>
      <c r="B42" s="44">
        <v>865.592976</v>
      </c>
      <c r="C42" s="44">
        <v>856.5218064000001</v>
      </c>
      <c r="D42" s="44">
        <v>822.8859679999999</v>
      </c>
      <c r="E42" s="45">
        <v>769.0054783999999</v>
      </c>
      <c r="F42" s="44">
        <v>815.6228544</v>
      </c>
      <c r="G42" s="44">
        <v>875.4264959999999</v>
      </c>
      <c r="H42" s="44">
        <v>0</v>
      </c>
      <c r="I42" s="44">
        <v>0</v>
      </c>
    </row>
    <row r="43" spans="1:9" ht="15" hidden="1">
      <c r="A43" s="43"/>
      <c r="B43" s="44"/>
      <c r="C43" s="44"/>
      <c r="D43" s="44"/>
      <c r="E43" s="45"/>
      <c r="F43" s="44"/>
      <c r="G43" s="44"/>
      <c r="H43" s="44"/>
      <c r="I43" s="44"/>
    </row>
    <row r="44" spans="1:9" ht="15">
      <c r="A44" s="43" t="str">
        <f>HLOOKUP(INDICE!$F$2,Nombres!$C$3:$D$636,63,FALSE)</f>
        <v>Other liabilities</v>
      </c>
      <c r="B44" s="58">
        <f>+B38-B39-B40-B41-B42-B45</f>
        <v>252.8668739999999</v>
      </c>
      <c r="C44" s="58">
        <f aca="true" t="shared" si="6" ref="C44:I44">+C38-C39-C40-C41-C42-C45</f>
        <v>224.40323360000082</v>
      </c>
      <c r="D44" s="58">
        <f t="shared" si="6"/>
        <v>215.44820721999963</v>
      </c>
      <c r="E44" s="64">
        <f t="shared" si="6"/>
        <v>230.03388673999999</v>
      </c>
      <c r="F44" s="44">
        <f t="shared" si="6"/>
        <v>296.1469800799995</v>
      </c>
      <c r="G44" s="44">
        <f t="shared" si="6"/>
        <v>255.59508700000032</v>
      </c>
      <c r="H44" s="44">
        <f t="shared" si="6"/>
        <v>0</v>
      </c>
      <c r="I44" s="44">
        <f t="shared" si="6"/>
        <v>0</v>
      </c>
    </row>
    <row r="45" spans="1:9" ht="15">
      <c r="A45" s="43" t="str">
        <f>HLOOKUP(INDICE!$F$2,Nombres!$C$3:$D$636,282,FALSE)</f>
        <v>Regulatory capital allocated</v>
      </c>
      <c r="B45" s="58">
        <v>216.86015</v>
      </c>
      <c r="C45" s="58">
        <v>210.50896</v>
      </c>
      <c r="D45" s="58">
        <v>224.37082500999998</v>
      </c>
      <c r="E45" s="64">
        <v>222.97163504</v>
      </c>
      <c r="F45" s="44">
        <v>242.33205652</v>
      </c>
      <c r="G45" s="44">
        <v>260.9282</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Relevant business indicators</v>
      </c>
      <c r="B48" s="34"/>
      <c r="C48" s="34"/>
      <c r="D48" s="34"/>
      <c r="E48" s="34"/>
      <c r="F48" s="68"/>
      <c r="G48" s="68"/>
      <c r="H48" s="68"/>
      <c r="I48" s="68"/>
    </row>
    <row r="49" spans="1:9" ht="15">
      <c r="A49" s="35"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Loans and advances to customers (gross) (*)</v>
      </c>
      <c r="B51" s="44">
        <v>1560.821</v>
      </c>
      <c r="C51" s="44">
        <v>1532.1939999999997</v>
      </c>
      <c r="D51" s="44">
        <v>1445.6029999999998</v>
      </c>
      <c r="E51" s="45">
        <v>1454.9930000000002</v>
      </c>
      <c r="F51" s="280">
        <v>1700.6260000000002</v>
      </c>
      <c r="G51" s="44">
        <v>1680.019</v>
      </c>
      <c r="H51" s="44">
        <v>0</v>
      </c>
      <c r="I51" s="44">
        <v>0</v>
      </c>
    </row>
    <row r="52" spans="1:9" ht="15">
      <c r="A52" s="43" t="str">
        <f>HLOOKUP(INDICE!$F$2,Nombres!$C$3:$D$636,67,FALSE)</f>
        <v>Customer deposits under management (*)</v>
      </c>
      <c r="B52" s="44">
        <v>5.289999999999999</v>
      </c>
      <c r="C52" s="44">
        <v>7.186</v>
      </c>
      <c r="D52" s="44">
        <v>6.382999999999999</v>
      </c>
      <c r="E52" s="45">
        <v>7.503</v>
      </c>
      <c r="F52" s="280">
        <v>15.479</v>
      </c>
      <c r="G52" s="44">
        <v>10.869</v>
      </c>
      <c r="H52" s="44">
        <v>0</v>
      </c>
      <c r="I52" s="44">
        <v>0</v>
      </c>
    </row>
    <row r="53" spans="1:9" ht="15">
      <c r="A53" s="43" t="str">
        <f>HLOOKUP(INDICE!$F$2,Nombres!$C$3:$D$636,68,FALSE)</f>
        <v>Investment funds and managed portfolios</v>
      </c>
      <c r="B53" s="44">
        <v>0</v>
      </c>
      <c r="C53" s="44">
        <v>0</v>
      </c>
      <c r="D53" s="44">
        <v>0</v>
      </c>
      <c r="E53" s="45">
        <v>0</v>
      </c>
      <c r="F53" s="280">
        <v>0</v>
      </c>
      <c r="G53" s="44">
        <v>0</v>
      </c>
      <c r="H53" s="44">
        <v>0</v>
      </c>
      <c r="I53" s="44">
        <v>0</v>
      </c>
    </row>
    <row r="54" spans="1:9" ht="15">
      <c r="A54" s="43" t="str">
        <f>HLOOKUP(INDICE!$F$2,Nombres!$C$3:$D$636,69,FALSE)</f>
        <v>Pension funds</v>
      </c>
      <c r="B54" s="44">
        <v>0</v>
      </c>
      <c r="C54" s="44">
        <v>0</v>
      </c>
      <c r="D54" s="44">
        <v>0</v>
      </c>
      <c r="E54" s="45">
        <v>0</v>
      </c>
      <c r="F54" s="280">
        <v>0</v>
      </c>
      <c r="G54" s="44">
        <v>0</v>
      </c>
      <c r="H54" s="44">
        <v>0</v>
      </c>
      <c r="I54" s="44">
        <v>0</v>
      </c>
    </row>
    <row r="55" spans="1:9" ht="15">
      <c r="A55" s="43" t="str">
        <f>HLOOKUP(INDICE!$F$2,Nombres!$C$3:$D$636,70,FALSE)</f>
        <v>Other off balance-sheet funds</v>
      </c>
      <c r="B55" s="44">
        <v>0</v>
      </c>
      <c r="C55" s="44">
        <v>0</v>
      </c>
      <c r="D55" s="44">
        <v>0</v>
      </c>
      <c r="E55" s="45">
        <v>0</v>
      </c>
      <c r="F55" s="280">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50">
        <v>32.341479198532</v>
      </c>
      <c r="C64" s="50">
        <v>34.99582279638508</v>
      </c>
      <c r="D64" s="50">
        <v>34.44459249921509</v>
      </c>
      <c r="E64" s="274">
        <v>36.349066409227504</v>
      </c>
      <c r="F64" s="50">
        <v>33.87874430036764</v>
      </c>
      <c r="G64" s="50">
        <v>33.28525569963235</v>
      </c>
      <c r="H64" s="50">
        <v>0</v>
      </c>
      <c r="I64" s="50">
        <v>0</v>
      </c>
    </row>
    <row r="65" spans="1:9" ht="15">
      <c r="A65" s="43" t="str">
        <f>HLOOKUP(INDICE!$F$2,Nombres!$C$3:$D$636,34,FALSE)</f>
        <v>Net fees and commissions</v>
      </c>
      <c r="B65" s="44">
        <v>-4.0493322635490445</v>
      </c>
      <c r="C65" s="44">
        <v>-4.370955878284865</v>
      </c>
      <c r="D65" s="44">
        <v>-1.0145668640842427</v>
      </c>
      <c r="E65" s="45">
        <v>2.1459555904289918</v>
      </c>
      <c r="F65" s="44">
        <v>5.029206148739334</v>
      </c>
      <c r="G65" s="44">
        <v>3.161793851260666</v>
      </c>
      <c r="H65" s="44">
        <v>0</v>
      </c>
      <c r="I65" s="44">
        <v>0</v>
      </c>
    </row>
    <row r="66" spans="1:9" ht="15">
      <c r="A66" s="43" t="str">
        <f>HLOOKUP(INDICE!$F$2,Nombres!$C$3:$D$636,35,FALSE)</f>
        <v>Net trading income</v>
      </c>
      <c r="B66" s="44">
        <v>0.038675570807536246</v>
      </c>
      <c r="C66" s="44">
        <v>-0.03290561547964641</v>
      </c>
      <c r="D66" s="44">
        <v>0.5053579883322712</v>
      </c>
      <c r="E66" s="45">
        <v>0.4468644320892673</v>
      </c>
      <c r="F66" s="44">
        <v>1.4303062287014665</v>
      </c>
      <c r="G66" s="44">
        <v>1.5726937712985336</v>
      </c>
      <c r="H66" s="44">
        <v>0</v>
      </c>
      <c r="I66" s="44">
        <v>0</v>
      </c>
    </row>
    <row r="67" spans="1:9" ht="15">
      <c r="A67" s="43" t="str">
        <f>HLOOKUP(INDICE!$F$2,Nombres!$C$3:$D$636,36,FALSE)</f>
        <v>Other operating income and expenses</v>
      </c>
      <c r="B67" s="44">
        <v>-0.48344463509420316</v>
      </c>
      <c r="C67" s="44">
        <v>0.37862377997087093</v>
      </c>
      <c r="D67" s="44">
        <v>0.176163761217389</v>
      </c>
      <c r="E67" s="45">
        <v>-0.07930130589259837</v>
      </c>
      <c r="F67" s="44">
        <v>-0.11768342388050039</v>
      </c>
      <c r="G67" s="44">
        <v>-0.20531657611949958</v>
      </c>
      <c r="H67" s="44">
        <v>0</v>
      </c>
      <c r="I67" s="44">
        <v>0</v>
      </c>
    </row>
    <row r="68" spans="1:9" ht="15">
      <c r="A68" s="41" t="str">
        <f>HLOOKUP(INDICE!$F$2,Nombres!$C$3:$D$636,37,FALSE)</f>
        <v>Gross income</v>
      </c>
      <c r="B68" s="50">
        <f>+SUM(B64:B67)</f>
        <v>27.847377870696292</v>
      </c>
      <c r="C68" s="50">
        <f>+SUM(C64:C67)</f>
        <v>30.970585082591437</v>
      </c>
      <c r="D68" s="50">
        <f aca="true" t="shared" si="9" ref="D68:I68">+SUM(D64:D67)</f>
        <v>34.111547384680506</v>
      </c>
      <c r="E68" s="274">
        <f t="shared" si="9"/>
        <v>38.862585125853165</v>
      </c>
      <c r="F68" s="50">
        <f t="shared" si="9"/>
        <v>40.220573253927945</v>
      </c>
      <c r="G68" s="50">
        <f t="shared" si="9"/>
        <v>37.81442674607205</v>
      </c>
      <c r="H68" s="50">
        <f t="shared" si="9"/>
        <v>0</v>
      </c>
      <c r="I68" s="50">
        <f t="shared" si="9"/>
        <v>0</v>
      </c>
    </row>
    <row r="69" spans="1:9" ht="15">
      <c r="A69" s="43" t="str">
        <f>HLOOKUP(INDICE!$F$2,Nombres!$C$3:$D$636,38,FALSE)</f>
        <v>Operating expenses</v>
      </c>
      <c r="B69" s="44">
        <v>-13.971220244981339</v>
      </c>
      <c r="C69" s="44">
        <v>-12.81610317237963</v>
      </c>
      <c r="D69" s="44">
        <v>-8.943722456857852</v>
      </c>
      <c r="E69" s="45">
        <v>-12.465655998532243</v>
      </c>
      <c r="F69" s="44">
        <v>-12.985519912739</v>
      </c>
      <c r="G69" s="44">
        <v>-13.857697087260998</v>
      </c>
      <c r="H69" s="44">
        <v>0</v>
      </c>
      <c r="I69" s="44">
        <v>0</v>
      </c>
    </row>
    <row r="70" spans="1:9" ht="15">
      <c r="A70" s="43" t="str">
        <f>HLOOKUP(INDICE!$F$2,Nombres!$C$3:$D$636,39,FALSE)</f>
        <v>  Administration expenses</v>
      </c>
      <c r="B70" s="44">
        <v>-12.887337373100134</v>
      </c>
      <c r="C70" s="44">
        <v>-11.749716025400554</v>
      </c>
      <c r="D70" s="44">
        <v>-7.865970299982928</v>
      </c>
      <c r="E70" s="45">
        <v>-11.23299508718496</v>
      </c>
      <c r="F70" s="44">
        <v>-11.652780283323077</v>
      </c>
      <c r="G70" s="44">
        <v>-12.54743671667692</v>
      </c>
      <c r="H70" s="44">
        <v>0</v>
      </c>
      <c r="I70" s="44">
        <v>0</v>
      </c>
    </row>
    <row r="71" spans="1:9" ht="15">
      <c r="A71" s="46" t="str">
        <f>HLOOKUP(INDICE!$F$2,Nombres!$C$3:$D$636,40,FALSE)</f>
        <v>  Personnel expenses</v>
      </c>
      <c r="B71" s="44">
        <v>-5.400076574002249</v>
      </c>
      <c r="C71" s="44">
        <v>-5.375315000832029</v>
      </c>
      <c r="D71" s="44">
        <v>-5.615885425296162</v>
      </c>
      <c r="E71" s="45">
        <v>-6.165812428860509</v>
      </c>
      <c r="F71" s="44">
        <v>-5.911328907228213</v>
      </c>
      <c r="G71" s="44">
        <v>-5.935671092771788</v>
      </c>
      <c r="H71" s="44">
        <v>0</v>
      </c>
      <c r="I71" s="44">
        <v>0</v>
      </c>
    </row>
    <row r="72" spans="1:9" ht="15">
      <c r="A72" s="46" t="str">
        <f>HLOOKUP(INDICE!$F$2,Nombres!$C$3:$D$636,41,FALSE)</f>
        <v>  General and administrative expenses</v>
      </c>
      <c r="B72" s="44">
        <v>-7.487260799097884</v>
      </c>
      <c r="C72" s="44">
        <v>-6.374401024568525</v>
      </c>
      <c r="D72" s="44">
        <v>-2.2500848746867663</v>
      </c>
      <c r="E72" s="45">
        <v>-5.067182658324452</v>
      </c>
      <c r="F72" s="44">
        <v>-5.741451376094865</v>
      </c>
      <c r="G72" s="44">
        <v>-6.611765623905134</v>
      </c>
      <c r="H72" s="44">
        <v>0</v>
      </c>
      <c r="I72" s="44">
        <v>0</v>
      </c>
    </row>
    <row r="73" spans="1:9" ht="15">
      <c r="A73" s="43" t="str">
        <f>HLOOKUP(INDICE!$F$2,Nombres!$C$3:$D$636,42,FALSE)</f>
        <v>  Depreciation</v>
      </c>
      <c r="B73" s="44">
        <v>-1.0838828718812035</v>
      </c>
      <c r="C73" s="44">
        <v>-1.0663871469790773</v>
      </c>
      <c r="D73" s="44">
        <v>-1.0777521568749235</v>
      </c>
      <c r="E73" s="45">
        <v>-1.232660911347284</v>
      </c>
      <c r="F73" s="44">
        <v>-1.3327396294159235</v>
      </c>
      <c r="G73" s="44">
        <v>-1.3102603705840767</v>
      </c>
      <c r="H73" s="44">
        <v>0</v>
      </c>
      <c r="I73" s="44">
        <v>0</v>
      </c>
    </row>
    <row r="74" spans="1:9" ht="15">
      <c r="A74" s="41" t="str">
        <f>HLOOKUP(INDICE!$F$2,Nombres!$C$3:$D$636,43,FALSE)</f>
        <v>Operating income</v>
      </c>
      <c r="B74" s="50">
        <f aca="true" t="shared" si="10" ref="B74:I74">+B68+B69</f>
        <v>13.876157625714953</v>
      </c>
      <c r="C74" s="50">
        <f t="shared" si="10"/>
        <v>18.154481910211807</v>
      </c>
      <c r="D74" s="50">
        <f t="shared" si="10"/>
        <v>25.167824927822654</v>
      </c>
      <c r="E74" s="274">
        <f t="shared" si="10"/>
        <v>26.396929127320924</v>
      </c>
      <c r="F74" s="50">
        <f t="shared" si="10"/>
        <v>27.235053341188944</v>
      </c>
      <c r="G74" s="50">
        <f t="shared" si="10"/>
        <v>23.956729658811053</v>
      </c>
      <c r="H74" s="50">
        <f t="shared" si="10"/>
        <v>0</v>
      </c>
      <c r="I74" s="50">
        <f t="shared" si="10"/>
        <v>0</v>
      </c>
    </row>
    <row r="75" spans="1:9" ht="15">
      <c r="A75" s="43" t="str">
        <f>HLOOKUP(INDICE!$F$2,Nombres!$C$3:$D$636,44,FALSE)</f>
        <v>Impaiment on financial assets not measured at fair value through profit or loss</v>
      </c>
      <c r="B75" s="44">
        <v>0.5027824204979716</v>
      </c>
      <c r="C75" s="44">
        <v>1.510931988935583</v>
      </c>
      <c r="D75" s="44">
        <v>-5.4127640997778</v>
      </c>
      <c r="E75" s="45">
        <v>-6.55790325760594</v>
      </c>
      <c r="F75" s="44">
        <v>-4.016324030383232</v>
      </c>
      <c r="G75" s="44">
        <v>-10.69367596961677</v>
      </c>
      <c r="H75" s="44">
        <v>0</v>
      </c>
      <c r="I75" s="44">
        <v>0</v>
      </c>
    </row>
    <row r="76" spans="1:9" ht="15">
      <c r="A76" s="43" t="str">
        <f>HLOOKUP(INDICE!$F$2,Nombres!$C$3:$D$636,45,FALSE)</f>
        <v>Provisions or reversal of provisions and other results</v>
      </c>
      <c r="B76" s="44">
        <v>0.43993461793572486</v>
      </c>
      <c r="C76" s="44">
        <v>0.26784656895209563</v>
      </c>
      <c r="D76" s="44">
        <v>0.4835476148745816</v>
      </c>
      <c r="E76" s="45">
        <v>-4.1966195256866206</v>
      </c>
      <c r="F76" s="44">
        <v>0.1327710423267184</v>
      </c>
      <c r="G76" s="44">
        <v>0.025228957673281583</v>
      </c>
      <c r="H76" s="44">
        <v>0</v>
      </c>
      <c r="I76" s="44">
        <v>0</v>
      </c>
    </row>
    <row r="77" spans="1:9" ht="15">
      <c r="A77" s="41" t="str">
        <f>HLOOKUP(INDICE!$F$2,Nombres!$C$3:$D$636,46,FALSE)</f>
        <v>Profit/(loss) before tax</v>
      </c>
      <c r="B77" s="50">
        <f aca="true" t="shared" si="11" ref="B77:I77">+B74+B75+B76</f>
        <v>14.81887466414865</v>
      </c>
      <c r="C77" s="50">
        <f t="shared" si="11"/>
        <v>19.933260468099483</v>
      </c>
      <c r="D77" s="50">
        <f t="shared" si="11"/>
        <v>20.238608442919436</v>
      </c>
      <c r="E77" s="274">
        <f t="shared" si="11"/>
        <v>15.642406344028362</v>
      </c>
      <c r="F77" s="50">
        <f t="shared" si="11"/>
        <v>23.351500353132433</v>
      </c>
      <c r="G77" s="50">
        <f t="shared" si="11"/>
        <v>13.288282646867565</v>
      </c>
      <c r="H77" s="50">
        <f t="shared" si="11"/>
        <v>0</v>
      </c>
      <c r="I77" s="50">
        <f t="shared" si="11"/>
        <v>0</v>
      </c>
    </row>
    <row r="78" spans="1:9" ht="15">
      <c r="A78" s="43" t="str">
        <f>HLOOKUP(INDICE!$F$2,Nombres!$C$3:$D$636,47,FALSE)</f>
        <v>Income tax</v>
      </c>
      <c r="B78" s="44">
        <v>-3.3756060439270854</v>
      </c>
      <c r="C78" s="44">
        <v>-4.967176788301253</v>
      </c>
      <c r="D78" s="44">
        <v>-4.879703120596375</v>
      </c>
      <c r="E78" s="45">
        <v>-2.3021726463448444</v>
      </c>
      <c r="F78" s="44">
        <v>-4.770571477562944</v>
      </c>
      <c r="G78" s="44">
        <v>-0.014163422437055317</v>
      </c>
      <c r="H78" s="44">
        <v>0</v>
      </c>
      <c r="I78" s="44">
        <v>0</v>
      </c>
    </row>
    <row r="79" spans="1:9" ht="15">
      <c r="A79" s="41" t="str">
        <f>HLOOKUP(INDICE!$F$2,Nombres!$C$3:$D$636,48,FALSE)</f>
        <v>Profit/(loss) for the year</v>
      </c>
      <c r="B79" s="50">
        <f aca="true" t="shared" si="12" ref="B79:I79">+B77+B78</f>
        <v>11.443268620221565</v>
      </c>
      <c r="C79" s="50">
        <f t="shared" si="12"/>
        <v>14.966083679798231</v>
      </c>
      <c r="D79" s="50">
        <f t="shared" si="12"/>
        <v>15.35890532232306</v>
      </c>
      <c r="E79" s="274">
        <f t="shared" si="12"/>
        <v>13.340233697683518</v>
      </c>
      <c r="F79" s="50">
        <f t="shared" si="12"/>
        <v>18.58092887556949</v>
      </c>
      <c r="G79" s="50">
        <f t="shared" si="12"/>
        <v>13.274119224430509</v>
      </c>
      <c r="H79" s="50">
        <f t="shared" si="12"/>
        <v>0</v>
      </c>
      <c r="I79" s="50">
        <f t="shared" si="12"/>
        <v>0</v>
      </c>
    </row>
    <row r="80" spans="1:9" ht="15">
      <c r="A80" s="43" t="str">
        <f>HLOOKUP(INDICE!$F$2,Nombres!$C$3:$D$636,49,FALSE)</f>
        <v>Non-controlling interests</v>
      </c>
      <c r="B80" s="44">
        <v>0</v>
      </c>
      <c r="C80" s="44">
        <v>0</v>
      </c>
      <c r="D80" s="44">
        <v>0</v>
      </c>
      <c r="E80" s="45">
        <v>0</v>
      </c>
      <c r="F80" s="44">
        <v>0</v>
      </c>
      <c r="G80" s="44">
        <v>0</v>
      </c>
      <c r="H80" s="44">
        <v>0</v>
      </c>
      <c r="I80" s="44">
        <v>0</v>
      </c>
    </row>
    <row r="81" spans="1:9" ht="15">
      <c r="A81" s="47" t="str">
        <f>HLOOKUP(INDICE!$F$2,Nombres!$C$3:$D$636,50,FALSE)</f>
        <v>Net attributable profit</v>
      </c>
      <c r="B81" s="51">
        <f aca="true" t="shared" si="13" ref="B81:I81">+B79+B80</f>
        <v>11.443268620221565</v>
      </c>
      <c r="C81" s="51">
        <f t="shared" si="13"/>
        <v>14.966083679798231</v>
      </c>
      <c r="D81" s="51">
        <f t="shared" si="13"/>
        <v>15.35890532232306</v>
      </c>
      <c r="E81" s="79">
        <f t="shared" si="13"/>
        <v>13.340233697683518</v>
      </c>
      <c r="F81" s="51">
        <f t="shared" si="13"/>
        <v>18.58092887556949</v>
      </c>
      <c r="G81" s="51">
        <f t="shared" si="13"/>
        <v>13.274119224430509</v>
      </c>
      <c r="H81" s="51">
        <f t="shared" si="13"/>
        <v>0</v>
      </c>
      <c r="I81" s="51">
        <f t="shared" si="13"/>
        <v>0</v>
      </c>
    </row>
    <row r="82" spans="1:9" ht="15">
      <c r="A82" s="273"/>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18.141335324655287</v>
      </c>
      <c r="C87" s="44">
        <v>29.078949915912656</v>
      </c>
      <c r="D87" s="44">
        <v>16.822284596635193</v>
      </c>
      <c r="E87" s="45">
        <v>30.249509587687193</v>
      </c>
      <c r="F87" s="44">
        <v>19.27666630318113</v>
      </c>
      <c r="G87" s="44">
        <v>25.774</v>
      </c>
      <c r="H87" s="44">
        <v>0</v>
      </c>
      <c r="I87" s="44">
        <v>0</v>
      </c>
    </row>
    <row r="88" spans="1:9" ht="15">
      <c r="A88" s="43" t="str">
        <f>HLOOKUP(INDICE!$F$2,Nombres!$C$3:$D$636,53,FALSE)</f>
        <v>Financial assets designated at fair value </v>
      </c>
      <c r="B88" s="58">
        <v>0</v>
      </c>
      <c r="C88" s="58">
        <v>2.545779766223297</v>
      </c>
      <c r="D88" s="58">
        <v>0</v>
      </c>
      <c r="E88" s="64">
        <v>0</v>
      </c>
      <c r="F88" s="44">
        <v>0</v>
      </c>
      <c r="G88" s="44">
        <v>0</v>
      </c>
      <c r="H88" s="44">
        <v>0</v>
      </c>
      <c r="I88" s="44">
        <v>0</v>
      </c>
    </row>
    <row r="89" spans="1:9" ht="15">
      <c r="A89" s="43" t="str">
        <f>HLOOKUP(INDICE!$F$2,Nombres!$C$3:$D$636,54,FALSE)</f>
        <v>Financial assets at amortized cost</v>
      </c>
      <c r="B89" s="44">
        <v>1386.2279857184008</v>
      </c>
      <c r="C89" s="44">
        <v>1365.7029415570985</v>
      </c>
      <c r="D89" s="44">
        <v>1404.4767274802584</v>
      </c>
      <c r="E89" s="45">
        <v>1461.489627618206</v>
      </c>
      <c r="F89" s="44">
        <v>1605.6411409760096</v>
      </c>
      <c r="G89" s="44">
        <v>1642.141</v>
      </c>
      <c r="H89" s="44">
        <v>0</v>
      </c>
      <c r="I89" s="44">
        <v>0</v>
      </c>
    </row>
    <row r="90" spans="1:9" ht="15">
      <c r="A90" s="43" t="str">
        <f>HLOOKUP(INDICE!$F$2,Nombres!$C$3:$D$636,55,FALSE)</f>
        <v>    of which loans and advances to customers</v>
      </c>
      <c r="B90" s="44">
        <v>1345.864300640771</v>
      </c>
      <c r="C90" s="44">
        <v>1349.8384540699547</v>
      </c>
      <c r="D90" s="44">
        <v>1356.1598855211803</v>
      </c>
      <c r="E90" s="45">
        <v>1402.1219364971803</v>
      </c>
      <c r="F90" s="44">
        <v>1499.3798896590147</v>
      </c>
      <c r="G90" s="44">
        <v>1616.2820000000002</v>
      </c>
      <c r="H90" s="44">
        <v>0</v>
      </c>
      <c r="I90" s="44">
        <v>0</v>
      </c>
    </row>
    <row r="91" spans="1:9" ht="15" hidden="1">
      <c r="A91" s="43"/>
      <c r="B91" s="44"/>
      <c r="C91" s="44"/>
      <c r="D91" s="44"/>
      <c r="E91" s="45"/>
      <c r="F91" s="44"/>
      <c r="G91" s="44"/>
      <c r="H91" s="44"/>
      <c r="I91" s="44"/>
    </row>
    <row r="92" spans="1:9" ht="15">
      <c r="A92" s="43" t="str">
        <f>HLOOKUP(INDICE!$F$2,Nombres!$C$3:$D$636,56,FALSE)</f>
        <v>Tangible assets</v>
      </c>
      <c r="B92" s="44">
        <v>8.799827721729299</v>
      </c>
      <c r="C92" s="44">
        <v>8.331393480625165</v>
      </c>
      <c r="D92" s="44">
        <v>7.82689995298412</v>
      </c>
      <c r="E92" s="45">
        <v>7.388673487692179</v>
      </c>
      <c r="F92" s="44">
        <v>6.963558534095081</v>
      </c>
      <c r="G92" s="44">
        <v>6.5440000000000005</v>
      </c>
      <c r="H92" s="44">
        <v>0</v>
      </c>
      <c r="I92" s="44">
        <v>0</v>
      </c>
    </row>
    <row r="93" spans="1:9" ht="15">
      <c r="A93" s="43" t="str">
        <f>HLOOKUP(INDICE!$F$2,Nombres!$C$3:$D$636,57,FALSE)</f>
        <v>Other assets</v>
      </c>
      <c r="B93" s="58">
        <f>+B94-B92-B89-B88-B87</f>
        <v>172.0296251553741</v>
      </c>
      <c r="C93" s="58">
        <f aca="true" t="shared" si="15" ref="C93:I93">+C94-C92-C89-C88-C87</f>
        <v>168.35889012164827</v>
      </c>
      <c r="D93" s="58">
        <f t="shared" si="15"/>
        <v>178.0527236505468</v>
      </c>
      <c r="E93" s="64">
        <f t="shared" si="15"/>
        <v>207.6968133295621</v>
      </c>
      <c r="F93" s="44">
        <f t="shared" si="15"/>
        <v>213.5081831424439</v>
      </c>
      <c r="G93" s="44">
        <f t="shared" si="15"/>
        <v>274.05478300000016</v>
      </c>
      <c r="H93" s="44">
        <f t="shared" si="15"/>
        <v>0</v>
      </c>
      <c r="I93" s="44">
        <f t="shared" si="15"/>
        <v>0</v>
      </c>
    </row>
    <row r="94" spans="1:9" ht="15">
      <c r="A94" s="47" t="str">
        <f>HLOOKUP(INDICE!$F$2,Nombres!$C$3:$D$636,58,FALSE)</f>
        <v>Total assets / Liabilities and equity</v>
      </c>
      <c r="B94" s="47">
        <v>1585.1987739201595</v>
      </c>
      <c r="C94" s="47">
        <v>1574.0179548415078</v>
      </c>
      <c r="D94" s="47">
        <v>1607.1786356804246</v>
      </c>
      <c r="E94" s="47">
        <v>1706.8246240231474</v>
      </c>
      <c r="F94" s="51">
        <v>1845.3895489557297</v>
      </c>
      <c r="G94" s="51">
        <v>1948.5137830000003</v>
      </c>
      <c r="H94" s="51">
        <v>0</v>
      </c>
      <c r="I94" s="51">
        <v>0</v>
      </c>
    </row>
    <row r="95" spans="1:9" ht="15">
      <c r="A95" s="43" t="str">
        <f>HLOOKUP(INDICE!$F$2,Nombres!$C$3:$D$636,59,FALSE)</f>
        <v>Financial liabilities held for trading and designated at fair value through profit or loss</v>
      </c>
      <c r="B95" s="58">
        <v>0</v>
      </c>
      <c r="C95" s="58">
        <v>0</v>
      </c>
      <c r="D95" s="58">
        <v>0</v>
      </c>
      <c r="E95" s="64">
        <v>0</v>
      </c>
      <c r="F95" s="44">
        <v>0</v>
      </c>
      <c r="G95" s="44">
        <v>0</v>
      </c>
      <c r="H95" s="44">
        <v>0</v>
      </c>
      <c r="I95" s="44">
        <v>0</v>
      </c>
    </row>
    <row r="96" spans="1:9" ht="15">
      <c r="A96" s="43" t="str">
        <f>HLOOKUP(INDICE!$F$2,Nombres!$C$3:$D$636,60,FALSE)</f>
        <v>Deposits from central banks and credit institutions</v>
      </c>
      <c r="B96" s="58">
        <v>380.91773655516226</v>
      </c>
      <c r="C96" s="58">
        <v>386.51776805526595</v>
      </c>
      <c r="D96" s="58">
        <v>371.42038619885005</v>
      </c>
      <c r="E96" s="64">
        <v>475.86561374180303</v>
      </c>
      <c r="F96" s="44">
        <v>592.9723852450802</v>
      </c>
      <c r="G96" s="44">
        <v>545.695</v>
      </c>
      <c r="H96" s="44">
        <v>0</v>
      </c>
      <c r="I96" s="44">
        <v>0</v>
      </c>
    </row>
    <row r="97" spans="1:9" ht="15">
      <c r="A97" s="43" t="str">
        <f>HLOOKUP(INDICE!$F$2,Nombres!$C$3:$D$636,61,FALSE)</f>
        <v>Deposits from customers</v>
      </c>
      <c r="B97" s="58">
        <v>4.752050699055531</v>
      </c>
      <c r="C97" s="58">
        <v>6.571111135086427</v>
      </c>
      <c r="D97" s="58">
        <v>6.215364817105952</v>
      </c>
      <c r="E97" s="64">
        <v>7.511818045820382</v>
      </c>
      <c r="F97" s="44">
        <v>14.154815830500034</v>
      </c>
      <c r="G97" s="44">
        <v>10.869</v>
      </c>
      <c r="H97" s="44">
        <v>0</v>
      </c>
      <c r="I97" s="44">
        <v>0</v>
      </c>
    </row>
    <row r="98" spans="1:9" ht="15">
      <c r="A98" s="43" t="str">
        <f>HLOOKUP(INDICE!$F$2,Nombres!$C$3:$D$636,62,FALSE)</f>
        <v>Debt certificates</v>
      </c>
      <c r="B98" s="44">
        <v>777.5693207369297</v>
      </c>
      <c r="C98" s="44">
        <v>783.2312801947371</v>
      </c>
      <c r="D98" s="44">
        <v>801.2747131438781</v>
      </c>
      <c r="E98" s="45">
        <v>769.9092669571978</v>
      </c>
      <c r="F98" s="44">
        <v>745.8486524438753</v>
      </c>
      <c r="G98" s="44">
        <v>875.4264959999999</v>
      </c>
      <c r="H98" s="44">
        <v>0</v>
      </c>
      <c r="I98" s="44">
        <v>0</v>
      </c>
    </row>
    <row r="99" spans="1:9" ht="15" hidden="1">
      <c r="A99" s="43"/>
      <c r="B99" s="44"/>
      <c r="C99" s="44"/>
      <c r="D99" s="44"/>
      <c r="E99" s="45"/>
      <c r="F99" s="44"/>
      <c r="G99" s="44"/>
      <c r="H99" s="44"/>
      <c r="I99" s="44"/>
    </row>
    <row r="100" spans="1:9" ht="15">
      <c r="A100" s="43" t="str">
        <f>HLOOKUP(INDICE!$F$2,Nombres!$C$3:$D$636,63,FALSE)</f>
        <v>Other liabilities</v>
      </c>
      <c r="B100" s="58">
        <f>+B94-B95-B96-B97-B98-B101</f>
        <v>227.1524017693167</v>
      </c>
      <c r="C100" s="58">
        <f aca="true" t="shared" si="16" ref="C100:I100">+C94-C95-C96-C97-C98-C101</f>
        <v>205.20158461708309</v>
      </c>
      <c r="D100" s="58">
        <f t="shared" si="16"/>
        <v>209.78994314017532</v>
      </c>
      <c r="E100" s="64">
        <f t="shared" si="16"/>
        <v>230.30423851309274</v>
      </c>
      <c r="F100" s="44">
        <f t="shared" si="16"/>
        <v>270.81245311655556</v>
      </c>
      <c r="G100" s="44">
        <f t="shared" si="16"/>
        <v>255.59508700000032</v>
      </c>
      <c r="H100" s="44">
        <f t="shared" si="16"/>
        <v>0</v>
      </c>
      <c r="I100" s="44">
        <f t="shared" si="16"/>
        <v>0</v>
      </c>
    </row>
    <row r="101" spans="1:9" ht="15">
      <c r="A101" s="43" t="str">
        <f>HLOOKUP(INDICE!$F$2,Nombres!$C$3:$D$636,282,FALSE)</f>
        <v>Regulatory capital allocated</v>
      </c>
      <c r="B101" s="58">
        <v>194.80726415969517</v>
      </c>
      <c r="C101" s="58">
        <v>192.49621083933528</v>
      </c>
      <c r="D101" s="58">
        <v>218.47822838041517</v>
      </c>
      <c r="E101" s="64">
        <v>223.23368676523364</v>
      </c>
      <c r="F101" s="44">
        <v>221.60124231971866</v>
      </c>
      <c r="G101" s="44">
        <v>260.9282</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1402.0983977600292</v>
      </c>
      <c r="C107" s="44">
        <v>1401.0878172157825</v>
      </c>
      <c r="D107" s="44">
        <v>1407.6374785685127</v>
      </c>
      <c r="E107" s="45">
        <v>1456.7030086555155</v>
      </c>
      <c r="F107" s="44">
        <v>1555.1423106505556</v>
      </c>
      <c r="G107" s="44">
        <v>1680.019</v>
      </c>
      <c r="H107" s="44">
        <v>0</v>
      </c>
      <c r="I107" s="44">
        <v>0</v>
      </c>
    </row>
    <row r="108" spans="1:9" ht="15">
      <c r="A108" s="43" t="str">
        <f>HLOOKUP(INDICE!$F$2,Nombres!$C$3:$D$636,67,FALSE)</f>
        <v>Customer deposits under management (*)</v>
      </c>
      <c r="B108" s="44">
        <v>4.752050699055531</v>
      </c>
      <c r="C108" s="44">
        <v>6.571111135086426</v>
      </c>
      <c r="D108" s="44">
        <v>6.215364817105952</v>
      </c>
      <c r="E108" s="45">
        <v>7.511818045820382</v>
      </c>
      <c r="F108" s="44">
        <v>14.154815830500034</v>
      </c>
      <c r="G108" s="44">
        <v>10.869</v>
      </c>
      <c r="H108" s="44">
        <v>0</v>
      </c>
      <c r="I108" s="44">
        <v>0</v>
      </c>
    </row>
    <row r="109" spans="1:9" ht="15">
      <c r="A109" s="43" t="str">
        <f>HLOOKUP(INDICE!$F$2,Nombres!$C$3:$D$636,68,FALSE)</f>
        <v>Investment funds and managed portfolios</v>
      </c>
      <c r="B109" s="44">
        <v>0</v>
      </c>
      <c r="C109" s="44">
        <v>0</v>
      </c>
      <c r="D109" s="44">
        <v>0</v>
      </c>
      <c r="E109" s="45">
        <v>0</v>
      </c>
      <c r="F109" s="44">
        <v>0</v>
      </c>
      <c r="G109" s="44">
        <v>0</v>
      </c>
      <c r="H109" s="44">
        <v>0</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HLOOKUP(INDICE!$F$2,Nombres!$C$3:$D$636,81,FALSE)</f>
        <v>(Million Chilean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50">
        <v>29187.247061492388</v>
      </c>
      <c r="C120" s="50">
        <v>31582.71518158211</v>
      </c>
      <c r="D120" s="50">
        <v>31085.245824274218</v>
      </c>
      <c r="E120" s="274">
        <v>32803.978297593545</v>
      </c>
      <c r="F120" s="50">
        <v>30574.584234627124</v>
      </c>
      <c r="G120" s="50">
        <v>30038.977983858385</v>
      </c>
      <c r="H120" s="50">
        <v>0</v>
      </c>
      <c r="I120" s="50">
        <v>0</v>
      </c>
    </row>
    <row r="121" spans="1:9" ht="15">
      <c r="A121" s="43" t="str">
        <f>HLOOKUP(INDICE!$F$2,Nombres!$C$3:$D$636,34,FALSE)</f>
        <v>Net fees and commissions</v>
      </c>
      <c r="B121" s="44">
        <v>-3654.404935679096</v>
      </c>
      <c r="C121" s="44">
        <v>-3944.660920771166</v>
      </c>
      <c r="D121" s="44">
        <v>-915.6171720115558</v>
      </c>
      <c r="E121" s="45">
        <v>1936.662686834828</v>
      </c>
      <c r="F121" s="44">
        <v>4538.712700348422</v>
      </c>
      <c r="G121" s="44">
        <v>2853.4272575399523</v>
      </c>
      <c r="H121" s="44">
        <v>0</v>
      </c>
      <c r="I121" s="44">
        <v>0</v>
      </c>
    </row>
    <row r="122" spans="1:9" ht="15">
      <c r="A122" s="43" t="str">
        <f>HLOOKUP(INDICE!$F$2,Nombres!$C$3:$D$636,35,FALSE)</f>
        <v>Net trading income</v>
      </c>
      <c r="B122" s="44">
        <v>34.90358104755584</v>
      </c>
      <c r="C122" s="44">
        <v>-29.696363695031685</v>
      </c>
      <c r="D122" s="44">
        <v>456.07092889623596</v>
      </c>
      <c r="E122" s="45">
        <v>403.2821907222768</v>
      </c>
      <c r="F122" s="44">
        <v>1290.8098919790918</v>
      </c>
      <c r="G122" s="44">
        <v>1419.3105198801186</v>
      </c>
      <c r="H122" s="44">
        <v>0</v>
      </c>
      <c r="I122" s="44">
        <v>0</v>
      </c>
    </row>
    <row r="123" spans="1:9" ht="15">
      <c r="A123" s="43" t="str">
        <f>HLOOKUP(INDICE!$F$2,Nombres!$C$3:$D$636,36,FALSE)</f>
        <v>Other operating income and expenses</v>
      </c>
      <c r="B123" s="44">
        <v>-436.294763094448</v>
      </c>
      <c r="C123" s="44">
        <v>341.69698119025895</v>
      </c>
      <c r="D123" s="44">
        <v>158.98268568269657</v>
      </c>
      <c r="E123" s="45">
        <v>-71.56712880007389</v>
      </c>
      <c r="F123" s="44">
        <v>-106.20587718815311</v>
      </c>
      <c r="G123" s="44">
        <v>-185.29225568914458</v>
      </c>
      <c r="H123" s="44">
        <v>0</v>
      </c>
      <c r="I123" s="44">
        <v>0</v>
      </c>
    </row>
    <row r="124" spans="1:9" ht="15">
      <c r="A124" s="41" t="str">
        <f>HLOOKUP(INDICE!$F$2,Nombres!$C$3:$D$636,37,FALSE)</f>
        <v>Gross income</v>
      </c>
      <c r="B124" s="50">
        <f aca="true" t="shared" si="19" ref="B124:I124">+SUM(B120:B123)</f>
        <v>25131.4509437664</v>
      </c>
      <c r="C124" s="50">
        <f t="shared" si="19"/>
        <v>27950.05487830617</v>
      </c>
      <c r="D124" s="50">
        <f t="shared" si="19"/>
        <v>30784.68226684159</v>
      </c>
      <c r="E124" s="274">
        <f t="shared" si="19"/>
        <v>35072.35604635057</v>
      </c>
      <c r="F124" s="50">
        <f t="shared" si="19"/>
        <v>36297.90094976648</v>
      </c>
      <c r="G124" s="50">
        <f t="shared" si="19"/>
        <v>34126.423505589315</v>
      </c>
      <c r="H124" s="50">
        <f t="shared" si="19"/>
        <v>0</v>
      </c>
      <c r="I124" s="50">
        <f t="shared" si="19"/>
        <v>0</v>
      </c>
    </row>
    <row r="125" spans="1:9" ht="15">
      <c r="A125" s="43" t="str">
        <f>HLOOKUP(INDICE!$F$2,Nombres!$C$3:$D$636,38,FALSE)</f>
        <v>Operating expenses</v>
      </c>
      <c r="B125" s="44">
        <v>-12608.621100401117</v>
      </c>
      <c r="C125" s="44">
        <v>-11566.161441211994</v>
      </c>
      <c r="D125" s="44">
        <v>-8071.450145965391</v>
      </c>
      <c r="E125" s="45">
        <v>-11249.893029915902</v>
      </c>
      <c r="F125" s="44">
        <v>-11719.055136236497</v>
      </c>
      <c r="G125" s="44">
        <v>-12506.169742773212</v>
      </c>
      <c r="H125" s="44">
        <v>0</v>
      </c>
      <c r="I125" s="44">
        <v>0</v>
      </c>
    </row>
    <row r="126" spans="1:9" ht="15">
      <c r="A126" s="43" t="str">
        <f>HLOOKUP(INDICE!$F$2,Nombres!$C$3:$D$636,39,FALSE)</f>
        <v>  Administration expenses</v>
      </c>
      <c r="B126" s="44">
        <v>-11630.448241543365</v>
      </c>
      <c r="C126" s="44">
        <v>-10603.777966695743</v>
      </c>
      <c r="D126" s="44">
        <v>-7098.8100796077415</v>
      </c>
      <c r="E126" s="45">
        <v>-10137.452305059674</v>
      </c>
      <c r="F126" s="44">
        <v>-10516.296270644165</v>
      </c>
      <c r="G126" s="44">
        <v>-11323.697756369576</v>
      </c>
      <c r="H126" s="44">
        <v>0</v>
      </c>
      <c r="I126" s="44">
        <v>0</v>
      </c>
    </row>
    <row r="127" spans="1:9" ht="15">
      <c r="A127" s="46" t="str">
        <f>HLOOKUP(INDICE!$F$2,Nombres!$C$3:$D$636,40,FALSE)</f>
        <v>  Personnel expenses</v>
      </c>
      <c r="B127" s="44">
        <v>-4873.412503764985</v>
      </c>
      <c r="C127" s="44">
        <v>-4851.06590207389</v>
      </c>
      <c r="D127" s="44">
        <v>-5068.173733519071</v>
      </c>
      <c r="E127" s="45">
        <v>-5564.466906143884</v>
      </c>
      <c r="F127" s="44">
        <v>-5334.802907989537</v>
      </c>
      <c r="G127" s="44">
        <v>-5356.771024509985</v>
      </c>
      <c r="H127" s="44">
        <v>0</v>
      </c>
      <c r="I127" s="44">
        <v>0</v>
      </c>
    </row>
    <row r="128" spans="1:9" ht="15">
      <c r="A128" s="46" t="str">
        <f>HLOOKUP(INDICE!$F$2,Nombres!$C$3:$D$636,41,FALSE)</f>
        <v>  General and administrative expenses</v>
      </c>
      <c r="B128" s="44">
        <v>-6757.03573777838</v>
      </c>
      <c r="C128" s="44">
        <v>-5752.712064621852</v>
      </c>
      <c r="D128" s="44">
        <v>-2030.63634608867</v>
      </c>
      <c r="E128" s="45">
        <v>-4572.985398915789</v>
      </c>
      <c r="F128" s="44">
        <v>-5181.493362654628</v>
      </c>
      <c r="G128" s="44">
        <v>-5966.92673185959</v>
      </c>
      <c r="H128" s="44">
        <v>0</v>
      </c>
      <c r="I128" s="44">
        <v>0</v>
      </c>
    </row>
    <row r="129" spans="1:9" ht="15">
      <c r="A129" s="43" t="str">
        <f>HLOOKUP(INDICE!$F$2,Nombres!$C$3:$D$636,42,FALSE)</f>
        <v>  Depreciation</v>
      </c>
      <c r="B129" s="44">
        <v>-978.1728588577524</v>
      </c>
      <c r="C129" s="44">
        <v>-962.3834745162521</v>
      </c>
      <c r="D129" s="44">
        <v>-972.6400663576488</v>
      </c>
      <c r="E129" s="45">
        <v>-1112.4407248562275</v>
      </c>
      <c r="F129" s="44">
        <v>-1202.7588655923323</v>
      </c>
      <c r="G129" s="44">
        <v>-1182.471986403636</v>
      </c>
      <c r="H129" s="44">
        <v>0</v>
      </c>
      <c r="I129" s="44">
        <v>0</v>
      </c>
    </row>
    <row r="130" spans="1:9" ht="15">
      <c r="A130" s="41" t="str">
        <f>HLOOKUP(INDICE!$F$2,Nombres!$C$3:$D$636,43,FALSE)</f>
        <v>Operating income</v>
      </c>
      <c r="B130" s="50">
        <f aca="true" t="shared" si="20" ref="B130:I130">+B124+B125</f>
        <v>12522.829843365282</v>
      </c>
      <c r="C130" s="50">
        <f t="shared" si="20"/>
        <v>16383.893437094177</v>
      </c>
      <c r="D130" s="50">
        <f t="shared" si="20"/>
        <v>22713.2321208762</v>
      </c>
      <c r="E130" s="274">
        <f t="shared" si="20"/>
        <v>23822.463016434667</v>
      </c>
      <c r="F130" s="50">
        <f t="shared" si="20"/>
        <v>24578.845813529984</v>
      </c>
      <c r="G130" s="50">
        <f t="shared" si="20"/>
        <v>21620.2537628161</v>
      </c>
      <c r="H130" s="50">
        <f t="shared" si="20"/>
        <v>0</v>
      </c>
      <c r="I130" s="50">
        <f t="shared" si="20"/>
        <v>0</v>
      </c>
    </row>
    <row r="131" spans="1:9" ht="15">
      <c r="A131" s="43" t="str">
        <f>HLOOKUP(INDICE!$F$2,Nombres!$C$3:$D$636,44,FALSE)</f>
        <v>Impaiment on financial assets not measured at fair value through profit or loss</v>
      </c>
      <c r="B131" s="44">
        <v>453.746553618226</v>
      </c>
      <c r="C131" s="44">
        <v>1363.5723024127078</v>
      </c>
      <c r="D131" s="44">
        <v>-4884.862627834353</v>
      </c>
      <c r="E131" s="45">
        <v>-5918.317508303654</v>
      </c>
      <c r="F131" s="44">
        <v>-3624.61596249825</v>
      </c>
      <c r="G131" s="44">
        <v>-9650.732441913668</v>
      </c>
      <c r="H131" s="44">
        <v>0</v>
      </c>
      <c r="I131" s="44">
        <v>0</v>
      </c>
    </row>
    <row r="132" spans="1:9" ht="15">
      <c r="A132" s="43" t="str">
        <f>HLOOKUP(INDICE!$F$2,Nombres!$C$3:$D$636,45,FALSE)</f>
        <v>Provisions or reversal of provisions and other results</v>
      </c>
      <c r="B132" s="44">
        <v>397.02823441594774</v>
      </c>
      <c r="C132" s="44">
        <v>241.72376082701632</v>
      </c>
      <c r="D132" s="44">
        <v>436.38769935978667</v>
      </c>
      <c r="E132" s="45">
        <v>-3787.327418371704</v>
      </c>
      <c r="F132" s="44">
        <v>119.82201528919839</v>
      </c>
      <c r="G132" s="44">
        <v>22.76840265078002</v>
      </c>
      <c r="H132" s="44">
        <v>0</v>
      </c>
      <c r="I132" s="44">
        <v>0</v>
      </c>
    </row>
    <row r="133" spans="1:9" ht="15">
      <c r="A133" s="41" t="str">
        <f>HLOOKUP(INDICE!$F$2,Nombres!$C$3:$D$636,46,FALSE)</f>
        <v>Profit/(loss) before tax</v>
      </c>
      <c r="B133" s="50">
        <f aca="true" t="shared" si="21" ref="B133:I133">+B130+B131+B132</f>
        <v>13373.604631399456</v>
      </c>
      <c r="C133" s="50">
        <f t="shared" si="21"/>
        <v>17989.1895003339</v>
      </c>
      <c r="D133" s="50">
        <f t="shared" si="21"/>
        <v>18264.757192401637</v>
      </c>
      <c r="E133" s="274">
        <f t="shared" si="21"/>
        <v>14116.818089759308</v>
      </c>
      <c r="F133" s="50">
        <f t="shared" si="21"/>
        <v>21074.051866320933</v>
      </c>
      <c r="G133" s="50">
        <f t="shared" si="21"/>
        <v>11992.289723553213</v>
      </c>
      <c r="H133" s="50">
        <f t="shared" si="21"/>
        <v>0</v>
      </c>
      <c r="I133" s="50">
        <f t="shared" si="21"/>
        <v>0</v>
      </c>
    </row>
    <row r="134" spans="1:9" ht="15">
      <c r="A134" s="43" t="str">
        <f>HLOOKUP(INDICE!$F$2,Nombres!$C$3:$D$636,47,FALSE)</f>
        <v>Income tax</v>
      </c>
      <c r="B134" s="44">
        <v>-3046.386560786584</v>
      </c>
      <c r="C134" s="44">
        <v>-4482.733001428072</v>
      </c>
      <c r="D134" s="44">
        <v>-4403.7905530940125</v>
      </c>
      <c r="E134" s="45">
        <v>-2077.6440494449216</v>
      </c>
      <c r="F134" s="44">
        <v>-4305.302410115448</v>
      </c>
      <c r="G134" s="44">
        <v>-12.782078004810785</v>
      </c>
      <c r="H134" s="44">
        <v>0</v>
      </c>
      <c r="I134" s="44">
        <v>0</v>
      </c>
    </row>
    <row r="135" spans="1:9" ht="15">
      <c r="A135" s="41" t="str">
        <f>HLOOKUP(INDICE!$F$2,Nombres!$C$3:$D$636,48,FALSE)</f>
        <v>Profit/(loss) for the year</v>
      </c>
      <c r="B135" s="50">
        <f aca="true" t="shared" si="22" ref="B135:I135">+B133+B134</f>
        <v>10327.218070612871</v>
      </c>
      <c r="C135" s="50">
        <f t="shared" si="22"/>
        <v>13506.456498905829</v>
      </c>
      <c r="D135" s="50">
        <f t="shared" si="22"/>
        <v>13860.966639307626</v>
      </c>
      <c r="E135" s="274">
        <f t="shared" si="22"/>
        <v>12039.174040314387</v>
      </c>
      <c r="F135" s="50">
        <f t="shared" si="22"/>
        <v>16768.749456205485</v>
      </c>
      <c r="G135" s="50">
        <f t="shared" si="22"/>
        <v>11979.507645548401</v>
      </c>
      <c r="H135" s="50">
        <f t="shared" si="22"/>
        <v>0</v>
      </c>
      <c r="I135" s="50">
        <f t="shared" si="22"/>
        <v>0</v>
      </c>
    </row>
    <row r="136" spans="1:9" ht="15">
      <c r="A136" s="43" t="str">
        <f>HLOOKUP(INDICE!$F$2,Nombres!$C$3:$D$636,49,FALSE)</f>
        <v>Non-controlling interests</v>
      </c>
      <c r="B136" s="44">
        <v>0</v>
      </c>
      <c r="C136" s="44">
        <v>0</v>
      </c>
      <c r="D136" s="44">
        <v>0</v>
      </c>
      <c r="E136" s="45">
        <v>0</v>
      </c>
      <c r="F136" s="44">
        <v>0</v>
      </c>
      <c r="G136" s="44">
        <v>0</v>
      </c>
      <c r="H136" s="44">
        <v>0</v>
      </c>
      <c r="I136" s="44">
        <v>0</v>
      </c>
    </row>
    <row r="137" spans="1:9" ht="15">
      <c r="A137" s="47" t="str">
        <f>HLOOKUP(INDICE!$F$2,Nombres!$C$3:$D$636,50,FALSE)</f>
        <v>Net attributable profit</v>
      </c>
      <c r="B137" s="51">
        <f aca="true" t="shared" si="23" ref="B137:I137">+B135+B136</f>
        <v>10327.218070612871</v>
      </c>
      <c r="C137" s="51">
        <f t="shared" si="23"/>
        <v>13506.456498905829</v>
      </c>
      <c r="D137" s="51">
        <f t="shared" si="23"/>
        <v>13860.966639307626</v>
      </c>
      <c r="E137" s="79">
        <f t="shared" si="23"/>
        <v>12039.174040314387</v>
      </c>
      <c r="F137" s="51">
        <f t="shared" si="23"/>
        <v>16768.749456205485</v>
      </c>
      <c r="G137" s="51">
        <f t="shared" si="23"/>
        <v>11979.507645548401</v>
      </c>
      <c r="H137" s="51">
        <f t="shared" si="23"/>
        <v>0</v>
      </c>
      <c r="I137" s="51">
        <f t="shared" si="23"/>
        <v>0</v>
      </c>
    </row>
    <row r="138" spans="1:9" ht="15">
      <c r="A138" s="273"/>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HLOOKUP(INDICE!$F$2,Nombres!$C$3:$D$636,81,FALSE)</f>
        <v>(Million Chilean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17335.367293680392</v>
      </c>
      <c r="C143" s="44">
        <v>27787.05471706841</v>
      </c>
      <c r="D143" s="44">
        <v>16074.918245139399</v>
      </c>
      <c r="E143" s="45">
        <v>28905.60974547381</v>
      </c>
      <c r="F143" s="44">
        <v>18420.258739675042</v>
      </c>
      <c r="G143" s="44">
        <v>24628.934344214726</v>
      </c>
      <c r="H143" s="44">
        <v>0</v>
      </c>
      <c r="I143" s="44">
        <v>0</v>
      </c>
    </row>
    <row r="144" spans="1:9" ht="15">
      <c r="A144" s="43" t="str">
        <f>HLOOKUP(INDICE!$F$2,Nombres!$C$3:$D$636,53,FALSE)</f>
        <v>Financial assets designated at fair value </v>
      </c>
      <c r="B144" s="58">
        <v>0</v>
      </c>
      <c r="C144" s="58">
        <v>2432.6779978716495</v>
      </c>
      <c r="D144" s="58">
        <v>0</v>
      </c>
      <c r="E144" s="64">
        <v>0</v>
      </c>
      <c r="F144" s="44">
        <v>0</v>
      </c>
      <c r="G144" s="44">
        <v>0</v>
      </c>
      <c r="H144" s="44">
        <v>0</v>
      </c>
      <c r="I144" s="44">
        <v>0</v>
      </c>
    </row>
    <row r="145" spans="1:9" ht="15">
      <c r="A145" s="43" t="str">
        <f>HLOOKUP(INDICE!$F$2,Nombres!$C$3:$D$636,54,FALSE)</f>
        <v>Financial assets at amortized cost</v>
      </c>
      <c r="B145" s="44">
        <v>1324641.8113747004</v>
      </c>
      <c r="C145" s="44">
        <v>1305028.6366613912</v>
      </c>
      <c r="D145" s="44">
        <v>1342079.813342471</v>
      </c>
      <c r="E145" s="45">
        <v>1396559.792168838</v>
      </c>
      <c r="F145" s="44">
        <v>1534307.0629885998</v>
      </c>
      <c r="G145" s="44">
        <v>1569185.3368876826</v>
      </c>
      <c r="H145" s="44">
        <v>0</v>
      </c>
      <c r="I145" s="44">
        <v>0</v>
      </c>
    </row>
    <row r="146" spans="1:9" ht="15">
      <c r="A146" s="43" t="str">
        <f>HLOOKUP(INDICE!$F$2,Nombres!$C$3:$D$636,55,FALSE)</f>
        <v>    of which loans and advances to customers</v>
      </c>
      <c r="B146" s="44">
        <v>1286071.3702453645</v>
      </c>
      <c r="C146" s="44">
        <v>1289868.9633190508</v>
      </c>
      <c r="D146" s="44">
        <v>1295909.5515154384</v>
      </c>
      <c r="E146" s="45">
        <v>1339829.6390382661</v>
      </c>
      <c r="F146" s="44">
        <v>1432766.697425615</v>
      </c>
      <c r="G146" s="44">
        <v>1544475.1788521793</v>
      </c>
      <c r="H146" s="44">
        <v>0</v>
      </c>
      <c r="I146" s="44">
        <v>0</v>
      </c>
    </row>
    <row r="147" spans="1:9" ht="15" hidden="1">
      <c r="A147" s="43"/>
      <c r="B147" s="44"/>
      <c r="C147" s="44"/>
      <c r="D147" s="44"/>
      <c r="E147" s="45"/>
      <c r="F147" s="44"/>
      <c r="G147" s="44"/>
      <c r="H147" s="44"/>
      <c r="I147" s="44"/>
    </row>
    <row r="148" spans="1:9" ht="15">
      <c r="A148" s="43" t="str">
        <f>HLOOKUP(INDICE!$F$2,Nombres!$C$3:$D$636,56,FALSE)</f>
        <v>Tangible assets</v>
      </c>
      <c r="B148" s="44">
        <v>8408.87635597391</v>
      </c>
      <c r="C148" s="44">
        <v>7961.253318465731</v>
      </c>
      <c r="D148" s="44">
        <v>7479.173006160597</v>
      </c>
      <c r="E148" s="45">
        <v>7060.415698735576</v>
      </c>
      <c r="F148" s="44">
        <v>6654.18739576022</v>
      </c>
      <c r="G148" s="44">
        <v>6253.26865634132</v>
      </c>
      <c r="H148" s="44">
        <v>0</v>
      </c>
      <c r="I148" s="44">
        <v>0</v>
      </c>
    </row>
    <row r="149" spans="1:9" ht="15">
      <c r="A149" s="43" t="str">
        <f>HLOOKUP(INDICE!$F$2,Nombres!$C$3:$D$636,57,FALSE)</f>
        <v>Other assets</v>
      </c>
      <c r="B149" s="58">
        <f>+B150-B148-B145-B144-B143</f>
        <v>164386.83724728733</v>
      </c>
      <c r="C149" s="58">
        <f aca="true" t="shared" si="25" ref="C149:I149">+C150-C148-C145-C144-C143</f>
        <v>160879.1825510571</v>
      </c>
      <c r="D149" s="58">
        <f t="shared" si="25"/>
        <v>170142.34657398672</v>
      </c>
      <c r="E149" s="64">
        <f t="shared" si="25"/>
        <v>198469.43349873557</v>
      </c>
      <c r="F149" s="44">
        <f t="shared" si="25"/>
        <v>204022.6206474671</v>
      </c>
      <c r="G149" s="44">
        <f t="shared" si="25"/>
        <v>261879.3069459534</v>
      </c>
      <c r="H149" s="44">
        <f t="shared" si="25"/>
        <v>0</v>
      </c>
      <c r="I149" s="44">
        <f t="shared" si="25"/>
        <v>0</v>
      </c>
    </row>
    <row r="150" spans="1:9" ht="15">
      <c r="A150" s="47" t="str">
        <f>HLOOKUP(INDICE!$F$2,Nombres!$C$3:$D$636,58,FALSE)</f>
        <v>Total assets / Liabilities and equity</v>
      </c>
      <c r="B150" s="47">
        <v>1514772.892271642</v>
      </c>
      <c r="C150" s="47">
        <v>1504088.8052458542</v>
      </c>
      <c r="D150" s="47">
        <v>1535776.2511677577</v>
      </c>
      <c r="E150" s="47">
        <v>1630995.2511117829</v>
      </c>
      <c r="F150" s="51">
        <v>1763404.1297715022</v>
      </c>
      <c r="G150" s="51">
        <v>1861946.846834192</v>
      </c>
      <c r="H150" s="51">
        <v>0</v>
      </c>
      <c r="I150" s="51">
        <v>0</v>
      </c>
    </row>
    <row r="151" spans="1:9" ht="15">
      <c r="A151" s="43" t="str">
        <f>HLOOKUP(INDICE!$F$2,Nombres!$C$3:$D$636,59,FALSE)</f>
        <v>Financial liabilities held for trading and designated at fair value through profit or loss</v>
      </c>
      <c r="B151" s="58">
        <v>0</v>
      </c>
      <c r="C151" s="58">
        <v>0</v>
      </c>
      <c r="D151" s="58">
        <v>0</v>
      </c>
      <c r="E151" s="64">
        <v>0</v>
      </c>
      <c r="F151" s="44">
        <v>0</v>
      </c>
      <c r="G151" s="44">
        <v>0</v>
      </c>
      <c r="H151" s="44">
        <v>0</v>
      </c>
      <c r="I151" s="44">
        <v>0</v>
      </c>
    </row>
    <row r="152" spans="1:9" ht="15">
      <c r="A152" s="43" t="str">
        <f>HLOOKUP(INDICE!$F$2,Nombres!$C$3:$D$636,60,FALSE)</f>
        <v>Deposits from central banks and credit institutions</v>
      </c>
      <c r="B152" s="58">
        <v>363994.6428247061</v>
      </c>
      <c r="C152" s="58">
        <v>369345.88082197413</v>
      </c>
      <c r="D152" s="58">
        <v>354919.23278475815</v>
      </c>
      <c r="E152" s="64">
        <v>454724.2553548659</v>
      </c>
      <c r="F152" s="44">
        <v>566628.3054292497</v>
      </c>
      <c r="G152" s="44">
        <v>521451.32020510035</v>
      </c>
      <c r="H152" s="44">
        <v>0</v>
      </c>
      <c r="I152" s="44">
        <v>0</v>
      </c>
    </row>
    <row r="153" spans="1:9" ht="15">
      <c r="A153" s="43" t="str">
        <f>HLOOKUP(INDICE!$F$2,Nombres!$C$3:$D$636,61,FALSE)</f>
        <v>Deposits from customers</v>
      </c>
      <c r="B153" s="58">
        <v>4540.930576061861</v>
      </c>
      <c r="C153" s="58">
        <v>6279.175320655773</v>
      </c>
      <c r="D153" s="58">
        <v>5939.233801732159</v>
      </c>
      <c r="E153" s="64">
        <v>7178.089293714502</v>
      </c>
      <c r="F153" s="44">
        <v>13525.957544185481</v>
      </c>
      <c r="G153" s="44">
        <v>10386.12118364514</v>
      </c>
      <c r="H153" s="44">
        <v>0</v>
      </c>
      <c r="I153" s="44">
        <v>0</v>
      </c>
    </row>
    <row r="154" spans="1:9" ht="15">
      <c r="A154" s="43" t="str">
        <f>HLOOKUP(INDICE!$F$2,Nombres!$C$3:$D$636,62,FALSE)</f>
        <v>Debt certificates</v>
      </c>
      <c r="B154" s="44">
        <v>743024.1230893725</v>
      </c>
      <c r="C154" s="44">
        <v>748434.5377609772</v>
      </c>
      <c r="D154" s="44">
        <v>765676.3522037738</v>
      </c>
      <c r="E154" s="45">
        <v>735704.3837546099</v>
      </c>
      <c r="F154" s="44">
        <v>712712.7140436578</v>
      </c>
      <c r="G154" s="44">
        <v>836533.7818410009</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Other liabilities</v>
      </c>
      <c r="B156" s="58">
        <f>+B150-B151-B152-B153-B154-B157</f>
        <v>217060.66537235957</v>
      </c>
      <c r="C156" s="58">
        <f aca="true" t="shared" si="26" ref="C156:I156">+C150-C151-C152-C153-C154-C157</f>
        <v>196085.06071478894</v>
      </c>
      <c r="D156" s="58">
        <f t="shared" si="26"/>
        <v>200469.57149359534</v>
      </c>
      <c r="E156" s="64">
        <f t="shared" si="26"/>
        <v>220072.47495667438</v>
      </c>
      <c r="F156" s="44">
        <f t="shared" si="26"/>
        <v>258781.02457528442</v>
      </c>
      <c r="G156" s="44">
        <f t="shared" si="26"/>
        <v>244239.7228380093</v>
      </c>
      <c r="H156" s="44">
        <f t="shared" si="26"/>
        <v>0</v>
      </c>
      <c r="I156" s="44">
        <f t="shared" si="26"/>
        <v>0</v>
      </c>
    </row>
    <row r="157" spans="1:9" ht="15.75" customHeight="1">
      <c r="A157" s="43" t="str">
        <f>HLOOKUP(INDICE!$F$2,Nombres!$C$3:$D$636,282,FALSE)</f>
        <v>Regulatory capital allocated</v>
      </c>
      <c r="B157" s="58">
        <v>186152.53040914203</v>
      </c>
      <c r="C157" s="58">
        <v>183944.15062745803</v>
      </c>
      <c r="D157" s="58">
        <v>208771.86088389836</v>
      </c>
      <c r="E157" s="64">
        <v>213316.0477519181</v>
      </c>
      <c r="F157" s="44">
        <v>211756.12817912505</v>
      </c>
      <c r="G157" s="44">
        <v>249335.9007664363</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8"/>
      <c r="G160" s="68"/>
      <c r="H160" s="68"/>
      <c r="I160" s="68"/>
    </row>
    <row r="161" spans="1:9" ht="15">
      <c r="A161" s="35" t="str">
        <f>HLOOKUP(INDICE!$F$2,Nombres!$C$3:$D$636,81,FALSE)</f>
        <v>(Million Chilean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1339807.1460603876</v>
      </c>
      <c r="C163" s="44">
        <v>1338841.4627410038</v>
      </c>
      <c r="D163" s="44">
        <v>1345100.1412322442</v>
      </c>
      <c r="E163" s="45">
        <v>1391985.8290989662</v>
      </c>
      <c r="F163" s="44">
        <v>1486051.7523443364</v>
      </c>
      <c r="G163" s="44">
        <v>1605380.5248713156</v>
      </c>
      <c r="H163" s="44">
        <v>0</v>
      </c>
      <c r="I163" s="44">
        <v>0</v>
      </c>
    </row>
    <row r="164" spans="1:9" ht="15">
      <c r="A164" s="43" t="str">
        <f>HLOOKUP(INDICE!$F$2,Nombres!$C$3:$D$636,67,FALSE)</f>
        <v>Customer deposits under management (*)</v>
      </c>
      <c r="B164" s="44">
        <v>4540.93057606186</v>
      </c>
      <c r="C164" s="44">
        <v>6279.175320655774</v>
      </c>
      <c r="D164" s="44">
        <v>5939.233801732159</v>
      </c>
      <c r="E164" s="45">
        <v>7178.089293714502</v>
      </c>
      <c r="F164" s="44">
        <v>13525.957544185481</v>
      </c>
      <c r="G164" s="44">
        <v>10386.12118364514</v>
      </c>
      <c r="H164" s="44">
        <v>0</v>
      </c>
      <c r="I164" s="44">
        <v>0</v>
      </c>
    </row>
    <row r="165" spans="1:9" ht="15">
      <c r="A165" s="43" t="str">
        <f>HLOOKUP(INDICE!$F$2,Nombres!$C$3:$D$636,68,FALSE)</f>
        <v>Investment funds and managed portfolios</v>
      </c>
      <c r="B165" s="44">
        <v>0</v>
      </c>
      <c r="C165" s="44">
        <v>0</v>
      </c>
      <c r="D165" s="44">
        <v>0</v>
      </c>
      <c r="E165" s="45">
        <v>0</v>
      </c>
      <c r="F165" s="44">
        <v>0</v>
      </c>
      <c r="G165" s="44">
        <v>0</v>
      </c>
      <c r="H165" s="44">
        <v>0</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9" ht="15">
      <c r="A167" s="43" t="str">
        <f>HLOOKUP(INDICE!$F$2,Nombres!$C$3:$D$636,70,FALSE)</f>
        <v>Other off balance-sheet funds</v>
      </c>
      <c r="B167" s="44">
        <v>0</v>
      </c>
      <c r="C167" s="44">
        <v>0</v>
      </c>
      <c r="D167" s="44">
        <v>0</v>
      </c>
      <c r="E167" s="45">
        <v>0</v>
      </c>
      <c r="F167" s="44">
        <v>0</v>
      </c>
      <c r="G167" s="44">
        <v>0</v>
      </c>
      <c r="H167" s="44">
        <v>0</v>
      </c>
      <c r="I167" s="44">
        <v>0</v>
      </c>
    </row>
    <row r="168" spans="1:9" ht="15">
      <c r="A168" s="62" t="str">
        <f>HLOOKUP(INDICE!$F$2,Nombres!$C$3:$D$636,71,FALSE)</f>
        <v>(*) Excluding repos. </v>
      </c>
      <c r="B168" s="44"/>
      <c r="C168" s="58"/>
      <c r="D168" s="58"/>
      <c r="E168" s="58"/>
      <c r="F168" s="44"/>
      <c r="G168" s="44"/>
      <c r="H168" s="44"/>
      <c r="I168" s="44"/>
    </row>
    <row r="169" spans="1:9" ht="15">
      <c r="A169" s="62">
        <f>HLOOKUP(INDICE!$F$2,Nombres!$C$3:$D$636,72,FALSE)</f>
        <v>0</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392</v>
      </c>
    </row>
  </sheetData>
  <sheetProtection/>
  <mergeCells count="6">
    <mergeCell ref="B6:E6"/>
    <mergeCell ref="F6:I6"/>
    <mergeCell ref="B62:E62"/>
    <mergeCell ref="F62:I62"/>
    <mergeCell ref="B118:E118"/>
    <mergeCell ref="F118:I118"/>
  </mergeCells>
  <conditionalFormatting sqref="G26:I26">
    <cfRule type="cellIs" priority="18" dxfId="127" operator="notBetween">
      <formula>0.5</formula>
      <formula>-0.5</formula>
    </cfRule>
  </conditionalFormatting>
  <conditionalFormatting sqref="C26">
    <cfRule type="cellIs" priority="17" dxfId="127" operator="notBetween">
      <formula>0.5</formula>
      <formula>-0.5</formula>
    </cfRule>
  </conditionalFormatting>
  <conditionalFormatting sqref="D26">
    <cfRule type="cellIs" priority="16" dxfId="127" operator="notBetween">
      <formula>0.5</formula>
      <formula>-0.5</formula>
    </cfRule>
  </conditionalFormatting>
  <conditionalFormatting sqref="E26">
    <cfRule type="cellIs" priority="15" dxfId="127" operator="notBetween">
      <formula>0.5</formula>
      <formula>-0.5</formula>
    </cfRule>
  </conditionalFormatting>
  <conditionalFormatting sqref="F26:I26">
    <cfRule type="cellIs" priority="14" dxfId="127" operator="notBetween">
      <formula>0.5</formula>
      <formula>-0.5</formula>
    </cfRule>
  </conditionalFormatting>
  <conditionalFormatting sqref="G82:I82">
    <cfRule type="cellIs" priority="13" dxfId="127" operator="notBetween">
      <formula>0.5</formula>
      <formula>-0.5</formula>
    </cfRule>
  </conditionalFormatting>
  <conditionalFormatting sqref="C82">
    <cfRule type="cellIs" priority="12" dxfId="127" operator="notBetween">
      <formula>0.5</formula>
      <formula>-0.5</formula>
    </cfRule>
  </conditionalFormatting>
  <conditionalFormatting sqref="D82">
    <cfRule type="cellIs" priority="11" dxfId="127" operator="notBetween">
      <formula>0.5</formula>
      <formula>-0.5</formula>
    </cfRule>
  </conditionalFormatting>
  <conditionalFormatting sqref="E82">
    <cfRule type="cellIs" priority="10" dxfId="127" operator="notBetween">
      <formula>0.5</formula>
      <formula>-0.5</formula>
    </cfRule>
  </conditionalFormatting>
  <conditionalFormatting sqref="F82:I82">
    <cfRule type="cellIs" priority="9" dxfId="127" operator="notBetween">
      <formula>0.5</formula>
      <formula>-0.5</formula>
    </cfRule>
  </conditionalFormatting>
  <conditionalFormatting sqref="G138:I138">
    <cfRule type="cellIs" priority="8" dxfId="127" operator="notBetween">
      <formula>0.5</formula>
      <formula>-0.5</formula>
    </cfRule>
  </conditionalFormatting>
  <conditionalFormatting sqref="C138">
    <cfRule type="cellIs" priority="7" dxfId="127" operator="notBetween">
      <formula>0.5</formula>
      <formula>-0.5</formula>
    </cfRule>
  </conditionalFormatting>
  <conditionalFormatting sqref="D138">
    <cfRule type="cellIs" priority="6" dxfId="127" operator="notBetween">
      <formula>0.5</formula>
      <formula>-0.5</formula>
    </cfRule>
  </conditionalFormatting>
  <conditionalFormatting sqref="E138">
    <cfRule type="cellIs" priority="5" dxfId="127" operator="notBetween">
      <formula>0.5</formula>
      <formula>-0.5</formula>
    </cfRule>
  </conditionalFormatting>
  <conditionalFormatting sqref="F138:I138">
    <cfRule type="cellIs" priority="4" dxfId="127" operator="notBetween">
      <formula>0.5</formula>
      <formula>-0.5</formula>
    </cfRule>
  </conditionalFormatting>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59">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200.88199999999998</v>
      </c>
      <c r="C8" s="41">
        <v>187.75100000000003</v>
      </c>
      <c r="D8" s="41">
        <v>186.068</v>
      </c>
      <c r="E8" s="42">
        <v>194.73200000000008</v>
      </c>
      <c r="F8" s="50">
        <v>212.54699999999997</v>
      </c>
      <c r="G8" s="50">
        <v>229.45900000000006</v>
      </c>
      <c r="H8" s="50">
        <v>0</v>
      </c>
      <c r="I8" s="50">
        <v>0</v>
      </c>
    </row>
    <row r="9" spans="1:9" ht="15">
      <c r="A9" s="43" t="str">
        <f>HLOOKUP(INDICE!$F$2,Nombres!$C$3:$D$636,34,FALSE)</f>
        <v>Net fees and commissions</v>
      </c>
      <c r="B9" s="44">
        <v>21.442577090000007</v>
      </c>
      <c r="C9" s="44">
        <v>21.786242820000002</v>
      </c>
      <c r="D9" s="44">
        <v>19.6519719</v>
      </c>
      <c r="E9" s="45">
        <v>19.83739961000001</v>
      </c>
      <c r="F9" s="44">
        <v>25.100369359999995</v>
      </c>
      <c r="G9" s="44">
        <v>26.831253300000007</v>
      </c>
      <c r="H9" s="44">
        <v>0</v>
      </c>
      <c r="I9" s="44">
        <v>0</v>
      </c>
    </row>
    <row r="10" spans="1:9" ht="15">
      <c r="A10" s="43" t="str">
        <f>HLOOKUP(INDICE!$F$2,Nombres!$C$3:$D$636,35,FALSE)</f>
        <v>Net trading income</v>
      </c>
      <c r="B10" s="44">
        <v>7.323841200000001</v>
      </c>
      <c r="C10" s="44">
        <v>21.407726229999998</v>
      </c>
      <c r="D10" s="44">
        <v>18.564150070000004</v>
      </c>
      <c r="E10" s="45">
        <v>23.17207716</v>
      </c>
      <c r="F10" s="44">
        <v>24.080761770000002</v>
      </c>
      <c r="G10" s="44">
        <v>27.28842504999998</v>
      </c>
      <c r="H10" s="44">
        <v>0</v>
      </c>
      <c r="I10" s="44">
        <v>0</v>
      </c>
    </row>
    <row r="11" spans="1:9" ht="15">
      <c r="A11" s="43" t="str">
        <f>HLOOKUP(INDICE!$F$2,Nombres!$C$3:$D$636,36,FALSE)</f>
        <v>Other operating income and expenses</v>
      </c>
      <c r="B11" s="44">
        <v>-4.484</v>
      </c>
      <c r="C11" s="44">
        <v>-9.119</v>
      </c>
      <c r="D11" s="44">
        <v>-9.748999999999999</v>
      </c>
      <c r="E11" s="45">
        <v>-8.159000000000017</v>
      </c>
      <c r="F11" s="44">
        <v>-3.629000000000004</v>
      </c>
      <c r="G11" s="44">
        <v>-4.538999999999997</v>
      </c>
      <c r="H11" s="44">
        <v>0</v>
      </c>
      <c r="I11" s="44">
        <v>0</v>
      </c>
    </row>
    <row r="12" spans="1:9" ht="15">
      <c r="A12" s="41" t="str">
        <f>HLOOKUP(INDICE!$F$2,Nombres!$C$3:$D$636,37,FALSE)</f>
        <v>Gross income</v>
      </c>
      <c r="B12" s="41">
        <f>+SUM(B8:B11)</f>
        <v>225.16441829</v>
      </c>
      <c r="C12" s="41">
        <f aca="true" t="shared" si="0" ref="C12:I12">+SUM(C8:C11)</f>
        <v>221.82596905000005</v>
      </c>
      <c r="D12" s="41">
        <f t="shared" si="0"/>
        <v>214.53512197000003</v>
      </c>
      <c r="E12" s="42">
        <f t="shared" si="0"/>
        <v>229.58247677000006</v>
      </c>
      <c r="F12" s="50">
        <f t="shared" si="0"/>
        <v>258.09913112999993</v>
      </c>
      <c r="G12" s="50">
        <f t="shared" si="0"/>
        <v>279.0396783500001</v>
      </c>
      <c r="H12" s="50">
        <f t="shared" si="0"/>
        <v>0</v>
      </c>
      <c r="I12" s="50">
        <f t="shared" si="0"/>
        <v>0</v>
      </c>
    </row>
    <row r="13" spans="1:9" ht="15">
      <c r="A13" s="43" t="str">
        <f>HLOOKUP(INDICE!$F$2,Nombres!$C$3:$D$636,38,FALSE)</f>
        <v>Operating expenses</v>
      </c>
      <c r="B13" s="44">
        <v>-82.39568934000002</v>
      </c>
      <c r="C13" s="44">
        <v>-79.25102936</v>
      </c>
      <c r="D13" s="44">
        <v>-82.50551233</v>
      </c>
      <c r="E13" s="45">
        <v>-85.82463134000001</v>
      </c>
      <c r="F13" s="44">
        <v>-88.63072147999999</v>
      </c>
      <c r="G13" s="44">
        <v>-98.69991742</v>
      </c>
      <c r="H13" s="44">
        <v>0</v>
      </c>
      <c r="I13" s="44">
        <v>0</v>
      </c>
    </row>
    <row r="14" spans="1:9" ht="15">
      <c r="A14" s="43" t="str">
        <f>HLOOKUP(INDICE!$F$2,Nombres!$C$3:$D$636,39,FALSE)</f>
        <v>  Administration expenses</v>
      </c>
      <c r="B14" s="44">
        <v>-75.29368934000001</v>
      </c>
      <c r="C14" s="44">
        <v>-72.44402936</v>
      </c>
      <c r="D14" s="44">
        <v>-75.91251233</v>
      </c>
      <c r="E14" s="45">
        <v>-79.05763134</v>
      </c>
      <c r="F14" s="44">
        <v>-81.40872148</v>
      </c>
      <c r="G14" s="44">
        <v>-91.13491742000002</v>
      </c>
      <c r="H14" s="44">
        <v>0</v>
      </c>
      <c r="I14" s="44">
        <v>0</v>
      </c>
    </row>
    <row r="15" spans="1:9" ht="15">
      <c r="A15" s="46" t="str">
        <f>HLOOKUP(INDICE!$F$2,Nombres!$C$3:$D$636,40,FALSE)</f>
        <v>  Personnel expenses</v>
      </c>
      <c r="B15" s="44">
        <v>-37.051</v>
      </c>
      <c r="C15" s="44">
        <v>-34.51000001</v>
      </c>
      <c r="D15" s="44">
        <v>-37.00099999</v>
      </c>
      <c r="E15" s="45">
        <v>-35.537</v>
      </c>
      <c r="F15" s="44">
        <v>-41.048</v>
      </c>
      <c r="G15" s="44">
        <v>-45.84</v>
      </c>
      <c r="H15" s="44">
        <v>0</v>
      </c>
      <c r="I15" s="44">
        <v>0</v>
      </c>
    </row>
    <row r="16" spans="1:9" ht="15">
      <c r="A16" s="46" t="str">
        <f>HLOOKUP(INDICE!$F$2,Nombres!$C$3:$D$636,41,FALSE)</f>
        <v>  General and administrative expenses</v>
      </c>
      <c r="B16" s="44">
        <v>-38.24268934</v>
      </c>
      <c r="C16" s="44">
        <v>-37.93402935</v>
      </c>
      <c r="D16" s="44">
        <v>-38.91151234</v>
      </c>
      <c r="E16" s="45">
        <v>-43.52063134000001</v>
      </c>
      <c r="F16" s="44">
        <v>-40.36072148</v>
      </c>
      <c r="G16" s="44">
        <v>-45.294917420000004</v>
      </c>
      <c r="H16" s="44">
        <v>0</v>
      </c>
      <c r="I16" s="44">
        <v>0</v>
      </c>
    </row>
    <row r="17" spans="1:9" ht="15">
      <c r="A17" s="43" t="str">
        <f>HLOOKUP(INDICE!$F$2,Nombres!$C$3:$D$636,42,FALSE)</f>
        <v>  Depreciation</v>
      </c>
      <c r="B17" s="44">
        <v>-7.102</v>
      </c>
      <c r="C17" s="44">
        <v>-6.807</v>
      </c>
      <c r="D17" s="44">
        <v>-6.593</v>
      </c>
      <c r="E17" s="45">
        <v>-6.767</v>
      </c>
      <c r="F17" s="44">
        <v>-7.2219999999999995</v>
      </c>
      <c r="G17" s="44">
        <v>-7.565</v>
      </c>
      <c r="H17" s="44">
        <v>0</v>
      </c>
      <c r="I17" s="44">
        <v>0</v>
      </c>
    </row>
    <row r="18" spans="1:9" ht="15">
      <c r="A18" s="41" t="str">
        <f>HLOOKUP(INDICE!$F$2,Nombres!$C$3:$D$636,43,FALSE)</f>
        <v>Operating income</v>
      </c>
      <c r="B18" s="41">
        <f>+B12+B13</f>
        <v>142.76872894999997</v>
      </c>
      <c r="C18" s="41">
        <f aca="true" t="shared" si="1" ref="C18:I18">+C12+C13</f>
        <v>142.57493969000006</v>
      </c>
      <c r="D18" s="41">
        <f t="shared" si="1"/>
        <v>132.02960964000005</v>
      </c>
      <c r="E18" s="42">
        <f t="shared" si="1"/>
        <v>143.75784543000003</v>
      </c>
      <c r="F18" s="50">
        <f t="shared" si="1"/>
        <v>169.46840964999996</v>
      </c>
      <c r="G18" s="50">
        <f t="shared" si="1"/>
        <v>180.33976093000007</v>
      </c>
      <c r="H18" s="50">
        <f t="shared" si="1"/>
        <v>0</v>
      </c>
      <c r="I18" s="50">
        <f t="shared" si="1"/>
        <v>0</v>
      </c>
    </row>
    <row r="19" spans="1:9" ht="15">
      <c r="A19" s="43" t="str">
        <f>HLOOKUP(INDICE!$F$2,Nombres!$C$3:$D$636,44,FALSE)</f>
        <v>Impaiment on financial assets not measured at fair value through profit or loss</v>
      </c>
      <c r="B19" s="44">
        <v>-68.209</v>
      </c>
      <c r="C19" s="44">
        <v>-66.84700000000001</v>
      </c>
      <c r="D19" s="44">
        <v>-49.621</v>
      </c>
      <c r="E19" s="45">
        <v>-41.258999999999986</v>
      </c>
      <c r="F19" s="44">
        <v>-55.44199999999999</v>
      </c>
      <c r="G19" s="44">
        <v>-54.81700000000001</v>
      </c>
      <c r="H19" s="44">
        <v>0</v>
      </c>
      <c r="I19" s="44">
        <v>0</v>
      </c>
    </row>
    <row r="20" spans="1:9" ht="15">
      <c r="A20" s="43" t="str">
        <f>HLOOKUP(INDICE!$F$2,Nombres!$C$3:$D$636,45,FALSE)</f>
        <v>Provisions or reversal of provisions and other results</v>
      </c>
      <c r="B20" s="44">
        <v>-7.4769999999999985</v>
      </c>
      <c r="C20" s="44">
        <v>3.812</v>
      </c>
      <c r="D20" s="44">
        <v>2.474</v>
      </c>
      <c r="E20" s="45">
        <v>-3.8530000000000006</v>
      </c>
      <c r="F20" s="44">
        <v>-1.6279999999999997</v>
      </c>
      <c r="G20" s="44">
        <v>-3.370000000000001</v>
      </c>
      <c r="H20" s="44">
        <v>0</v>
      </c>
      <c r="I20" s="44">
        <v>0</v>
      </c>
    </row>
    <row r="21" spans="1:9" ht="15">
      <c r="A21" s="41" t="str">
        <f>HLOOKUP(INDICE!$F$2,Nombres!$C$3:$D$636,46,FALSE)</f>
        <v>Profit/(loss) before tax</v>
      </c>
      <c r="B21" s="41">
        <f>+B18+B19+B20</f>
        <v>67.08272894999996</v>
      </c>
      <c r="C21" s="41">
        <f aca="true" t="shared" si="2" ref="C21:I21">+C18+C19+C20</f>
        <v>79.53993969000005</v>
      </c>
      <c r="D21" s="41">
        <f t="shared" si="2"/>
        <v>84.88260964000004</v>
      </c>
      <c r="E21" s="42">
        <f t="shared" si="2"/>
        <v>98.64584543000005</v>
      </c>
      <c r="F21" s="50">
        <f t="shared" si="2"/>
        <v>112.39840964999996</v>
      </c>
      <c r="G21" s="50">
        <f t="shared" si="2"/>
        <v>122.15276093000006</v>
      </c>
      <c r="H21" s="50">
        <f t="shared" si="2"/>
        <v>0</v>
      </c>
      <c r="I21" s="50">
        <f t="shared" si="2"/>
        <v>0</v>
      </c>
    </row>
    <row r="22" spans="1:9" ht="15">
      <c r="A22" s="43" t="str">
        <f>HLOOKUP(INDICE!$F$2,Nombres!$C$3:$D$636,47,FALSE)</f>
        <v>Income tax</v>
      </c>
      <c r="B22" s="44">
        <v>-18.26494178</v>
      </c>
      <c r="C22" s="44">
        <v>-20.94797282</v>
      </c>
      <c r="D22" s="44">
        <v>-30.519016289999996</v>
      </c>
      <c r="E22" s="45">
        <v>-28.29888186000001</v>
      </c>
      <c r="F22" s="44">
        <v>-40.56970269</v>
      </c>
      <c r="G22" s="44">
        <v>-40.13303441</v>
      </c>
      <c r="H22" s="44">
        <v>0</v>
      </c>
      <c r="I22" s="44">
        <v>0</v>
      </c>
    </row>
    <row r="23" spans="1:9" ht="15">
      <c r="A23" s="41" t="str">
        <f>HLOOKUP(INDICE!$F$2,Nombres!$C$3:$D$636,48,FALSE)</f>
        <v>Profit/(loss) for the year</v>
      </c>
      <c r="B23" s="41">
        <f>+B21+B22</f>
        <v>48.81778716999996</v>
      </c>
      <c r="C23" s="41">
        <f aca="true" t="shared" si="3" ref="C23:I23">+C21+C22</f>
        <v>58.59196687000005</v>
      </c>
      <c r="D23" s="41">
        <f t="shared" si="3"/>
        <v>54.363593350000045</v>
      </c>
      <c r="E23" s="42">
        <f t="shared" si="3"/>
        <v>70.34696357000004</v>
      </c>
      <c r="F23" s="50">
        <f t="shared" si="3"/>
        <v>71.82870695999996</v>
      </c>
      <c r="G23" s="50">
        <f t="shared" si="3"/>
        <v>82.01972652000006</v>
      </c>
      <c r="H23" s="50">
        <f t="shared" si="3"/>
        <v>0</v>
      </c>
      <c r="I23" s="50">
        <f t="shared" si="3"/>
        <v>0</v>
      </c>
    </row>
    <row r="24" spans="1:9" ht="15">
      <c r="A24" s="43" t="str">
        <f>HLOOKUP(INDICE!$F$2,Nombres!$C$3:$D$636,49,FALSE)</f>
        <v>Non-controlling interests</v>
      </c>
      <c r="B24" s="44">
        <v>-1.9025127199999998</v>
      </c>
      <c r="C24" s="44">
        <v>-2.2688781899999997</v>
      </c>
      <c r="D24" s="44">
        <v>-2.0351615499999998</v>
      </c>
      <c r="E24" s="45">
        <v>-2.7948472599999996</v>
      </c>
      <c r="F24" s="44">
        <v>-2.6336704399999995</v>
      </c>
      <c r="G24" s="44">
        <v>-2.46849901</v>
      </c>
      <c r="H24" s="44">
        <v>0</v>
      </c>
      <c r="I24" s="44">
        <v>0</v>
      </c>
    </row>
    <row r="25" spans="1:9" ht="15">
      <c r="A25" s="47" t="str">
        <f>HLOOKUP(INDICE!$F$2,Nombres!$C$3:$D$636,50,FALSE)</f>
        <v>Net attributable profit</v>
      </c>
      <c r="B25" s="47">
        <f>+B23+B24</f>
        <v>46.91527444999996</v>
      </c>
      <c r="C25" s="47">
        <f aca="true" t="shared" si="4" ref="C25:I25">+C23+C24</f>
        <v>56.32308868000005</v>
      </c>
      <c r="D25" s="47">
        <f t="shared" si="4"/>
        <v>52.32843180000005</v>
      </c>
      <c r="E25" s="47">
        <f t="shared" si="4"/>
        <v>67.55211631000005</v>
      </c>
      <c r="F25" s="51">
        <f t="shared" si="4"/>
        <v>69.19503651999996</v>
      </c>
      <c r="G25" s="51">
        <f t="shared" si="4"/>
        <v>79.55122751000006</v>
      </c>
      <c r="H25" s="51">
        <f t="shared" si="4"/>
        <v>0</v>
      </c>
      <c r="I25" s="51">
        <f t="shared" si="4"/>
        <v>0</v>
      </c>
    </row>
    <row r="26" spans="1:9" ht="15">
      <c r="A26" s="62"/>
      <c r="B26" s="63">
        <v>0</v>
      </c>
      <c r="C26" s="63">
        <v>0</v>
      </c>
      <c r="D26" s="63">
        <v>5.684341886080802E-14</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850.8539999999999</v>
      </c>
      <c r="C31" s="44">
        <v>1637.203</v>
      </c>
      <c r="D31" s="44">
        <v>1604.7279999999998</v>
      </c>
      <c r="E31" s="45">
        <v>2291.037</v>
      </c>
      <c r="F31" s="44">
        <v>1954.2510000000002</v>
      </c>
      <c r="G31" s="44">
        <v>2289.665</v>
      </c>
      <c r="H31" s="44">
        <v>0</v>
      </c>
      <c r="I31" s="44">
        <v>0</v>
      </c>
    </row>
    <row r="32" spans="1:9" ht="15">
      <c r="A32" s="43" t="str">
        <f>HLOOKUP(INDICE!$F$2,Nombres!$C$3:$D$636,53,FALSE)</f>
        <v>Financial assets designated at fair value </v>
      </c>
      <c r="B32" s="58">
        <v>2339.992</v>
      </c>
      <c r="C32" s="58">
        <v>1797.245</v>
      </c>
      <c r="D32" s="58">
        <v>1874.4669999999996</v>
      </c>
      <c r="E32" s="64">
        <v>2070.1910000000007</v>
      </c>
      <c r="F32" s="44">
        <v>2833.606</v>
      </c>
      <c r="G32" s="44">
        <v>3459.0099999999998</v>
      </c>
      <c r="H32" s="44">
        <v>0</v>
      </c>
      <c r="I32" s="44">
        <v>0</v>
      </c>
    </row>
    <row r="33" spans="1:9" ht="15">
      <c r="A33" s="43" t="str">
        <f>HLOOKUP(INDICE!$F$2,Nombres!$C$3:$D$636,54,FALSE)</f>
        <v>Financial assets at amortized cost</v>
      </c>
      <c r="B33" s="44">
        <v>12129.947000000002</v>
      </c>
      <c r="C33" s="44">
        <v>12130.293</v>
      </c>
      <c r="D33" s="44">
        <v>12569.425</v>
      </c>
      <c r="E33" s="45">
        <v>13134.494000000002</v>
      </c>
      <c r="F33" s="44">
        <v>14983.569999999998</v>
      </c>
      <c r="G33" s="44">
        <v>15759.891999999998</v>
      </c>
      <c r="H33" s="44">
        <v>0</v>
      </c>
      <c r="I33" s="44">
        <v>0</v>
      </c>
    </row>
    <row r="34" spans="1:9" ht="15">
      <c r="A34" s="43" t="str">
        <f>HLOOKUP(INDICE!$F$2,Nombres!$C$3:$D$636,55,FALSE)</f>
        <v>    of which loans and advances to customers</v>
      </c>
      <c r="B34" s="44">
        <v>11305.914999999997</v>
      </c>
      <c r="C34" s="44">
        <v>11350.898000000003</v>
      </c>
      <c r="D34" s="44">
        <v>11754.867000000002</v>
      </c>
      <c r="E34" s="45">
        <v>12328.554999999998</v>
      </c>
      <c r="F34" s="44">
        <v>14033.595</v>
      </c>
      <c r="G34" s="44">
        <v>14554.254</v>
      </c>
      <c r="H34" s="44">
        <v>0</v>
      </c>
      <c r="I34" s="44">
        <v>0</v>
      </c>
    </row>
    <row r="35" spans="1:9" ht="15" hidden="1">
      <c r="A35" s="43"/>
      <c r="B35" s="44"/>
      <c r="C35" s="44"/>
      <c r="D35" s="44"/>
      <c r="E35" s="45"/>
      <c r="F35" s="44"/>
      <c r="G35" s="44"/>
      <c r="H35" s="44"/>
      <c r="I35" s="44"/>
    </row>
    <row r="36" spans="1:9" ht="15">
      <c r="A36" s="43" t="str">
        <f>HLOOKUP(INDICE!$F$2,Nombres!$C$3:$D$636,56,FALSE)</f>
        <v>Tangible assets</v>
      </c>
      <c r="B36" s="44">
        <v>106.25500000000001</v>
      </c>
      <c r="C36" s="44">
        <v>101.18100000000003</v>
      </c>
      <c r="D36" s="44">
        <v>100.869</v>
      </c>
      <c r="E36" s="45">
        <v>99.553</v>
      </c>
      <c r="F36" s="44">
        <v>105.84</v>
      </c>
      <c r="G36" s="44">
        <v>101.583</v>
      </c>
      <c r="H36" s="44">
        <v>0</v>
      </c>
      <c r="I36" s="44">
        <v>0</v>
      </c>
    </row>
    <row r="37" spans="1:9" ht="15">
      <c r="A37" s="43" t="str">
        <f>HLOOKUP(INDICE!$F$2,Nombres!$C$3:$D$636,57,FALSE)</f>
        <v>Other assets</v>
      </c>
      <c r="B37" s="58">
        <f>+B38-B36-B33-B32-B31</f>
        <v>665.5359999999995</v>
      </c>
      <c r="C37" s="58">
        <f aca="true" t="shared" si="5" ref="C37:I37">+C38-C36-C33-C32-C31</f>
        <v>725.4700020199984</v>
      </c>
      <c r="D37" s="58">
        <f t="shared" si="5"/>
        <v>716.0520000000035</v>
      </c>
      <c r="E37" s="64">
        <f t="shared" si="5"/>
        <v>614.4509999999959</v>
      </c>
      <c r="F37" s="44">
        <f t="shared" si="5"/>
        <v>638.2563698599965</v>
      </c>
      <c r="G37" s="44">
        <f t="shared" si="5"/>
        <v>686.4183542299957</v>
      </c>
      <c r="H37" s="44">
        <f t="shared" si="5"/>
        <v>0</v>
      </c>
      <c r="I37" s="44">
        <f t="shared" si="5"/>
        <v>0</v>
      </c>
    </row>
    <row r="38" spans="1:9" ht="15">
      <c r="A38" s="47" t="str">
        <f>HLOOKUP(INDICE!$F$2,Nombres!$C$3:$D$636,58,FALSE)</f>
        <v>Total assets / Liabilities and equity</v>
      </c>
      <c r="B38" s="47">
        <v>16092.584</v>
      </c>
      <c r="C38" s="47">
        <v>16391.39200202</v>
      </c>
      <c r="D38" s="47">
        <v>16865.541</v>
      </c>
      <c r="E38" s="47">
        <v>18209.726</v>
      </c>
      <c r="F38" s="51">
        <v>20515.523369859995</v>
      </c>
      <c r="G38" s="51">
        <v>22296.568354229992</v>
      </c>
      <c r="H38" s="51">
        <v>0</v>
      </c>
      <c r="I38" s="51">
        <v>0</v>
      </c>
    </row>
    <row r="39" spans="1:9" ht="15">
      <c r="A39" s="43" t="str">
        <f>HLOOKUP(INDICE!$F$2,Nombres!$C$3:$D$636,59,FALSE)</f>
        <v>Financial liabilities held for trading and designated at fair value through profit or loss</v>
      </c>
      <c r="B39" s="58">
        <v>953.83</v>
      </c>
      <c r="C39" s="58">
        <v>801.3800000000001</v>
      </c>
      <c r="D39" s="58">
        <v>1070.816</v>
      </c>
      <c r="E39" s="64">
        <v>1526.2820000000002</v>
      </c>
      <c r="F39" s="44">
        <v>2159.98</v>
      </c>
      <c r="G39" s="44">
        <v>2693.205</v>
      </c>
      <c r="H39" s="44">
        <v>0</v>
      </c>
      <c r="I39" s="44">
        <v>0</v>
      </c>
    </row>
    <row r="40" spans="1:9" ht="15.75" customHeight="1">
      <c r="A40" s="43" t="str">
        <f>HLOOKUP(INDICE!$F$2,Nombres!$C$3:$D$636,60,FALSE)</f>
        <v>Deposits from central banks and credit institutions</v>
      </c>
      <c r="B40" s="58">
        <v>395.64700000999994</v>
      </c>
      <c r="C40" s="58">
        <v>439.034</v>
      </c>
      <c r="D40" s="58">
        <v>509.10799998999994</v>
      </c>
      <c r="E40" s="64">
        <v>707.2239999999999</v>
      </c>
      <c r="F40" s="44">
        <v>1515.10800001</v>
      </c>
      <c r="G40" s="44">
        <v>866.4019999899999</v>
      </c>
      <c r="H40" s="44">
        <v>0</v>
      </c>
      <c r="I40" s="44">
        <v>0</v>
      </c>
    </row>
    <row r="41" spans="1:9" ht="15">
      <c r="A41" s="43" t="str">
        <f>HLOOKUP(INDICE!$F$2,Nombres!$C$3:$D$636,61,FALSE)</f>
        <v>Deposits from customers</v>
      </c>
      <c r="B41" s="58">
        <v>11750.15199999</v>
      </c>
      <c r="C41" s="58">
        <v>12172.918</v>
      </c>
      <c r="D41" s="58">
        <v>12192.843000009998</v>
      </c>
      <c r="E41" s="64">
        <v>12808.773000000001</v>
      </c>
      <c r="F41" s="44">
        <v>13447.496999990002</v>
      </c>
      <c r="G41" s="44">
        <v>15291.701000009998</v>
      </c>
      <c r="H41" s="44">
        <v>0</v>
      </c>
      <c r="I41" s="44">
        <v>0</v>
      </c>
    </row>
    <row r="42" spans="1:9" ht="15">
      <c r="A42" s="43" t="str">
        <f>HLOOKUP(INDICE!$F$2,Nombres!$C$3:$D$636,62,FALSE)</f>
        <v>Debt certificates</v>
      </c>
      <c r="B42" s="44">
        <v>786.25855903</v>
      </c>
      <c r="C42" s="44">
        <v>781.3103575099999</v>
      </c>
      <c r="D42" s="44">
        <v>812.9652056699999</v>
      </c>
      <c r="E42" s="45">
        <v>825.57491559</v>
      </c>
      <c r="F42" s="44">
        <v>878.09216156</v>
      </c>
      <c r="G42" s="44">
        <v>926.68810403</v>
      </c>
      <c r="H42" s="44">
        <v>0</v>
      </c>
      <c r="I42" s="44">
        <v>0</v>
      </c>
    </row>
    <row r="43" spans="1:9" ht="15" hidden="1">
      <c r="A43" s="43"/>
      <c r="B43" s="44"/>
      <c r="C43" s="44"/>
      <c r="D43" s="44"/>
      <c r="E43" s="45"/>
      <c r="F43" s="44"/>
      <c r="G43" s="44"/>
      <c r="H43" s="44"/>
      <c r="I43" s="44"/>
    </row>
    <row r="44" spans="1:9" ht="15">
      <c r="A44" s="43" t="str">
        <f>HLOOKUP(INDICE!$F$2,Nombres!$C$3:$D$636,63,FALSE)</f>
        <v>Other liabilities</v>
      </c>
      <c r="B44" s="58">
        <f>+B38-B39-B40-B41-B42-B45</f>
        <v>725.877412850002</v>
      </c>
      <c r="C44" s="58">
        <f aca="true" t="shared" si="6" ref="C44:I44">+C38-C39-C40-C41-C42-C45</f>
        <v>740.6406283899983</v>
      </c>
      <c r="D44" s="58">
        <f t="shared" si="6"/>
        <v>768.2748206700035</v>
      </c>
      <c r="E44" s="64">
        <f t="shared" si="6"/>
        <v>732.391322399998</v>
      </c>
      <c r="F44" s="44">
        <f t="shared" si="6"/>
        <v>691.0029178499922</v>
      </c>
      <c r="G44" s="44">
        <f t="shared" si="6"/>
        <v>507.77871122999454</v>
      </c>
      <c r="H44" s="44">
        <f t="shared" si="6"/>
        <v>0</v>
      </c>
      <c r="I44" s="44">
        <f t="shared" si="6"/>
        <v>0</v>
      </c>
    </row>
    <row r="45" spans="1:9" ht="15">
      <c r="A45" s="43" t="str">
        <f>HLOOKUP(INDICE!$F$2,Nombres!$C$3:$D$636,282,FALSE)</f>
        <v>Regulatory capital allocated</v>
      </c>
      <c r="B45" s="58">
        <v>1480.8190281199998</v>
      </c>
      <c r="C45" s="58">
        <v>1456.10901612</v>
      </c>
      <c r="D45" s="58">
        <v>1511.53397366</v>
      </c>
      <c r="E45" s="64">
        <v>1609.48076201</v>
      </c>
      <c r="F45" s="44">
        <v>1823.84329045</v>
      </c>
      <c r="G45" s="44">
        <v>2010.7935389700003</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Relevant business indicators</v>
      </c>
      <c r="B48" s="34"/>
      <c r="C48" s="34"/>
      <c r="D48" s="34"/>
      <c r="E48" s="34"/>
      <c r="F48" s="68"/>
      <c r="G48" s="68"/>
      <c r="H48" s="68"/>
      <c r="I48" s="68"/>
    </row>
    <row r="49" spans="1:9" ht="15">
      <c r="A49" s="35"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Loans and advances to customers (gross) (*)</v>
      </c>
      <c r="B51" s="44">
        <v>12036.97017208</v>
      </c>
      <c r="C51" s="44">
        <v>12081.27330734</v>
      </c>
      <c r="D51" s="44">
        <v>12486.544080319998</v>
      </c>
      <c r="E51" s="45">
        <v>13032.426773160003</v>
      </c>
      <c r="F51" s="44">
        <v>14795.368867159998</v>
      </c>
      <c r="G51" s="44">
        <v>15289.196495580001</v>
      </c>
      <c r="H51" s="44">
        <v>0</v>
      </c>
      <c r="I51" s="44">
        <v>0</v>
      </c>
    </row>
    <row r="52" spans="1:9" ht="15">
      <c r="A52" s="43" t="str">
        <f>HLOOKUP(INDICE!$F$2,Nombres!$C$3:$D$636,67,FALSE)</f>
        <v>Customer deposits under management (*)</v>
      </c>
      <c r="B52" s="44">
        <v>11749.840563439999</v>
      </c>
      <c r="C52" s="44">
        <v>12156.89869217</v>
      </c>
      <c r="D52" s="44">
        <v>12170.919346829998</v>
      </c>
      <c r="E52" s="45">
        <v>12813.57684951</v>
      </c>
      <c r="F52" s="44">
        <v>13454.03386858</v>
      </c>
      <c r="G52" s="44">
        <v>15291.150695029997</v>
      </c>
      <c r="H52" s="44">
        <v>0</v>
      </c>
      <c r="I52" s="44">
        <v>0</v>
      </c>
    </row>
    <row r="53" spans="1:9" ht="15">
      <c r="A53" s="43" t="str">
        <f>HLOOKUP(INDICE!$F$2,Nombres!$C$3:$D$636,68,FALSE)</f>
        <v>Investment funds and managed portfolios</v>
      </c>
      <c r="B53" s="44">
        <v>1418.3319806199997</v>
      </c>
      <c r="C53" s="44">
        <v>1290.78533827</v>
      </c>
      <c r="D53" s="44">
        <v>1362.3609899599999</v>
      </c>
      <c r="E53" s="45">
        <v>2375.4923008099995</v>
      </c>
      <c r="F53" s="44">
        <v>2572.59723743</v>
      </c>
      <c r="G53" s="44">
        <v>2309.0974927700004</v>
      </c>
      <c r="H53" s="44">
        <v>0</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0</v>
      </c>
      <c r="C55" s="44">
        <v>0</v>
      </c>
      <c r="D55" s="44">
        <v>0</v>
      </c>
      <c r="E55" s="45">
        <v>0</v>
      </c>
      <c r="F55" s="44">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201.02849111127057</v>
      </c>
      <c r="C64" s="41">
        <v>195.5186268229806</v>
      </c>
      <c r="D64" s="41">
        <v>197.40296733595642</v>
      </c>
      <c r="E64" s="42">
        <v>201.77861400963752</v>
      </c>
      <c r="F64" s="50">
        <v>217.91778571232308</v>
      </c>
      <c r="G64" s="50">
        <v>224.08821428767692</v>
      </c>
      <c r="H64" s="50">
        <v>0</v>
      </c>
      <c r="I64" s="50">
        <v>0</v>
      </c>
    </row>
    <row r="65" spans="1:9" ht="15">
      <c r="A65" s="43" t="str">
        <f>HLOOKUP(INDICE!$F$2,Nombres!$C$3:$D$636,34,FALSE)</f>
        <v>Net fees and commissions</v>
      </c>
      <c r="B65" s="44">
        <v>21.458213866547524</v>
      </c>
      <c r="C65" s="44">
        <v>22.650917234026217</v>
      </c>
      <c r="D65" s="44">
        <v>20.877795418446873</v>
      </c>
      <c r="E65" s="45">
        <v>20.558194193787177</v>
      </c>
      <c r="F65" s="44">
        <v>25.734622984528784</v>
      </c>
      <c r="G65" s="44">
        <v>26.19699967547121</v>
      </c>
      <c r="H65" s="44">
        <v>0</v>
      </c>
      <c r="I65" s="44">
        <v>0</v>
      </c>
    </row>
    <row r="66" spans="1:9" ht="15">
      <c r="A66" s="43" t="str">
        <f>HLOOKUP(INDICE!$F$2,Nombres!$C$3:$D$636,35,FALSE)</f>
        <v>Net trading income</v>
      </c>
      <c r="B66" s="44">
        <v>7.329182035098006</v>
      </c>
      <c r="C66" s="44">
        <v>21.987474703007358</v>
      </c>
      <c r="D66" s="44">
        <v>19.56318763669241</v>
      </c>
      <c r="E66" s="45">
        <v>23.996217070345608</v>
      </c>
      <c r="F66" s="44">
        <v>24.689251239417</v>
      </c>
      <c r="G66" s="44">
        <v>26.679935580582978</v>
      </c>
      <c r="H66" s="44">
        <v>0</v>
      </c>
      <c r="I66" s="44">
        <v>0</v>
      </c>
    </row>
    <row r="67" spans="1:9" ht="15">
      <c r="A67" s="43" t="str">
        <f>HLOOKUP(INDICE!$F$2,Nombres!$C$3:$D$636,36,FALSE)</f>
        <v>Other operating income and expenses</v>
      </c>
      <c r="B67" s="44">
        <v>-4.487269910409781</v>
      </c>
      <c r="C67" s="44">
        <v>-9.392741424859281</v>
      </c>
      <c r="D67" s="44">
        <v>-10.254142583429338</v>
      </c>
      <c r="E67" s="45">
        <v>-8.453747877828661</v>
      </c>
      <c r="F67" s="44">
        <v>-3.720700100918957</v>
      </c>
      <c r="G67" s="44">
        <v>-4.447299899081047</v>
      </c>
      <c r="H67" s="44">
        <v>0</v>
      </c>
      <c r="I67" s="44">
        <v>0</v>
      </c>
    </row>
    <row r="68" spans="1:9" ht="15">
      <c r="A68" s="41" t="str">
        <f>HLOOKUP(INDICE!$F$2,Nombres!$C$3:$D$636,37,FALSE)</f>
        <v>Gross income</v>
      </c>
      <c r="B68" s="41">
        <f>+SUM(B64:B67)</f>
        <v>225.32861710250629</v>
      </c>
      <c r="C68" s="41">
        <f aca="true" t="shared" si="9" ref="C68:I68">+SUM(C64:C67)</f>
        <v>230.7642773351549</v>
      </c>
      <c r="D68" s="41">
        <f t="shared" si="9"/>
        <v>227.58980780766638</v>
      </c>
      <c r="E68" s="42">
        <f t="shared" si="9"/>
        <v>237.87927739594164</v>
      </c>
      <c r="F68" s="50">
        <f t="shared" si="9"/>
        <v>264.6209598353499</v>
      </c>
      <c r="G68" s="50">
        <f t="shared" si="9"/>
        <v>272.5178496446501</v>
      </c>
      <c r="H68" s="50">
        <f t="shared" si="9"/>
        <v>0</v>
      </c>
      <c r="I68" s="50">
        <f t="shared" si="9"/>
        <v>0</v>
      </c>
    </row>
    <row r="69" spans="1:9" ht="15">
      <c r="A69" s="43" t="str">
        <f>HLOOKUP(INDICE!$F$2,Nombres!$C$3:$D$636,38,FALSE)</f>
        <v>Operating expenses</v>
      </c>
      <c r="B69" s="44">
        <v>-82.45577554033315</v>
      </c>
      <c r="C69" s="44">
        <v>-82.48271507681369</v>
      </c>
      <c r="D69" s="44">
        <v>-87.39139647053864</v>
      </c>
      <c r="E69" s="45">
        <v>-88.9240745777546</v>
      </c>
      <c r="F69" s="44">
        <v>-90.87030431390343</v>
      </c>
      <c r="G69" s="44">
        <v>-96.46033458609658</v>
      </c>
      <c r="H69" s="44">
        <v>0</v>
      </c>
      <c r="I69" s="44">
        <v>0</v>
      </c>
    </row>
    <row r="70" spans="1:9" ht="15">
      <c r="A70" s="43" t="str">
        <f>HLOOKUP(INDICE!$F$2,Nombres!$C$3:$D$636,39,FALSE)</f>
        <v>  Administration expenses</v>
      </c>
      <c r="B70" s="44">
        <v>-75.34859648062525</v>
      </c>
      <c r="C70" s="44">
        <v>-75.3976514207782</v>
      </c>
      <c r="D70" s="44">
        <v>-80.39494341542067</v>
      </c>
      <c r="E70" s="45">
        <v>-81.91184070215928</v>
      </c>
      <c r="F70" s="44">
        <v>-83.46581378515263</v>
      </c>
      <c r="G70" s="44">
        <v>-89.07782511484737</v>
      </c>
      <c r="H70" s="44">
        <v>0</v>
      </c>
      <c r="I70" s="44">
        <v>0</v>
      </c>
    </row>
    <row r="71" spans="1:9" ht="15">
      <c r="A71" s="46" t="str">
        <f>HLOOKUP(INDICE!$F$2,Nombres!$C$3:$D$636,40,FALSE)</f>
        <v>  Personnel expenses</v>
      </c>
      <c r="B71" s="44">
        <v>-37.07801905677805</v>
      </c>
      <c r="C71" s="44">
        <v>-35.94024833291459</v>
      </c>
      <c r="D71" s="44">
        <v>-39.17991767889829</v>
      </c>
      <c r="E71" s="45">
        <v>-36.825459404061505</v>
      </c>
      <c r="F71" s="44">
        <v>-42.085229468867766</v>
      </c>
      <c r="G71" s="44">
        <v>-44.80277053113223</v>
      </c>
      <c r="H71" s="44">
        <v>0</v>
      </c>
      <c r="I71" s="44">
        <v>0</v>
      </c>
    </row>
    <row r="72" spans="1:9" ht="15">
      <c r="A72" s="46" t="str">
        <f>HLOOKUP(INDICE!$F$2,Nombres!$C$3:$D$636,41,FALSE)</f>
        <v>  General and administrative expenses</v>
      </c>
      <c r="B72" s="44">
        <v>-38.2705774238472</v>
      </c>
      <c r="C72" s="44">
        <v>-39.45740308786361</v>
      </c>
      <c r="D72" s="44">
        <v>-41.21502573652237</v>
      </c>
      <c r="E72" s="45">
        <v>-45.086381298097784</v>
      </c>
      <c r="F72" s="44">
        <v>-41.38058431628485</v>
      </c>
      <c r="G72" s="44">
        <v>-44.275054583715146</v>
      </c>
      <c r="H72" s="44">
        <v>0</v>
      </c>
      <c r="I72" s="44">
        <v>0</v>
      </c>
    </row>
    <row r="73" spans="1:9" ht="15">
      <c r="A73" s="43" t="str">
        <f>HLOOKUP(INDICE!$F$2,Nombres!$C$3:$D$636,42,FALSE)</f>
        <v>  Depreciation</v>
      </c>
      <c r="B73" s="44">
        <v>-7.107179059707908</v>
      </c>
      <c r="C73" s="44">
        <v>-7.08506365603548</v>
      </c>
      <c r="D73" s="44">
        <v>-6.996453055117977</v>
      </c>
      <c r="E73" s="45">
        <v>-7.012233875595305</v>
      </c>
      <c r="F73" s="44">
        <v>-7.404490528750804</v>
      </c>
      <c r="G73" s="44">
        <v>-7.382509471249197</v>
      </c>
      <c r="H73" s="44">
        <v>0</v>
      </c>
      <c r="I73" s="44">
        <v>0</v>
      </c>
    </row>
    <row r="74" spans="1:9" ht="15">
      <c r="A74" s="41" t="str">
        <f>HLOOKUP(INDICE!$F$2,Nombres!$C$3:$D$636,43,FALSE)</f>
        <v>Operating income</v>
      </c>
      <c r="B74" s="41">
        <f>+B68+B69</f>
        <v>142.87284156217314</v>
      </c>
      <c r="C74" s="41">
        <f aca="true" t="shared" si="10" ref="C74:I74">+C68+C69</f>
        <v>148.2815622583412</v>
      </c>
      <c r="D74" s="41">
        <f t="shared" si="10"/>
        <v>140.19841133712774</v>
      </c>
      <c r="E74" s="42">
        <f t="shared" si="10"/>
        <v>148.95520281818705</v>
      </c>
      <c r="F74" s="50">
        <f t="shared" si="10"/>
        <v>173.75065552144645</v>
      </c>
      <c r="G74" s="50">
        <f t="shared" si="10"/>
        <v>176.05751505855352</v>
      </c>
      <c r="H74" s="50">
        <f t="shared" si="10"/>
        <v>0</v>
      </c>
      <c r="I74" s="50">
        <f t="shared" si="10"/>
        <v>0</v>
      </c>
    </row>
    <row r="75" spans="1:9" ht="15">
      <c r="A75" s="43" t="str">
        <f>HLOOKUP(INDICE!$F$2,Nombres!$C$3:$D$636,44,FALSE)</f>
        <v>Impaiment on financial assets not measured at fair value through profit or loss</v>
      </c>
      <c r="B75" s="44">
        <v>-68.25874070453628</v>
      </c>
      <c r="C75" s="44">
        <v>-69.54753812337648</v>
      </c>
      <c r="D75" s="44">
        <v>-53.056308669666166</v>
      </c>
      <c r="E75" s="45">
        <v>-42.79487117717384</v>
      </c>
      <c r="F75" s="44">
        <v>-56.84294709152619</v>
      </c>
      <c r="G75" s="44">
        <v>-53.416052908473816</v>
      </c>
      <c r="H75" s="44">
        <v>0</v>
      </c>
      <c r="I75" s="44">
        <v>0</v>
      </c>
    </row>
    <row r="76" spans="1:9" ht="15">
      <c r="A76" s="43" t="str">
        <f>HLOOKUP(INDICE!$F$2,Nombres!$C$3:$D$636,45,FALSE)</f>
        <v>Provisions or reversal of provisions and other results</v>
      </c>
      <c r="B76" s="44">
        <v>-7.482452524561533</v>
      </c>
      <c r="C76" s="44">
        <v>3.7428185067889044</v>
      </c>
      <c r="D76" s="44">
        <v>2.5087425602028373</v>
      </c>
      <c r="E76" s="45">
        <v>-3.985489382825067</v>
      </c>
      <c r="F76" s="44">
        <v>-1.6691374384943654</v>
      </c>
      <c r="G76" s="44">
        <v>-3.328862561505636</v>
      </c>
      <c r="H76" s="44">
        <v>0</v>
      </c>
      <c r="I76" s="44">
        <v>0</v>
      </c>
    </row>
    <row r="77" spans="1:9" ht="15">
      <c r="A77" s="41" t="str">
        <f>HLOOKUP(INDICE!$F$2,Nombres!$C$3:$D$636,46,FALSE)</f>
        <v>Profit/(loss) before tax</v>
      </c>
      <c r="B77" s="41">
        <f>+B74+B75+B76</f>
        <v>67.13164833307532</v>
      </c>
      <c r="C77" s="41">
        <f aca="true" t="shared" si="11" ref="C77:I77">+C74+C75+C76</f>
        <v>82.47684264175363</v>
      </c>
      <c r="D77" s="41">
        <f t="shared" si="11"/>
        <v>89.6508452276644</v>
      </c>
      <c r="E77" s="42">
        <f t="shared" si="11"/>
        <v>102.17484225818815</v>
      </c>
      <c r="F77" s="50">
        <f t="shared" si="11"/>
        <v>115.2385709914259</v>
      </c>
      <c r="G77" s="50">
        <f t="shared" si="11"/>
        <v>119.31259958857407</v>
      </c>
      <c r="H77" s="50">
        <f t="shared" si="11"/>
        <v>0</v>
      </c>
      <c r="I77" s="50">
        <f t="shared" si="11"/>
        <v>0</v>
      </c>
    </row>
    <row r="78" spans="1:9" ht="15">
      <c r="A78" s="43" t="str">
        <f>HLOOKUP(INDICE!$F$2,Nombres!$C$3:$D$636,47,FALSE)</f>
        <v>Income tax</v>
      </c>
      <c r="B78" s="44">
        <v>-18.278261299014368</v>
      </c>
      <c r="C78" s="44">
        <v>-21.733184642096962</v>
      </c>
      <c r="D78" s="44">
        <v>-32.05609230603236</v>
      </c>
      <c r="E78" s="45">
        <v>-29.313519127447144</v>
      </c>
      <c r="F78" s="44">
        <v>-41.59484620913059</v>
      </c>
      <c r="G78" s="44">
        <v>-39.10789089086942</v>
      </c>
      <c r="H78" s="44">
        <v>0</v>
      </c>
      <c r="I78" s="44">
        <v>0</v>
      </c>
    </row>
    <row r="79" spans="1:9" ht="15">
      <c r="A79" s="41" t="str">
        <f>HLOOKUP(INDICE!$F$2,Nombres!$C$3:$D$636,48,FALSE)</f>
        <v>Profit/(loss) for the year</v>
      </c>
      <c r="B79" s="41">
        <f>+B77+B78</f>
        <v>48.85338703406095</v>
      </c>
      <c r="C79" s="41">
        <f aca="true" t="shared" si="12" ref="C79:I79">+C77+C78</f>
        <v>60.743657999656676</v>
      </c>
      <c r="D79" s="41">
        <f t="shared" si="12"/>
        <v>57.59475292163204</v>
      </c>
      <c r="E79" s="42">
        <f t="shared" si="12"/>
        <v>72.861323130741</v>
      </c>
      <c r="F79" s="50">
        <f t="shared" si="12"/>
        <v>73.64372478229532</v>
      </c>
      <c r="G79" s="50">
        <f t="shared" si="12"/>
        <v>80.20470869770466</v>
      </c>
      <c r="H79" s="50">
        <f t="shared" si="12"/>
        <v>0</v>
      </c>
      <c r="I79" s="50">
        <f t="shared" si="12"/>
        <v>0</v>
      </c>
    </row>
    <row r="80" spans="1:9" ht="15">
      <c r="A80" s="43" t="str">
        <f>HLOOKUP(INDICE!$F$2,Nombres!$C$3:$D$636,49,FALSE)</f>
        <v>Non-controlling interests</v>
      </c>
      <c r="B80" s="44">
        <v>-1.9039001076333335</v>
      </c>
      <c r="C80" s="44">
        <v>-2.3524369587960057</v>
      </c>
      <c r="D80" s="44">
        <v>-2.158098201389956</v>
      </c>
      <c r="E80" s="45">
        <v>-2.8945911073083135</v>
      </c>
      <c r="F80" s="44">
        <v>-2.700219859987672</v>
      </c>
      <c r="G80" s="44">
        <v>-2.401949590012328</v>
      </c>
      <c r="H80" s="44">
        <v>0</v>
      </c>
      <c r="I80" s="44">
        <v>0</v>
      </c>
    </row>
    <row r="81" spans="1:9" ht="15">
      <c r="A81" s="47" t="str">
        <f>HLOOKUP(INDICE!$F$2,Nombres!$C$3:$D$636,50,FALSE)</f>
        <v>Net attributable profit</v>
      </c>
      <c r="B81" s="47">
        <f>+B79+B80</f>
        <v>46.94948692642762</v>
      </c>
      <c r="C81" s="47">
        <f aca="true" t="shared" si="13" ref="C81:I81">+C79+C80</f>
        <v>58.39122104086067</v>
      </c>
      <c r="D81" s="47">
        <f t="shared" si="13"/>
        <v>55.43665472024209</v>
      </c>
      <c r="E81" s="47">
        <f t="shared" si="13"/>
        <v>69.96673202343268</v>
      </c>
      <c r="F81" s="51">
        <f t="shared" si="13"/>
        <v>70.94350492230765</v>
      </c>
      <c r="G81" s="51">
        <f t="shared" si="13"/>
        <v>77.80275910769234</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869.5738632785078</v>
      </c>
      <c r="C87" s="44">
        <v>1704.881363289957</v>
      </c>
      <c r="D87" s="44">
        <v>1661.9867432121864</v>
      </c>
      <c r="E87" s="45">
        <v>2409.5960104219926</v>
      </c>
      <c r="F87" s="44">
        <v>1896.6419460939553</v>
      </c>
      <c r="G87" s="44">
        <v>2289.665</v>
      </c>
      <c r="H87" s="44">
        <v>0</v>
      </c>
      <c r="I87" s="44">
        <v>0</v>
      </c>
    </row>
    <row r="88" spans="1:9" ht="15">
      <c r="A88" s="43" t="str">
        <f>HLOOKUP(INDICE!$F$2,Nombres!$C$3:$D$636,53,FALSE)</f>
        <v>Financial assets designated at fair value </v>
      </c>
      <c r="B88" s="58">
        <v>2391.4747811972466</v>
      </c>
      <c r="C88" s="58">
        <v>1871.5391468046778</v>
      </c>
      <c r="D88" s="58">
        <v>1941.3503750097943</v>
      </c>
      <c r="E88" s="64">
        <v>2177.3214375898406</v>
      </c>
      <c r="F88" s="44">
        <v>2750.0745801350527</v>
      </c>
      <c r="G88" s="44">
        <v>3459.0099999999998</v>
      </c>
      <c r="H88" s="44">
        <v>0</v>
      </c>
      <c r="I88" s="44">
        <v>0</v>
      </c>
    </row>
    <row r="89" spans="1:9" ht="15">
      <c r="A89" s="43" t="str">
        <f>HLOOKUP(INDICE!$F$2,Nombres!$C$3:$D$636,54,FALSE)</f>
        <v>Financial assets at amortized cost</v>
      </c>
      <c r="B89" s="44">
        <v>12396.82116338825</v>
      </c>
      <c r="C89" s="44">
        <v>12631.732574974898</v>
      </c>
      <c r="D89" s="44">
        <v>13017.918126810173</v>
      </c>
      <c r="E89" s="45">
        <v>13814.191713757395</v>
      </c>
      <c r="F89" s="44">
        <v>14541.871726935282</v>
      </c>
      <c r="G89" s="44">
        <v>15759.891999999998</v>
      </c>
      <c r="H89" s="44">
        <v>0</v>
      </c>
      <c r="I89" s="44">
        <v>0</v>
      </c>
    </row>
    <row r="90" spans="1:9" ht="15">
      <c r="A90" s="43" t="str">
        <f>HLOOKUP(INDICE!$F$2,Nombres!$C$3:$D$636,55,FALSE)</f>
        <v>    of which loans and advances to customers</v>
      </c>
      <c r="B90" s="44">
        <v>11554.659418006417</v>
      </c>
      <c r="C90" s="44">
        <v>11820.119103620777</v>
      </c>
      <c r="D90" s="44">
        <v>12174.295657720437</v>
      </c>
      <c r="E90" s="45">
        <v>12966.546128355025</v>
      </c>
      <c r="F90" s="44">
        <v>13619.900888624028</v>
      </c>
      <c r="G90" s="44">
        <v>14554.254</v>
      </c>
      <c r="H90" s="44">
        <v>0</v>
      </c>
      <c r="I90" s="44">
        <v>0</v>
      </c>
    </row>
    <row r="91" spans="1:9" ht="15" hidden="1">
      <c r="A91" s="43"/>
      <c r="B91" s="44"/>
      <c r="C91" s="44"/>
      <c r="D91" s="44"/>
      <c r="E91" s="45"/>
      <c r="F91" s="44"/>
      <c r="G91" s="44"/>
      <c r="H91" s="44"/>
      <c r="I91" s="44"/>
    </row>
    <row r="92" spans="1:9" ht="15">
      <c r="A92" s="43" t="str">
        <f>HLOOKUP(INDICE!$F$2,Nombres!$C$3:$D$636,56,FALSE)</f>
        <v>Tangible assets</v>
      </c>
      <c r="B92" s="44">
        <v>108.59274428122549</v>
      </c>
      <c r="C92" s="44">
        <v>105.36359951639545</v>
      </c>
      <c r="D92" s="44">
        <v>104.46813466274038</v>
      </c>
      <c r="E92" s="45">
        <v>104.70477413744979</v>
      </c>
      <c r="F92" s="44">
        <v>102.71995950089534</v>
      </c>
      <c r="G92" s="44">
        <v>101.583</v>
      </c>
      <c r="H92" s="44">
        <v>0</v>
      </c>
      <c r="I92" s="44">
        <v>0</v>
      </c>
    </row>
    <row r="93" spans="1:9" ht="15">
      <c r="A93" s="43" t="str">
        <f>HLOOKUP(INDICE!$F$2,Nombres!$C$3:$D$636,57,FALSE)</f>
        <v>Other assets</v>
      </c>
      <c r="B93" s="58">
        <f>+B94-B92-B89-B88-B87</f>
        <v>680.1786330803252</v>
      </c>
      <c r="C93" s="58">
        <f aca="true" t="shared" si="15" ref="C93:I93">+C94-C92-C89-C88-C87</f>
        <v>755.4593328193384</v>
      </c>
      <c r="D93" s="58">
        <f t="shared" si="15"/>
        <v>741.6016492829795</v>
      </c>
      <c r="E93" s="64">
        <f t="shared" si="15"/>
        <v>646.248261464048</v>
      </c>
      <c r="F93" s="44">
        <f t="shared" si="15"/>
        <v>619.441312010654</v>
      </c>
      <c r="G93" s="44">
        <f t="shared" si="15"/>
        <v>686.4183542299957</v>
      </c>
      <c r="H93" s="44">
        <f t="shared" si="15"/>
        <v>0</v>
      </c>
      <c r="I93" s="44">
        <f t="shared" si="15"/>
        <v>0</v>
      </c>
    </row>
    <row r="94" spans="1:9" ht="15">
      <c r="A94" s="47" t="str">
        <f>HLOOKUP(INDICE!$F$2,Nombres!$C$3:$D$636,58,FALSE)</f>
        <v>Total assets / Liabilities and equity</v>
      </c>
      <c r="B94" s="47">
        <v>16446.641185225555</v>
      </c>
      <c r="C94" s="47">
        <v>17068.976017405268</v>
      </c>
      <c r="D94" s="47">
        <v>17467.325028977873</v>
      </c>
      <c r="E94" s="47">
        <v>19152.062197370724</v>
      </c>
      <c r="F94" s="51">
        <v>19910.74952467584</v>
      </c>
      <c r="G94" s="51">
        <v>22296.568354229992</v>
      </c>
      <c r="H94" s="51">
        <v>0</v>
      </c>
      <c r="I94" s="51">
        <v>0</v>
      </c>
    </row>
    <row r="95" spans="1:9" ht="15">
      <c r="A95" s="43" t="str">
        <f>HLOOKUP(INDICE!$F$2,Nombres!$C$3:$D$636,59,FALSE)</f>
        <v>Financial liabilities held for trading and designated at fair value through profit or loss</v>
      </c>
      <c r="B95" s="58">
        <v>974.8154654158518</v>
      </c>
      <c r="C95" s="58">
        <v>834.5072827946846</v>
      </c>
      <c r="D95" s="58">
        <v>1109.0240816010569</v>
      </c>
      <c r="E95" s="64">
        <v>1605.2656582931222</v>
      </c>
      <c r="F95" s="44">
        <v>2096.3062936767187</v>
      </c>
      <c r="G95" s="44">
        <v>2693.205</v>
      </c>
      <c r="H95" s="44">
        <v>0</v>
      </c>
      <c r="I95" s="44">
        <v>0</v>
      </c>
    </row>
    <row r="96" spans="1:9" ht="15">
      <c r="A96" s="43" t="str">
        <f>HLOOKUP(INDICE!$F$2,Nombres!$C$3:$D$636,60,FALSE)</f>
        <v>Deposits from central banks and credit institutions</v>
      </c>
      <c r="B96" s="58">
        <v>404.3517340145871</v>
      </c>
      <c r="C96" s="58">
        <v>457.1826978393291</v>
      </c>
      <c r="D96" s="58">
        <v>527.2736232225336</v>
      </c>
      <c r="E96" s="64">
        <v>743.822176976925</v>
      </c>
      <c r="F96" s="44">
        <v>1470.4443726427598</v>
      </c>
      <c r="G96" s="44">
        <v>866.4019999899999</v>
      </c>
      <c r="H96" s="44">
        <v>0</v>
      </c>
      <c r="I96" s="44">
        <v>0</v>
      </c>
    </row>
    <row r="97" spans="1:9" ht="15">
      <c r="A97" s="43" t="str">
        <f>HLOOKUP(INDICE!$F$2,Nombres!$C$3:$D$636,61,FALSE)</f>
        <v>Deposits from customers</v>
      </c>
      <c r="B97" s="58">
        <v>12008.670193406844</v>
      </c>
      <c r="C97" s="58">
        <v>12676.119598520683</v>
      </c>
      <c r="D97" s="58">
        <v>12627.899200415352</v>
      </c>
      <c r="E97" s="64">
        <v>13471.614958292223</v>
      </c>
      <c r="F97" s="44">
        <v>13051.080378187682</v>
      </c>
      <c r="G97" s="44">
        <v>15291.701000009998</v>
      </c>
      <c r="H97" s="44">
        <v>0</v>
      </c>
      <c r="I97" s="44">
        <v>0</v>
      </c>
    </row>
    <row r="98" spans="1:9" ht="15">
      <c r="A98" s="43" t="str">
        <f>HLOOKUP(INDICE!$F$2,Nombres!$C$3:$D$636,62,FALSE)</f>
        <v>Debt certificates</v>
      </c>
      <c r="B98" s="44">
        <v>803.557240973786</v>
      </c>
      <c r="C98" s="44">
        <v>813.608005521742</v>
      </c>
      <c r="D98" s="44">
        <v>841.9728418250997</v>
      </c>
      <c r="E98" s="45">
        <v>868.2976411599366</v>
      </c>
      <c r="F98" s="44">
        <v>852.2070226142936</v>
      </c>
      <c r="G98" s="44">
        <v>926.68810403</v>
      </c>
      <c r="H98" s="44">
        <v>0</v>
      </c>
      <c r="I98" s="44">
        <v>0</v>
      </c>
    </row>
    <row r="99" spans="1:9" ht="15" hidden="1">
      <c r="A99" s="43"/>
      <c r="B99" s="44"/>
      <c r="C99" s="44"/>
      <c r="D99" s="44"/>
      <c r="E99" s="45"/>
      <c r="F99" s="44"/>
      <c r="G99" s="44"/>
      <c r="H99" s="44"/>
      <c r="I99" s="44"/>
    </row>
    <row r="100" spans="1:9" ht="15">
      <c r="A100" s="43" t="str">
        <f>HLOOKUP(INDICE!$F$2,Nombres!$C$3:$D$636,63,FALSE)</f>
        <v>Other liabilities</v>
      </c>
      <c r="B100" s="58">
        <f>+B94-B95-B96-B97-B98-B101</f>
        <v>741.847633270324</v>
      </c>
      <c r="C100" s="58">
        <f aca="true" t="shared" si="16" ref="C100:I100">+C94-C95-C96-C97-C98-C101</f>
        <v>771.2570794443168</v>
      </c>
      <c r="D100" s="58">
        <f t="shared" si="16"/>
        <v>795.6878468483501</v>
      </c>
      <c r="E100" s="64">
        <f t="shared" si="16"/>
        <v>770.2918846455652</v>
      </c>
      <c r="F100" s="44">
        <f t="shared" si="16"/>
        <v>670.6329529152727</v>
      </c>
      <c r="G100" s="44">
        <f t="shared" si="16"/>
        <v>507.77871122999454</v>
      </c>
      <c r="H100" s="44">
        <f t="shared" si="16"/>
        <v>0</v>
      </c>
      <c r="I100" s="44">
        <f t="shared" si="16"/>
        <v>0</v>
      </c>
    </row>
    <row r="101" spans="1:9" ht="15">
      <c r="A101" s="43" t="str">
        <f>HLOOKUP(INDICE!$F$2,Nombres!$C$3:$D$636,282,FALSE)</f>
        <v>Regulatory capital allocated</v>
      </c>
      <c r="B101" s="58">
        <v>1513.398918144163</v>
      </c>
      <c r="C101" s="58">
        <v>1516.3013532845125</v>
      </c>
      <c r="D101" s="58">
        <v>1565.4674350654805</v>
      </c>
      <c r="E101" s="64">
        <v>1692.7698780029502</v>
      </c>
      <c r="F101" s="44">
        <v>1770.0785046391125</v>
      </c>
      <c r="G101" s="44">
        <v>2010.7935389700003</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12301.79872775326</v>
      </c>
      <c r="C107" s="44">
        <v>12580.686516269752</v>
      </c>
      <c r="D107" s="44">
        <v>12932.079910132084</v>
      </c>
      <c r="E107" s="45">
        <v>13706.842603905174</v>
      </c>
      <c r="F107" s="44">
        <v>14359.218545308795</v>
      </c>
      <c r="G107" s="44">
        <v>15289.196495580001</v>
      </c>
      <c r="H107" s="44">
        <v>0</v>
      </c>
      <c r="I107" s="44">
        <v>0</v>
      </c>
    </row>
    <row r="108" spans="1:9" ht="15">
      <c r="A108" s="43" t="str">
        <f>HLOOKUP(INDICE!$F$2,Nombres!$C$3:$D$636,67,FALSE)</f>
        <v>Customer deposits under management (*)</v>
      </c>
      <c r="B108" s="44">
        <v>12008.351904859164</v>
      </c>
      <c r="C108" s="44">
        <v>12659.43808781482</v>
      </c>
      <c r="D108" s="44">
        <v>12605.193283307939</v>
      </c>
      <c r="E108" s="45">
        <v>13476.667402497167</v>
      </c>
      <c r="F108" s="44">
        <v>13057.424547469876</v>
      </c>
      <c r="G108" s="44">
        <v>15291.150695029997</v>
      </c>
      <c r="H108" s="44">
        <v>0</v>
      </c>
      <c r="I108" s="44">
        <v>0</v>
      </c>
    </row>
    <row r="109" spans="1:9" ht="15">
      <c r="A109" s="43" t="str">
        <f>HLOOKUP(INDICE!$F$2,Nombres!$C$3:$D$636,68,FALSE)</f>
        <v>Investment funds and managed portfolios</v>
      </c>
      <c r="B109" s="44">
        <v>1449.5370766302926</v>
      </c>
      <c r="C109" s="44">
        <v>1344.1435589993703</v>
      </c>
      <c r="D109" s="44">
        <v>1410.9717689122085</v>
      </c>
      <c r="E109" s="45">
        <v>2498.421793633161</v>
      </c>
      <c r="F109" s="44">
        <v>2496.76005329672</v>
      </c>
      <c r="G109" s="44">
        <v>2309.0974927700004</v>
      </c>
      <c r="H109" s="44">
        <v>0</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HLOOKUP(INDICE!$F$2,Nombres!$C$3:$D$636,75,FALSE)</f>
        <v>(Million Colombian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41">
        <v>860613.8709447717</v>
      </c>
      <c r="C120" s="41">
        <v>837025.8431616802</v>
      </c>
      <c r="D120" s="41">
        <v>845092.8070735396</v>
      </c>
      <c r="E120" s="42">
        <v>863825.1877470778</v>
      </c>
      <c r="F120" s="50">
        <v>932917.8569309828</v>
      </c>
      <c r="G120" s="50">
        <v>959333.7962451973</v>
      </c>
      <c r="H120" s="50">
        <v>0</v>
      </c>
      <c r="I120" s="50">
        <v>0</v>
      </c>
    </row>
    <row r="121" spans="1:9" ht="15">
      <c r="A121" s="43" t="str">
        <f>HLOOKUP(INDICE!$F$2,Nombres!$C$3:$D$636,34,FALSE)</f>
        <v>Net fees and commissions</v>
      </c>
      <c r="B121" s="44">
        <v>91863.77710524874</v>
      </c>
      <c r="C121" s="44">
        <v>96969.80489414834</v>
      </c>
      <c r="D121" s="44">
        <v>89378.97425652639</v>
      </c>
      <c r="E121" s="45">
        <v>88010.74408381492</v>
      </c>
      <c r="F121" s="44">
        <v>110171.316421814</v>
      </c>
      <c r="G121" s="44">
        <v>112150.77610748782</v>
      </c>
      <c r="H121" s="44">
        <v>0</v>
      </c>
      <c r="I121" s="44">
        <v>0</v>
      </c>
    </row>
    <row r="122" spans="1:9" ht="15">
      <c r="A122" s="43" t="str">
        <f>HLOOKUP(INDICE!$F$2,Nombres!$C$3:$D$636,35,FALSE)</f>
        <v>Net trading income</v>
      </c>
      <c r="B122" s="44">
        <v>31376.625707215208</v>
      </c>
      <c r="C122" s="44">
        <v>94129.5714445847</v>
      </c>
      <c r="D122" s="44">
        <v>83751.06706001046</v>
      </c>
      <c r="E122" s="45">
        <v>102729.10644049168</v>
      </c>
      <c r="F122" s="44">
        <v>105696.02329712459</v>
      </c>
      <c r="G122" s="44">
        <v>114218.25090381627</v>
      </c>
      <c r="H122" s="44">
        <v>0</v>
      </c>
      <c r="I122" s="44">
        <v>0</v>
      </c>
    </row>
    <row r="123" spans="1:9" ht="15">
      <c r="A123" s="43" t="str">
        <f>HLOOKUP(INDICE!$F$2,Nombres!$C$3:$D$636,36,FALSE)</f>
        <v>Other operating income and expenses</v>
      </c>
      <c r="B123" s="44">
        <v>-19210.24580259236</v>
      </c>
      <c r="C123" s="44">
        <v>-40210.835348493805</v>
      </c>
      <c r="D123" s="44">
        <v>-43898.540416642405</v>
      </c>
      <c r="E123" s="45">
        <v>-36190.95305800348</v>
      </c>
      <c r="F123" s="44">
        <v>-15928.518881953374</v>
      </c>
      <c r="G123" s="44">
        <v>-19039.13201677433</v>
      </c>
      <c r="H123" s="44">
        <v>0</v>
      </c>
      <c r="I123" s="44">
        <v>0</v>
      </c>
    </row>
    <row r="124" spans="1:9" ht="15">
      <c r="A124" s="41" t="str">
        <f>HLOOKUP(INDICE!$F$2,Nombres!$C$3:$D$636,37,FALSE)</f>
        <v>Gross income</v>
      </c>
      <c r="B124" s="41">
        <f>+SUM(B120:B123)</f>
        <v>964644.0279546432</v>
      </c>
      <c r="C124" s="41">
        <f aca="true" t="shared" si="19" ref="C124:I124">+SUM(C120:C123)</f>
        <v>987914.3841519194</v>
      </c>
      <c r="D124" s="41">
        <f t="shared" si="19"/>
        <v>974324.3079734341</v>
      </c>
      <c r="E124" s="42">
        <f t="shared" si="19"/>
        <v>1018374.0852133809</v>
      </c>
      <c r="F124" s="50">
        <f t="shared" si="19"/>
        <v>1132856.677767968</v>
      </c>
      <c r="G124" s="50">
        <f t="shared" si="19"/>
        <v>1166663.691239727</v>
      </c>
      <c r="H124" s="50">
        <f t="shared" si="19"/>
        <v>0</v>
      </c>
      <c r="I124" s="50">
        <f t="shared" si="19"/>
        <v>0</v>
      </c>
    </row>
    <row r="125" spans="1:9" ht="15">
      <c r="A125" s="43" t="str">
        <f>HLOOKUP(INDICE!$F$2,Nombres!$C$3:$D$636,38,FALSE)</f>
        <v>Operating expenses</v>
      </c>
      <c r="B125" s="44">
        <v>-352997.64614082035</v>
      </c>
      <c r="C125" s="44">
        <v>-353112.97575725336</v>
      </c>
      <c r="D125" s="44">
        <v>-374127.3069703843</v>
      </c>
      <c r="E125" s="45">
        <v>-380688.78505476867</v>
      </c>
      <c r="F125" s="44">
        <v>-389020.70008689095</v>
      </c>
      <c r="G125" s="44">
        <v>-412951.9227939637</v>
      </c>
      <c r="H125" s="44">
        <v>0</v>
      </c>
      <c r="I125" s="44">
        <v>0</v>
      </c>
    </row>
    <row r="126" spans="1:9" ht="15">
      <c r="A126" s="43" t="str">
        <f>HLOOKUP(INDICE!$F$2,Nombres!$C$3:$D$636,39,FALSE)</f>
        <v>  Administration expenses</v>
      </c>
      <c r="B126" s="44">
        <v>-322571.4272090605</v>
      </c>
      <c r="C126" s="44">
        <v>-322781.434067793</v>
      </c>
      <c r="D126" s="44">
        <v>-344175.11206824146</v>
      </c>
      <c r="E126" s="45">
        <v>-350669.0316044688</v>
      </c>
      <c r="F126" s="44">
        <v>-357321.67463484715</v>
      </c>
      <c r="G126" s="44">
        <v>-381346.99944097735</v>
      </c>
      <c r="H126" s="44">
        <v>0</v>
      </c>
      <c r="I126" s="44">
        <v>0</v>
      </c>
    </row>
    <row r="127" spans="1:9" ht="15">
      <c r="A127" s="46" t="str">
        <f>HLOOKUP(INDICE!$F$2,Nombres!$C$3:$D$636,40,FALSE)</f>
        <v>  Personnel expenses</v>
      </c>
      <c r="B127" s="44">
        <v>-158733.01008738833</v>
      </c>
      <c r="C127" s="44">
        <v>-153862.15192445373</v>
      </c>
      <c r="D127" s="44">
        <v>-167731.3520612886</v>
      </c>
      <c r="E127" s="45">
        <v>-157651.78851940407</v>
      </c>
      <c r="F127" s="44">
        <v>-180169.14937074142</v>
      </c>
      <c r="G127" s="44">
        <v>-191803.09001327585</v>
      </c>
      <c r="H127" s="44">
        <v>0</v>
      </c>
      <c r="I127" s="44">
        <v>0</v>
      </c>
    </row>
    <row r="128" spans="1:9" ht="15">
      <c r="A128" s="46" t="str">
        <f>HLOOKUP(INDICE!$F$2,Nombres!$C$3:$D$636,41,FALSE)</f>
        <v>  General and administrative expenses</v>
      </c>
      <c r="B128" s="44">
        <v>-163838.41712167225</v>
      </c>
      <c r="C128" s="44">
        <v>-168919.2821433393</v>
      </c>
      <c r="D128" s="44">
        <v>-176443.76000695289</v>
      </c>
      <c r="E128" s="45">
        <v>-193017.24308506475</v>
      </c>
      <c r="F128" s="44">
        <v>-177152.52526410576</v>
      </c>
      <c r="G128" s="44">
        <v>-189543.90942770144</v>
      </c>
      <c r="H128" s="44">
        <v>0</v>
      </c>
      <c r="I128" s="44">
        <v>0</v>
      </c>
    </row>
    <row r="129" spans="1:9" ht="15">
      <c r="A129" s="43" t="str">
        <f>HLOOKUP(INDICE!$F$2,Nombres!$C$3:$D$636,42,FALSE)</f>
        <v>  Depreciation</v>
      </c>
      <c r="B129" s="44">
        <v>-30426.218931759788</v>
      </c>
      <c r="C129" s="44">
        <v>-30331.54168946034</v>
      </c>
      <c r="D129" s="44">
        <v>-29952.194902142783</v>
      </c>
      <c r="E129" s="45">
        <v>-30019.753450299842</v>
      </c>
      <c r="F129" s="44">
        <v>-31699.02545204381</v>
      </c>
      <c r="G129" s="44">
        <v>-31604.923352986378</v>
      </c>
      <c r="H129" s="44">
        <v>0</v>
      </c>
      <c r="I129" s="44">
        <v>0</v>
      </c>
    </row>
    <row r="130" spans="1:9" ht="15">
      <c r="A130" s="41" t="str">
        <f>HLOOKUP(INDICE!$F$2,Nombres!$C$3:$D$636,43,FALSE)</f>
        <v>Operating income</v>
      </c>
      <c r="B130" s="41">
        <f>+B124+B125</f>
        <v>611646.3818138229</v>
      </c>
      <c r="C130" s="41">
        <f aca="true" t="shared" si="20" ref="C130:I130">+C124+C125</f>
        <v>634801.408394666</v>
      </c>
      <c r="D130" s="41">
        <f t="shared" si="20"/>
        <v>600197.0010030498</v>
      </c>
      <c r="E130" s="42">
        <f t="shared" si="20"/>
        <v>637685.3001586122</v>
      </c>
      <c r="F130" s="50">
        <f t="shared" si="20"/>
        <v>743835.9776810771</v>
      </c>
      <c r="G130" s="50">
        <f t="shared" si="20"/>
        <v>753711.7684457633</v>
      </c>
      <c r="H130" s="50">
        <f t="shared" si="20"/>
        <v>0</v>
      </c>
      <c r="I130" s="50">
        <f t="shared" si="20"/>
        <v>0</v>
      </c>
    </row>
    <row r="131" spans="1:9" ht="15">
      <c r="A131" s="43" t="str">
        <f>HLOOKUP(INDICE!$F$2,Nombres!$C$3:$D$636,44,FALSE)</f>
        <v>Impaiment on financial assets not measured at fair value through profit or loss</v>
      </c>
      <c r="B131" s="44">
        <v>-292219.3701938051</v>
      </c>
      <c r="C131" s="44">
        <v>-297736.78182715294</v>
      </c>
      <c r="D131" s="44">
        <v>-227136.93432125694</v>
      </c>
      <c r="E131" s="45">
        <v>-183207.1640033592</v>
      </c>
      <c r="F131" s="44">
        <v>-243347.73873057507</v>
      </c>
      <c r="G131" s="44">
        <v>-228677.0189142361</v>
      </c>
      <c r="H131" s="44">
        <v>0</v>
      </c>
      <c r="I131" s="44">
        <v>0</v>
      </c>
    </row>
    <row r="132" spans="1:9" ht="15">
      <c r="A132" s="43" t="str">
        <f>HLOOKUP(INDICE!$F$2,Nombres!$C$3:$D$636,45,FALSE)</f>
        <v>Provisions or reversal of provisions and other results</v>
      </c>
      <c r="B132" s="44">
        <v>-32032.78498349309</v>
      </c>
      <c r="C132" s="44">
        <v>16023.20897682318</v>
      </c>
      <c r="D132" s="44">
        <v>10740.062933392892</v>
      </c>
      <c r="E132" s="45">
        <v>-17062.096155633284</v>
      </c>
      <c r="F132" s="44">
        <v>-7145.667880909348</v>
      </c>
      <c r="G132" s="44">
        <v>-14251.041128865514</v>
      </c>
      <c r="H132" s="44">
        <v>0</v>
      </c>
      <c r="I132" s="44">
        <v>0</v>
      </c>
    </row>
    <row r="133" spans="1:9" ht="15">
      <c r="A133" s="41" t="str">
        <f>HLOOKUP(INDICE!$F$2,Nombres!$C$3:$D$636,46,FALSE)</f>
        <v>Profit/(loss) before tax</v>
      </c>
      <c r="B133" s="41">
        <f>+B130+B131+B132</f>
        <v>287394.2266365247</v>
      </c>
      <c r="C133" s="41">
        <f aca="true" t="shared" si="21" ref="C133:I133">+C130+C131+C132</f>
        <v>353087.8355443363</v>
      </c>
      <c r="D133" s="41">
        <f t="shared" si="21"/>
        <v>383800.1296151857</v>
      </c>
      <c r="E133" s="42">
        <f t="shared" si="21"/>
        <v>437416.0399996197</v>
      </c>
      <c r="F133" s="50">
        <f t="shared" si="21"/>
        <v>493342.57106959267</v>
      </c>
      <c r="G133" s="50">
        <f t="shared" si="21"/>
        <v>510783.70840266166</v>
      </c>
      <c r="H133" s="50">
        <f t="shared" si="21"/>
        <v>0</v>
      </c>
      <c r="I133" s="50">
        <f t="shared" si="21"/>
        <v>0</v>
      </c>
    </row>
    <row r="134" spans="1:9" ht="15">
      <c r="A134" s="43" t="str">
        <f>HLOOKUP(INDICE!$F$2,Nombres!$C$3:$D$636,47,FALSE)</f>
        <v>Income tax</v>
      </c>
      <c r="B134" s="44">
        <v>-78250.227735022</v>
      </c>
      <c r="C134" s="44">
        <v>-93040.94190529347</v>
      </c>
      <c r="D134" s="44">
        <v>-137233.8693602755</v>
      </c>
      <c r="E134" s="45">
        <v>-125492.7648704394</v>
      </c>
      <c r="F134" s="44">
        <v>-178069.792045439</v>
      </c>
      <c r="G134" s="44">
        <v>-167423.00147618205</v>
      </c>
      <c r="H134" s="44">
        <v>0</v>
      </c>
      <c r="I134" s="44">
        <v>0</v>
      </c>
    </row>
    <row r="135" spans="1:9" ht="15">
      <c r="A135" s="41" t="str">
        <f>HLOOKUP(INDICE!$F$2,Nombres!$C$3:$D$636,48,FALSE)</f>
        <v>Profit/(loss) for the year</v>
      </c>
      <c r="B135" s="41">
        <f>+B133+B134</f>
        <v>209143.99890150272</v>
      </c>
      <c r="C135" s="41">
        <f aca="true" t="shared" si="22" ref="C135:I135">+C133+C134</f>
        <v>260046.89363904283</v>
      </c>
      <c r="D135" s="41">
        <f t="shared" si="22"/>
        <v>246566.26025491022</v>
      </c>
      <c r="E135" s="42">
        <f t="shared" si="22"/>
        <v>311923.2751291803</v>
      </c>
      <c r="F135" s="50">
        <f t="shared" si="22"/>
        <v>315272.77902415366</v>
      </c>
      <c r="G135" s="50">
        <f t="shared" si="22"/>
        <v>343360.7069264796</v>
      </c>
      <c r="H135" s="50">
        <f t="shared" si="22"/>
        <v>0</v>
      </c>
      <c r="I135" s="50">
        <f t="shared" si="22"/>
        <v>0</v>
      </c>
    </row>
    <row r="136" spans="1:9" ht="15">
      <c r="A136" s="43" t="str">
        <f>HLOOKUP(INDICE!$F$2,Nombres!$C$3:$D$636,49,FALSE)</f>
        <v>Non-controlling interests</v>
      </c>
      <c r="B136" s="44">
        <v>-8150.699597180766</v>
      </c>
      <c r="C136" s="44">
        <v>-10070.910178310898</v>
      </c>
      <c r="D136" s="44">
        <v>-9238.935420099922</v>
      </c>
      <c r="E136" s="45">
        <v>-12391.901485665856</v>
      </c>
      <c r="F136" s="44">
        <v>-11559.787636368794</v>
      </c>
      <c r="G136" s="44">
        <v>-10282.876437303285</v>
      </c>
      <c r="H136" s="44">
        <v>0</v>
      </c>
      <c r="I136" s="44">
        <v>0</v>
      </c>
    </row>
    <row r="137" spans="1:9" ht="15">
      <c r="A137" s="47" t="str">
        <f>HLOOKUP(INDICE!$F$2,Nombres!$C$3:$D$636,50,FALSE)</f>
        <v>Net attributable profit</v>
      </c>
      <c r="B137" s="47">
        <f>+B135+B136</f>
        <v>200993.29930432196</v>
      </c>
      <c r="C137" s="47">
        <f aca="true" t="shared" si="23" ref="C137:I137">+C135+C136</f>
        <v>249975.98346073192</v>
      </c>
      <c r="D137" s="47">
        <f t="shared" si="23"/>
        <v>237327.32483481028</v>
      </c>
      <c r="E137" s="47">
        <f t="shared" si="23"/>
        <v>299531.3736435144</v>
      </c>
      <c r="F137" s="51">
        <f t="shared" si="23"/>
        <v>303712.9913877849</v>
      </c>
      <c r="G137" s="51">
        <f t="shared" si="23"/>
        <v>333077.8304891763</v>
      </c>
      <c r="H137" s="51">
        <f t="shared" si="23"/>
        <v>0</v>
      </c>
      <c r="I137" s="51">
        <f t="shared" si="23"/>
        <v>0</v>
      </c>
    </row>
    <row r="138" spans="1:9" ht="15">
      <c r="A138" s="62"/>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HLOOKUP(INDICE!$F$2,Nombres!$C$3:$D$636,75,FALSE)</f>
        <v>(Million Colombian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3728039.759377931</v>
      </c>
      <c r="C143" s="44">
        <v>7309172.660047796</v>
      </c>
      <c r="D143" s="44">
        <v>7125274.712022508</v>
      </c>
      <c r="E143" s="45">
        <v>10330427.477458026</v>
      </c>
      <c r="F143" s="44">
        <v>8131289.224452657</v>
      </c>
      <c r="G143" s="44">
        <v>9816258.878197405</v>
      </c>
      <c r="H143" s="44">
        <v>0</v>
      </c>
      <c r="I143" s="44">
        <v>0</v>
      </c>
    </row>
    <row r="144" spans="1:9" ht="15">
      <c r="A144" s="43" t="str">
        <f>HLOOKUP(INDICE!$F$2,Nombres!$C$3:$D$636,53,FALSE)</f>
        <v>Financial assets designated at fair value </v>
      </c>
      <c r="B144" s="58">
        <v>10252738.087411333</v>
      </c>
      <c r="C144" s="58">
        <v>8023668.425606111</v>
      </c>
      <c r="D144" s="58">
        <v>8322963.339345169</v>
      </c>
      <c r="E144" s="64">
        <v>9334619.209548473</v>
      </c>
      <c r="F144" s="44">
        <v>11790128.255860886</v>
      </c>
      <c r="G144" s="44">
        <v>14829478.383201739</v>
      </c>
      <c r="H144" s="44">
        <v>0</v>
      </c>
      <c r="I144" s="44">
        <v>0</v>
      </c>
    </row>
    <row r="145" spans="1:9" ht="15">
      <c r="A145" s="43" t="str">
        <f>HLOOKUP(INDICE!$F$2,Nombres!$C$3:$D$636,54,FALSE)</f>
        <v>Financial assets at amortized cost</v>
      </c>
      <c r="B145" s="44">
        <v>53147690.07978696</v>
      </c>
      <c r="C145" s="44">
        <v>54154803.01097002</v>
      </c>
      <c r="D145" s="44">
        <v>55810458.904663906</v>
      </c>
      <c r="E145" s="45">
        <v>59224245.49237206</v>
      </c>
      <c r="F145" s="44">
        <v>62343957.498208836</v>
      </c>
      <c r="G145" s="44">
        <v>67565857.7846245</v>
      </c>
      <c r="H145" s="44">
        <v>0</v>
      </c>
      <c r="I145" s="44">
        <v>0</v>
      </c>
    </row>
    <row r="146" spans="1:9" ht="15">
      <c r="A146" s="43" t="str">
        <f>HLOOKUP(INDICE!$F$2,Nombres!$C$3:$D$636,55,FALSE)</f>
        <v>    of which loans and advances to customers</v>
      </c>
      <c r="B146" s="44">
        <v>49537171.63714026</v>
      </c>
      <c r="C146" s="44">
        <v>50675251.22333102</v>
      </c>
      <c r="D146" s="44">
        <v>52193678.04281339</v>
      </c>
      <c r="E146" s="45">
        <v>55590216.713808015</v>
      </c>
      <c r="F146" s="44">
        <v>58391281.265217565</v>
      </c>
      <c r="G146" s="44">
        <v>62397042.817634925</v>
      </c>
      <c r="H146" s="44">
        <v>0</v>
      </c>
      <c r="I146" s="44">
        <v>0</v>
      </c>
    </row>
    <row r="147" spans="1:9" ht="15" hidden="1">
      <c r="A147" s="43"/>
      <c r="B147" s="44"/>
      <c r="C147" s="44"/>
      <c r="D147" s="44"/>
      <c r="E147" s="45"/>
      <c r="F147" s="44"/>
      <c r="G147" s="44"/>
      <c r="H147" s="44"/>
      <c r="I147" s="44"/>
    </row>
    <row r="148" spans="1:9" ht="15">
      <c r="A148" s="43" t="str">
        <f>HLOOKUP(INDICE!$F$2,Nombres!$C$3:$D$636,56,FALSE)</f>
        <v>Tangible assets</v>
      </c>
      <c r="B148" s="44">
        <v>465559.1495517467</v>
      </c>
      <c r="C148" s="44">
        <v>451715.15011656843</v>
      </c>
      <c r="D148" s="44">
        <v>447876.11042307375</v>
      </c>
      <c r="E148" s="45">
        <v>448890.6319118281</v>
      </c>
      <c r="F148" s="44">
        <v>440381.3284557966</v>
      </c>
      <c r="G148" s="44">
        <v>435506.95216283906</v>
      </c>
      <c r="H148" s="44">
        <v>0</v>
      </c>
      <c r="I148" s="44">
        <v>0</v>
      </c>
    </row>
    <row r="149" spans="1:9" ht="15">
      <c r="A149" s="43" t="str">
        <f>HLOOKUP(INDICE!$F$2,Nombres!$C$3:$D$636,57,FALSE)</f>
        <v>Other assets</v>
      </c>
      <c r="B149" s="58">
        <f>+B150-B148-B145-B144-B143</f>
        <v>2916063.94198928</v>
      </c>
      <c r="C149" s="58">
        <f aca="true" t="shared" si="25" ref="C149:I149">+C150-C148-C145-C144-C143</f>
        <v>3238807.5910253245</v>
      </c>
      <c r="D149" s="58">
        <f t="shared" si="25"/>
        <v>3179396.8872563783</v>
      </c>
      <c r="E149" s="64">
        <f t="shared" si="25"/>
        <v>2770597.5477268957</v>
      </c>
      <c r="F149" s="44">
        <f t="shared" si="25"/>
        <v>2655670.711019662</v>
      </c>
      <c r="G149" s="44">
        <f t="shared" si="25"/>
        <v>2942814.8938241657</v>
      </c>
      <c r="H149" s="44">
        <f t="shared" si="25"/>
        <v>0</v>
      </c>
      <c r="I149" s="44">
        <f t="shared" si="25"/>
        <v>0</v>
      </c>
    </row>
    <row r="150" spans="1:9" ht="15">
      <c r="A150" s="47" t="str">
        <f>HLOOKUP(INDICE!$F$2,Nombres!$C$3:$D$636,58,FALSE)</f>
        <v>Total assets / Liabilities and equity</v>
      </c>
      <c r="B150" s="47">
        <v>70510091.01811725</v>
      </c>
      <c r="C150" s="47">
        <v>73178166.83776581</v>
      </c>
      <c r="D150" s="47">
        <v>74885969.95371103</v>
      </c>
      <c r="E150" s="47">
        <v>82108780.35901728</v>
      </c>
      <c r="F150" s="51">
        <v>85361427.01799783</v>
      </c>
      <c r="G150" s="51">
        <v>95589916.89201064</v>
      </c>
      <c r="H150" s="51">
        <v>0</v>
      </c>
      <c r="I150" s="51">
        <v>0</v>
      </c>
    </row>
    <row r="151" spans="1:9" ht="15">
      <c r="A151" s="43" t="str">
        <f>HLOOKUP(INDICE!$F$2,Nombres!$C$3:$D$636,59,FALSE)</f>
        <v>Financial liabilities held for trading and designated at fair value through profit or loss</v>
      </c>
      <c r="B151" s="58">
        <v>4179231.881953251</v>
      </c>
      <c r="C151" s="58">
        <v>3577702.2069401927</v>
      </c>
      <c r="D151" s="58">
        <v>4754611.476854079</v>
      </c>
      <c r="E151" s="64">
        <v>6882099.901114469</v>
      </c>
      <c r="F151" s="44">
        <v>8987290.83369191</v>
      </c>
      <c r="G151" s="44">
        <v>11546316.81580303</v>
      </c>
      <c r="H151" s="44">
        <v>0</v>
      </c>
      <c r="I151" s="44">
        <v>0</v>
      </c>
    </row>
    <row r="152" spans="1:9" ht="15">
      <c r="A152" s="43" t="str">
        <f>HLOOKUP(INDICE!$F$2,Nombres!$C$3:$D$636,60,FALSE)</f>
        <v>Deposits from central banks and credit institutions</v>
      </c>
      <c r="B152" s="58">
        <v>1733538.0061865845</v>
      </c>
      <c r="C152" s="58">
        <v>1960035.0778928602</v>
      </c>
      <c r="D152" s="58">
        <v>2260529.1102399295</v>
      </c>
      <c r="E152" s="64">
        <v>3188916.740461972</v>
      </c>
      <c r="F152" s="44">
        <v>6304093.667785421</v>
      </c>
      <c r="G152" s="44">
        <v>3714441.337265419</v>
      </c>
      <c r="H152" s="44">
        <v>0</v>
      </c>
      <c r="I152" s="44">
        <v>0</v>
      </c>
    </row>
    <row r="153" spans="1:9" ht="15">
      <c r="A153" s="43" t="str">
        <f>HLOOKUP(INDICE!$F$2,Nombres!$C$3:$D$636,61,FALSE)</f>
        <v>Deposits from customers</v>
      </c>
      <c r="B153" s="58">
        <v>51483608.039330855</v>
      </c>
      <c r="C153" s="58">
        <v>54345099.195764795</v>
      </c>
      <c r="D153" s="58">
        <v>54138368.55568788</v>
      </c>
      <c r="E153" s="64">
        <v>57755549.36551548</v>
      </c>
      <c r="F153" s="44">
        <v>55952632.21146009</v>
      </c>
      <c r="G153" s="44">
        <v>65558627.87966287</v>
      </c>
      <c r="H153" s="44">
        <v>0</v>
      </c>
      <c r="I153" s="44">
        <v>0</v>
      </c>
    </row>
    <row r="154" spans="1:9" ht="15">
      <c r="A154" s="43" t="str">
        <f>HLOOKUP(INDICE!$F$2,Nombres!$C$3:$D$636,62,FALSE)</f>
        <v>Debt certificates</v>
      </c>
      <c r="B154" s="44">
        <v>3445013.0918054557</v>
      </c>
      <c r="C154" s="44">
        <v>3488102.760698742</v>
      </c>
      <c r="D154" s="44">
        <v>3609708.5747333057</v>
      </c>
      <c r="E154" s="45">
        <v>3722568.3359592305</v>
      </c>
      <c r="F154" s="44">
        <v>3653584.586303995</v>
      </c>
      <c r="G154" s="44">
        <v>3972900.1091882037</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Other liabilities</v>
      </c>
      <c r="B156" s="58">
        <f>+B150-B151-B152-B153-B154-B157</f>
        <v>3180451.470568632</v>
      </c>
      <c r="C156" s="58">
        <f aca="true" t="shared" si="26" ref="C156:I156">+C150-C151-C152-C153-C154-C157</f>
        <v>3306535.7392753474</v>
      </c>
      <c r="D156" s="58">
        <f t="shared" si="26"/>
        <v>3411275.4009424504</v>
      </c>
      <c r="E156" s="64">
        <f t="shared" si="26"/>
        <v>3302397.7531453315</v>
      </c>
      <c r="F156" s="44">
        <f t="shared" si="26"/>
        <v>2875139.6724264612</v>
      </c>
      <c r="G156" s="44">
        <f t="shared" si="26"/>
        <v>2176950.463177422</v>
      </c>
      <c r="H156" s="44">
        <f t="shared" si="26"/>
        <v>0</v>
      </c>
      <c r="I156" s="44">
        <f t="shared" si="26"/>
        <v>0</v>
      </c>
    </row>
    <row r="157" spans="1:9" ht="15.75" customHeight="1">
      <c r="A157" s="43" t="str">
        <f>HLOOKUP(INDICE!$F$2,Nombres!$C$3:$D$636,282,FALSE)</f>
        <v>Regulatory capital allocated</v>
      </c>
      <c r="B157" s="58">
        <v>6488248.5282724695</v>
      </c>
      <c r="C157" s="58">
        <v>6500691.857193885</v>
      </c>
      <c r="D157" s="58">
        <v>6711476.835253386</v>
      </c>
      <c r="E157" s="64">
        <v>7257248.2628208045</v>
      </c>
      <c r="F157" s="44">
        <v>7588686.046329954</v>
      </c>
      <c r="G157" s="44">
        <v>8620680.286913695</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8"/>
      <c r="G160" s="68"/>
      <c r="H160" s="68"/>
      <c r="I160" s="68"/>
    </row>
    <row r="161" spans="1:9" ht="15">
      <c r="A161" s="35" t="str">
        <f>HLOOKUP(INDICE!$F$2,Nombres!$C$3:$D$636,75,FALSE)</f>
        <v>(Million Colombian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52740309.599485286</v>
      </c>
      <c r="C163" s="44">
        <v>53935958.19001965</v>
      </c>
      <c r="D163" s="44">
        <v>55442453.036314204</v>
      </c>
      <c r="E163" s="45">
        <v>58764018.0561954</v>
      </c>
      <c r="F163" s="44">
        <v>61560886.212334245</v>
      </c>
      <c r="G163" s="44">
        <v>65547890.5605151</v>
      </c>
      <c r="H163" s="44">
        <v>0</v>
      </c>
      <c r="I163" s="44">
        <v>0</v>
      </c>
    </row>
    <row r="164" spans="1:9" ht="15">
      <c r="A164" s="43" t="str">
        <f>HLOOKUP(INDICE!$F$2,Nombres!$C$3:$D$636,67,FALSE)</f>
        <v>Customer deposits under management (*)</v>
      </c>
      <c r="B164" s="44">
        <v>51482243.47168362</v>
      </c>
      <c r="C164" s="44">
        <v>54273582.1714105</v>
      </c>
      <c r="D164" s="44">
        <v>54041023.67755364</v>
      </c>
      <c r="E164" s="45">
        <v>57777210.21995637</v>
      </c>
      <c r="F164" s="44">
        <v>55979830.953652136</v>
      </c>
      <c r="G164" s="44">
        <v>65556268.61044855</v>
      </c>
      <c r="H164" s="44">
        <v>0</v>
      </c>
      <c r="I164" s="44">
        <v>0</v>
      </c>
    </row>
    <row r="165" spans="1:9" ht="15">
      <c r="A165" s="43" t="str">
        <f>HLOOKUP(INDICE!$F$2,Nombres!$C$3:$D$636,68,FALSE)</f>
        <v>Investment funds and managed portfolios</v>
      </c>
      <c r="B165" s="44">
        <v>6214459.843579048</v>
      </c>
      <c r="C165" s="44">
        <v>5762616.428429238</v>
      </c>
      <c r="D165" s="44">
        <v>6049122.536908397</v>
      </c>
      <c r="E165" s="45">
        <v>10711241.650299674</v>
      </c>
      <c r="F165" s="44">
        <v>10704117.431983523</v>
      </c>
      <c r="G165" s="44">
        <v>9899569.921375781</v>
      </c>
      <c r="H165" s="44">
        <v>0</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15" ht="15">
      <c r="A167" s="43" t="str">
        <f>HLOOKUP(INDICE!$F$2,Nombres!$C$3:$D$636,70,FALSE)</f>
        <v>Other off balance-sheet funds</v>
      </c>
      <c r="B167" s="44">
        <v>0</v>
      </c>
      <c r="C167" s="44">
        <v>0</v>
      </c>
      <c r="D167" s="44">
        <v>0</v>
      </c>
      <c r="E167" s="45">
        <v>0</v>
      </c>
      <c r="F167" s="44">
        <v>0</v>
      </c>
      <c r="G167" s="44">
        <v>0</v>
      </c>
      <c r="H167" s="44">
        <v>0</v>
      </c>
      <c r="I167" s="44">
        <v>0</v>
      </c>
      <c r="N167" s="73"/>
      <c r="O167" s="73"/>
    </row>
    <row r="168" spans="1:15" ht="15">
      <c r="A168" s="62" t="str">
        <f>HLOOKUP(INDICE!$F$2,Nombres!$C$3:$D$636,71,FALSE)</f>
        <v>(*) Excluding repos. </v>
      </c>
      <c r="B168" s="58"/>
      <c r="C168" s="58"/>
      <c r="D168" s="58"/>
      <c r="E168" s="58"/>
      <c r="F168" s="44"/>
      <c r="G168" s="44"/>
      <c r="H168" s="44"/>
      <c r="I168" s="44"/>
      <c r="N168" s="73"/>
      <c r="O168" s="73"/>
    </row>
    <row r="169" spans="1:15" ht="15">
      <c r="A169" s="62">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82" t="str">
        <f>HLOOKUP(INDICE!$F$2,Nombres!$C$3:$D$636,17,FALSE)</f>
        <v>Peru</v>
      </c>
      <c r="B1" s="30"/>
      <c r="C1" s="30"/>
      <c r="D1" s="30"/>
      <c r="E1" s="30"/>
      <c r="F1" s="30"/>
      <c r="G1" s="30"/>
      <c r="H1" s="30"/>
      <c r="I1" s="30"/>
    </row>
    <row r="2" spans="1:9" ht="19.5">
      <c r="A2" s="32"/>
      <c r="B2" s="30"/>
      <c r="C2" s="30"/>
      <c r="D2" s="30"/>
      <c r="E2" s="30"/>
      <c r="F2" s="30"/>
      <c r="G2" s="30"/>
      <c r="H2" s="30"/>
      <c r="I2" s="30"/>
    </row>
    <row r="3" spans="1:9" ht="18">
      <c r="A3" s="92" t="str">
        <f>HLOOKUP(INDICE!$F$2,Nombres!$C$3:$D$636,31,FALSE)</f>
        <v>Income statement  </v>
      </c>
      <c r="B3" s="34"/>
      <c r="C3" s="34"/>
      <c r="D3" s="34"/>
      <c r="E3" s="34"/>
      <c r="F3" s="34"/>
      <c r="G3" s="34"/>
      <c r="H3" s="34"/>
      <c r="I3" s="34"/>
    </row>
    <row r="4" spans="1:9" ht="15">
      <c r="A4" s="83"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1Q</v>
      </c>
      <c r="C7" s="84" t="str">
        <f>+España!C7</f>
        <v>2Q</v>
      </c>
      <c r="D7" s="84" t="str">
        <f>+España!D7</f>
        <v>3Q</v>
      </c>
      <c r="E7" s="85" t="str">
        <f>+España!E7</f>
        <v>4Q</v>
      </c>
      <c r="F7" s="84" t="str">
        <f>+España!F7</f>
        <v>1Q</v>
      </c>
      <c r="G7" s="84" t="str">
        <f>+España!G7</f>
        <v>2Q</v>
      </c>
      <c r="H7" s="84" t="str">
        <f>+España!H7</f>
        <v>3Q</v>
      </c>
      <c r="I7" s="84" t="str">
        <f>+España!I7</f>
        <v>4Q</v>
      </c>
    </row>
    <row r="8" spans="1:15" ht="15">
      <c r="A8" s="41" t="str">
        <f>HLOOKUP(INDICE!$F$2,Nombres!$C$3:$D$636,33,FALSE)</f>
        <v>Net interest income</v>
      </c>
      <c r="B8" s="41">
        <v>182.101</v>
      </c>
      <c r="C8" s="41">
        <v>177.758</v>
      </c>
      <c r="D8" s="41">
        <v>192.64100000000005</v>
      </c>
      <c r="E8" s="42">
        <v>208.13799999999998</v>
      </c>
      <c r="F8" s="50">
        <v>218.20399999999995</v>
      </c>
      <c r="G8" s="50">
        <v>262.255</v>
      </c>
      <c r="H8" s="241">
        <v>0</v>
      </c>
      <c r="I8" s="241">
        <v>0</v>
      </c>
      <c r="J8" s="86"/>
      <c r="K8" s="86"/>
      <c r="L8" s="86"/>
      <c r="M8" s="86"/>
      <c r="N8" s="86"/>
      <c r="O8" s="86"/>
    </row>
    <row r="9" spans="1:9" ht="15">
      <c r="A9" s="87" t="str">
        <f>HLOOKUP(INDICE!$F$2,Nombres!$C$3:$D$636,34,FALSE)</f>
        <v>Net fees and commissions</v>
      </c>
      <c r="B9" s="44">
        <v>54.90512817</v>
      </c>
      <c r="C9" s="44">
        <v>59.07316048999999</v>
      </c>
      <c r="D9" s="44">
        <v>58.71583201999999</v>
      </c>
      <c r="E9" s="45">
        <v>58.1263661</v>
      </c>
      <c r="F9" s="44">
        <v>63.51501187999999</v>
      </c>
      <c r="G9" s="44">
        <v>75.50539903</v>
      </c>
      <c r="H9" s="44">
        <v>0</v>
      </c>
      <c r="I9" s="44">
        <v>0</v>
      </c>
    </row>
    <row r="10" spans="1:9" ht="15">
      <c r="A10" s="87" t="str">
        <f>HLOOKUP(INDICE!$F$2,Nombres!$C$3:$D$636,35,FALSE)</f>
        <v>Net trading income</v>
      </c>
      <c r="B10" s="44">
        <v>33.87019303999999</v>
      </c>
      <c r="C10" s="44">
        <v>55.55867029999999</v>
      </c>
      <c r="D10" s="44">
        <v>22.65121704000002</v>
      </c>
      <c r="E10" s="45">
        <v>29.103929020000006</v>
      </c>
      <c r="F10" s="44">
        <v>33.20376918000001</v>
      </c>
      <c r="G10" s="44">
        <v>41.37323429</v>
      </c>
      <c r="H10" s="44">
        <v>0</v>
      </c>
      <c r="I10" s="44">
        <v>0</v>
      </c>
    </row>
    <row r="11" spans="1:9" ht="15">
      <c r="A11" s="87" t="str">
        <f>HLOOKUP(INDICE!$F$2,Nombres!$C$3:$D$636,36,FALSE)</f>
        <v>Other operating income and expenses</v>
      </c>
      <c r="B11" s="44">
        <v>-8.507</v>
      </c>
      <c r="C11" s="44">
        <v>-10.249000000000002</v>
      </c>
      <c r="D11" s="44">
        <v>-8.525999999999998</v>
      </c>
      <c r="E11" s="45">
        <v>-7.714000000000003</v>
      </c>
      <c r="F11" s="44">
        <v>-8.483000000000002</v>
      </c>
      <c r="G11" s="44">
        <v>-8.852</v>
      </c>
      <c r="H11" s="44">
        <v>0</v>
      </c>
      <c r="I11" s="44">
        <v>0</v>
      </c>
    </row>
    <row r="12" spans="1:9" ht="15">
      <c r="A12" s="41" t="str">
        <f>HLOOKUP(INDICE!$F$2,Nombres!$C$3:$D$636,37,FALSE)</f>
        <v>Gross income</v>
      </c>
      <c r="B12" s="41">
        <f aca="true" t="shared" si="0" ref="B12:I12">+SUM(B8:B11)</f>
        <v>262.36932121</v>
      </c>
      <c r="C12" s="41">
        <f t="shared" si="0"/>
        <v>282.14083079</v>
      </c>
      <c r="D12" s="41">
        <f t="shared" si="0"/>
        <v>265.48204906000007</v>
      </c>
      <c r="E12" s="42">
        <f t="shared" si="0"/>
        <v>287.65429512</v>
      </c>
      <c r="F12" s="50">
        <f t="shared" si="0"/>
        <v>306.4397810599999</v>
      </c>
      <c r="G12" s="50">
        <f t="shared" si="0"/>
        <v>370.2816333200001</v>
      </c>
      <c r="H12" s="50">
        <f t="shared" si="0"/>
        <v>0</v>
      </c>
      <c r="I12" s="50">
        <f t="shared" si="0"/>
        <v>0</v>
      </c>
    </row>
    <row r="13" spans="1:9" ht="15">
      <c r="A13" s="87" t="str">
        <f>HLOOKUP(INDICE!$F$2,Nombres!$C$3:$D$636,38,FALSE)</f>
        <v>Operating expenses</v>
      </c>
      <c r="B13" s="44">
        <v>-102.38831486000001</v>
      </c>
      <c r="C13" s="44">
        <v>-102.50110823</v>
      </c>
      <c r="D13" s="44">
        <v>-101.13769025</v>
      </c>
      <c r="E13" s="45">
        <v>-112.82812424999999</v>
      </c>
      <c r="F13" s="44">
        <v>-119.00970702000001</v>
      </c>
      <c r="G13" s="44">
        <v>-130.94358369</v>
      </c>
      <c r="H13" s="44">
        <v>0</v>
      </c>
      <c r="I13" s="44">
        <v>0</v>
      </c>
    </row>
    <row r="14" spans="1:9" ht="15">
      <c r="A14" s="87" t="str">
        <f>HLOOKUP(INDICE!$F$2,Nombres!$C$3:$D$636,39,FALSE)</f>
        <v>  Administration expenses</v>
      </c>
      <c r="B14" s="44">
        <v>-87.45931486</v>
      </c>
      <c r="C14" s="44">
        <v>-88.41310822999998</v>
      </c>
      <c r="D14" s="44">
        <v>-87.67369025</v>
      </c>
      <c r="E14" s="45">
        <v>-99.13412424999996</v>
      </c>
      <c r="F14" s="44">
        <v>-102.51670702000001</v>
      </c>
      <c r="G14" s="44">
        <v>-113.09858369</v>
      </c>
      <c r="H14" s="44">
        <v>0</v>
      </c>
      <c r="I14" s="44">
        <v>0</v>
      </c>
    </row>
    <row r="15" spans="1:9" ht="15">
      <c r="A15" s="88" t="str">
        <f>HLOOKUP(INDICE!$F$2,Nombres!$C$3:$D$636,40,FALSE)</f>
        <v>  Personnel expenses</v>
      </c>
      <c r="B15" s="44">
        <v>-47.685</v>
      </c>
      <c r="C15" s="44">
        <v>-47.566</v>
      </c>
      <c r="D15" s="44">
        <v>-48.599000000000004</v>
      </c>
      <c r="E15" s="45">
        <v>-58.57062599999999</v>
      </c>
      <c r="F15" s="44">
        <v>-53.595</v>
      </c>
      <c r="G15" s="44">
        <v>-59.07700000000001</v>
      </c>
      <c r="H15" s="44">
        <v>0</v>
      </c>
      <c r="I15" s="44">
        <v>0</v>
      </c>
    </row>
    <row r="16" spans="1:9" ht="15">
      <c r="A16" s="88" t="str">
        <f>HLOOKUP(INDICE!$F$2,Nombres!$C$3:$D$636,41,FALSE)</f>
        <v>  General and administrative expenses</v>
      </c>
      <c r="B16" s="44">
        <v>-39.774314860000004</v>
      </c>
      <c r="C16" s="44">
        <v>-40.847108229999996</v>
      </c>
      <c r="D16" s="44">
        <v>-39.07469025000001</v>
      </c>
      <c r="E16" s="45">
        <v>-40.56349824999997</v>
      </c>
      <c r="F16" s="44">
        <v>-48.92170701999999</v>
      </c>
      <c r="G16" s="44">
        <v>-54.021583690000014</v>
      </c>
      <c r="H16" s="44">
        <v>0</v>
      </c>
      <c r="I16" s="44">
        <v>0</v>
      </c>
    </row>
    <row r="17" spans="1:9" ht="15">
      <c r="A17" s="87" t="str">
        <f>HLOOKUP(INDICE!$F$2,Nombres!$C$3:$D$636,42,FALSE)</f>
        <v>  Depreciation</v>
      </c>
      <c r="B17" s="44">
        <v>-14.929</v>
      </c>
      <c r="C17" s="44">
        <v>-14.088</v>
      </c>
      <c r="D17" s="44">
        <v>-13.463999999999999</v>
      </c>
      <c r="E17" s="45">
        <v>-13.694000000000003</v>
      </c>
      <c r="F17" s="44">
        <v>-16.493000000000002</v>
      </c>
      <c r="G17" s="44">
        <v>-17.845</v>
      </c>
      <c r="H17" s="44">
        <v>0</v>
      </c>
      <c r="I17" s="44">
        <v>0</v>
      </c>
    </row>
    <row r="18" spans="1:9" ht="15">
      <c r="A18" s="41" t="str">
        <f>HLOOKUP(INDICE!$F$2,Nombres!$C$3:$D$636,43,FALSE)</f>
        <v>Operating income</v>
      </c>
      <c r="B18" s="41">
        <f aca="true" t="shared" si="1" ref="B18:I18">+B12+B13</f>
        <v>159.98100635</v>
      </c>
      <c r="C18" s="41">
        <f t="shared" si="1"/>
        <v>179.63972256</v>
      </c>
      <c r="D18" s="41">
        <f t="shared" si="1"/>
        <v>164.34435881000007</v>
      </c>
      <c r="E18" s="42">
        <f t="shared" si="1"/>
        <v>174.82617087</v>
      </c>
      <c r="F18" s="50">
        <f t="shared" si="1"/>
        <v>187.4300740399999</v>
      </c>
      <c r="G18" s="50">
        <f t="shared" si="1"/>
        <v>239.33804963000009</v>
      </c>
      <c r="H18" s="50">
        <f t="shared" si="1"/>
        <v>0</v>
      </c>
      <c r="I18" s="50">
        <f t="shared" si="1"/>
        <v>0</v>
      </c>
    </row>
    <row r="19" spans="1:9" ht="15">
      <c r="A19" s="87" t="str">
        <f>HLOOKUP(INDICE!$F$2,Nombres!$C$3:$D$636,44,FALSE)</f>
        <v>Impaiment on financial assets not measured at fair value through profit or loss</v>
      </c>
      <c r="B19" s="44">
        <v>-66.37799999999997</v>
      </c>
      <c r="C19" s="44">
        <v>-81.15900000000002</v>
      </c>
      <c r="D19" s="44">
        <v>-72.707</v>
      </c>
      <c r="E19" s="45">
        <v>-34.973</v>
      </c>
      <c r="F19" s="44">
        <v>-30.826999999999998</v>
      </c>
      <c r="G19" s="44">
        <v>-43.44600000000002</v>
      </c>
      <c r="H19" s="44">
        <v>0</v>
      </c>
      <c r="I19" s="44">
        <v>0</v>
      </c>
    </row>
    <row r="20" spans="1:9" ht="15">
      <c r="A20" s="87" t="str">
        <f>HLOOKUP(INDICE!$F$2,Nombres!$C$3:$D$636,45,FALSE)</f>
        <v>Provisions or reversal of provisions and other results</v>
      </c>
      <c r="B20" s="44">
        <v>-6.544999999999999</v>
      </c>
      <c r="C20" s="44">
        <v>-12.276</v>
      </c>
      <c r="D20" s="44">
        <v>-14.729</v>
      </c>
      <c r="E20" s="45">
        <v>-9.948000000000008</v>
      </c>
      <c r="F20" s="44">
        <v>-9.047</v>
      </c>
      <c r="G20" s="44">
        <v>-8.422999999999977</v>
      </c>
      <c r="H20" s="44">
        <v>0</v>
      </c>
      <c r="I20" s="44">
        <v>0</v>
      </c>
    </row>
    <row r="21" spans="1:9" ht="15">
      <c r="A21" s="89" t="str">
        <f>HLOOKUP(INDICE!$F$2,Nombres!$C$3:$D$636,46,FALSE)</f>
        <v>Profit/(loss) before tax</v>
      </c>
      <c r="B21" s="41">
        <f aca="true" t="shared" si="2" ref="B21:I21">+B18+B19+B20</f>
        <v>87.05800635000003</v>
      </c>
      <c r="C21" s="41">
        <f t="shared" si="2"/>
        <v>86.20472255999998</v>
      </c>
      <c r="D21" s="41">
        <f t="shared" si="2"/>
        <v>76.90835881000008</v>
      </c>
      <c r="E21" s="42">
        <f t="shared" si="2"/>
        <v>129.90517086999998</v>
      </c>
      <c r="F21" s="50">
        <f t="shared" si="2"/>
        <v>147.5560740399999</v>
      </c>
      <c r="G21" s="50">
        <f t="shared" si="2"/>
        <v>187.4690496300001</v>
      </c>
      <c r="H21" s="50">
        <f t="shared" si="2"/>
        <v>0</v>
      </c>
      <c r="I21" s="50">
        <f t="shared" si="2"/>
        <v>0</v>
      </c>
    </row>
    <row r="22" spans="1:9" ht="15">
      <c r="A22" s="43" t="str">
        <f>HLOOKUP(INDICE!$F$2,Nombres!$C$3:$D$636,47,FALSE)</f>
        <v>Income tax</v>
      </c>
      <c r="B22" s="44">
        <v>-26.959631610000002</v>
      </c>
      <c r="C22" s="44">
        <v>-29.657473080000003</v>
      </c>
      <c r="D22" s="44">
        <v>-25.605789299999998</v>
      </c>
      <c r="E22" s="45">
        <v>-36.37013999</v>
      </c>
      <c r="F22" s="44">
        <v>-37.16825010000001</v>
      </c>
      <c r="G22" s="44">
        <v>-50.69169471</v>
      </c>
      <c r="H22" s="44">
        <v>0</v>
      </c>
      <c r="I22" s="44">
        <v>0</v>
      </c>
    </row>
    <row r="23" spans="1:9" ht="15">
      <c r="A23" s="89" t="str">
        <f>HLOOKUP(INDICE!$F$2,Nombres!$C$3:$D$636,48,FALSE)</f>
        <v>Profit/(loss) for the year</v>
      </c>
      <c r="B23" s="41">
        <f aca="true" t="shared" si="3" ref="B23:I23">+B21+B22</f>
        <v>60.098374740000025</v>
      </c>
      <c r="C23" s="41">
        <f t="shared" si="3"/>
        <v>56.54724947999998</v>
      </c>
      <c r="D23" s="41">
        <f t="shared" si="3"/>
        <v>51.30256951000008</v>
      </c>
      <c r="E23" s="42">
        <f t="shared" si="3"/>
        <v>93.53503087999998</v>
      </c>
      <c r="F23" s="50">
        <f t="shared" si="3"/>
        <v>110.3878239399999</v>
      </c>
      <c r="G23" s="50">
        <f t="shared" si="3"/>
        <v>136.77735492000008</v>
      </c>
      <c r="H23" s="50">
        <f t="shared" si="3"/>
        <v>0</v>
      </c>
      <c r="I23" s="50">
        <f t="shared" si="3"/>
        <v>0</v>
      </c>
    </row>
    <row r="24" spans="1:9" ht="15">
      <c r="A24" s="87" t="str">
        <f>HLOOKUP(INDICE!$F$2,Nombres!$C$3:$D$636,49,FALSE)</f>
        <v>Non-controlling interests</v>
      </c>
      <c r="B24" s="44">
        <v>-33.19100227</v>
      </c>
      <c r="C24" s="44">
        <v>-30.662351949999998</v>
      </c>
      <c r="D24" s="44">
        <v>-28.361814059999997</v>
      </c>
      <c r="E24" s="45">
        <v>-51.32902664000001</v>
      </c>
      <c r="F24" s="44">
        <v>-59.35333915</v>
      </c>
      <c r="G24" s="44">
        <v>-70.39765243000001</v>
      </c>
      <c r="H24" s="44">
        <v>0</v>
      </c>
      <c r="I24" s="44">
        <v>0</v>
      </c>
    </row>
    <row r="25" spans="1:9" ht="15">
      <c r="A25" s="90" t="str">
        <f>HLOOKUP(INDICE!$F$2,Nombres!$C$3:$D$636,50,FALSE)</f>
        <v>Net attributable profit</v>
      </c>
      <c r="B25" s="47">
        <f aca="true" t="shared" si="4" ref="B25:I25">+B23+B24</f>
        <v>26.907372470000027</v>
      </c>
      <c r="C25" s="47">
        <f t="shared" si="4"/>
        <v>25.88489752999998</v>
      </c>
      <c r="D25" s="47">
        <f t="shared" si="4"/>
        <v>22.940755450000086</v>
      </c>
      <c r="E25" s="47">
        <f t="shared" si="4"/>
        <v>42.20600423999997</v>
      </c>
      <c r="F25" s="51">
        <f t="shared" si="4"/>
        <v>51.03448478999991</v>
      </c>
      <c r="G25" s="51">
        <f t="shared" si="4"/>
        <v>66.37970249000007</v>
      </c>
      <c r="H25" s="51">
        <f t="shared" si="4"/>
        <v>0</v>
      </c>
      <c r="I25" s="51">
        <f t="shared" si="4"/>
        <v>0</v>
      </c>
    </row>
    <row r="26" spans="1:9" ht="15">
      <c r="A26" s="91"/>
      <c r="B26" s="63">
        <v>0</v>
      </c>
      <c r="C26" s="63">
        <v>0</v>
      </c>
      <c r="D26" s="63">
        <v>4.618527782440651E-14</v>
      </c>
      <c r="E26" s="63">
        <v>0</v>
      </c>
      <c r="F26" s="63">
        <v>-9.947598300641403E-14</v>
      </c>
      <c r="G26" s="63">
        <v>0</v>
      </c>
      <c r="H26" s="63">
        <v>0</v>
      </c>
      <c r="I26" s="63">
        <v>0</v>
      </c>
    </row>
    <row r="27" spans="1:9" ht="15">
      <c r="A27" s="89"/>
      <c r="B27" s="41"/>
      <c r="C27" s="41"/>
      <c r="D27" s="41"/>
      <c r="E27" s="41"/>
      <c r="F27" s="41"/>
      <c r="G27" s="41"/>
      <c r="H27" s="41"/>
      <c r="I27" s="41"/>
    </row>
    <row r="28" spans="1:9" ht="18">
      <c r="A28" s="92" t="str">
        <f>HLOOKUP(INDICE!$F$2,Nombres!$C$3:$D$636,51,FALSE)</f>
        <v>Balance sheets</v>
      </c>
      <c r="B28" s="34"/>
      <c r="C28" s="34"/>
      <c r="D28" s="34"/>
      <c r="E28" s="34"/>
      <c r="F28" s="34"/>
      <c r="G28" s="34"/>
      <c r="H28" s="34"/>
      <c r="I28" s="34"/>
    </row>
    <row r="29" spans="1:9" ht="15">
      <c r="A29" s="83"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Cash, cash balances at central banks and other demand deposits</v>
      </c>
      <c r="B31" s="44">
        <v>3055.0239999999994</v>
      </c>
      <c r="C31" s="44">
        <v>2519.9790000000003</v>
      </c>
      <c r="D31" s="44">
        <v>3426.904</v>
      </c>
      <c r="E31" s="45">
        <v>3290.2690000000002</v>
      </c>
      <c r="F31" s="44">
        <v>3470.1679999999997</v>
      </c>
      <c r="G31" s="44">
        <v>3729.0200000000004</v>
      </c>
      <c r="H31" s="44">
        <v>0</v>
      </c>
      <c r="I31" s="44">
        <v>0</v>
      </c>
    </row>
    <row r="32" spans="1:9" ht="15">
      <c r="A32" s="87" t="str">
        <f>HLOOKUP(INDICE!$F$2,Nombres!$C$3:$D$636,53,FALSE)</f>
        <v>Financial assets designated at fair value </v>
      </c>
      <c r="B32" s="58">
        <v>2774.0229999999997</v>
      </c>
      <c r="C32" s="58">
        <v>3046.906</v>
      </c>
      <c r="D32" s="58">
        <v>2781.4759999999997</v>
      </c>
      <c r="E32" s="64">
        <v>2548.754</v>
      </c>
      <c r="F32" s="44">
        <v>2913.6949999999997</v>
      </c>
      <c r="G32" s="44">
        <v>2986.973</v>
      </c>
      <c r="H32" s="44">
        <v>0</v>
      </c>
      <c r="I32" s="44">
        <v>0</v>
      </c>
    </row>
    <row r="33" spans="1:9" ht="15">
      <c r="A33" s="43" t="str">
        <f>HLOOKUP(INDICE!$F$2,Nombres!$C$3:$D$636,54,FALSE)</f>
        <v>Financial assets at amortized cost</v>
      </c>
      <c r="B33" s="44">
        <v>17518.131999999998</v>
      </c>
      <c r="C33" s="44">
        <v>16835.772999999997</v>
      </c>
      <c r="D33" s="44">
        <v>16144.789999999999</v>
      </c>
      <c r="E33" s="45">
        <v>16098.956</v>
      </c>
      <c r="F33" s="44">
        <v>17268.314000000002</v>
      </c>
      <c r="G33" s="44">
        <v>18041.945</v>
      </c>
      <c r="H33" s="44">
        <v>0</v>
      </c>
      <c r="I33" s="44">
        <v>0</v>
      </c>
    </row>
    <row r="34" spans="1:9" ht="15">
      <c r="A34" s="87" t="str">
        <f>HLOOKUP(INDICE!$F$2,Nombres!$C$3:$D$636,55,FALSE)</f>
        <v>    of which loans and advances to customers</v>
      </c>
      <c r="B34" s="44">
        <v>15276.72</v>
      </c>
      <c r="C34" s="44">
        <v>15395.269999999997</v>
      </c>
      <c r="D34" s="44">
        <v>14612.89</v>
      </c>
      <c r="E34" s="45">
        <v>15648.623000000003</v>
      </c>
      <c r="F34" s="44">
        <v>16947.196</v>
      </c>
      <c r="G34" s="44">
        <v>17677.086</v>
      </c>
      <c r="H34" s="44">
        <v>0</v>
      </c>
      <c r="I34" s="44">
        <v>0</v>
      </c>
    </row>
    <row r="35" spans="1:9" ht="15" hidden="1">
      <c r="A35" s="87"/>
      <c r="B35" s="44"/>
      <c r="C35" s="44"/>
      <c r="D35" s="44"/>
      <c r="E35" s="45"/>
      <c r="F35" s="44"/>
      <c r="G35" s="44"/>
      <c r="H35" s="44"/>
      <c r="I35" s="44"/>
    </row>
    <row r="36" spans="1:9" ht="15">
      <c r="A36" s="43" t="str">
        <f>HLOOKUP(INDICE!$F$2,Nombres!$C$3:$D$636,56,FALSE)</f>
        <v>Tangible assets</v>
      </c>
      <c r="B36" s="44">
        <v>262.35299999999995</v>
      </c>
      <c r="C36" s="44">
        <v>247.649</v>
      </c>
      <c r="D36" s="44">
        <v>239.67399999999998</v>
      </c>
      <c r="E36" s="45">
        <v>270.206</v>
      </c>
      <c r="F36" s="44">
        <v>288.717</v>
      </c>
      <c r="G36" s="44">
        <v>298.78</v>
      </c>
      <c r="H36" s="44">
        <v>0</v>
      </c>
      <c r="I36" s="44">
        <v>0</v>
      </c>
    </row>
    <row r="37" spans="1:9" ht="15">
      <c r="A37" s="87" t="str">
        <f>HLOOKUP(INDICE!$F$2,Nombres!$C$3:$D$636,57,FALSE)</f>
        <v>Other assets</v>
      </c>
      <c r="B37" s="58">
        <f aca="true" t="shared" si="5" ref="B37:I37">+B38-B36-B33-B32-B31</f>
        <v>362.5350000000067</v>
      </c>
      <c r="C37" s="58">
        <f t="shared" si="5"/>
        <v>352.3049318799949</v>
      </c>
      <c r="D37" s="58">
        <f t="shared" si="5"/>
        <v>354.51499999999896</v>
      </c>
      <c r="E37" s="64">
        <f t="shared" si="5"/>
        <v>405.79277088000435</v>
      </c>
      <c r="F37" s="44">
        <f t="shared" si="5"/>
        <v>443.0927348899986</v>
      </c>
      <c r="G37" s="44">
        <f t="shared" si="5"/>
        <v>470.6485883399964</v>
      </c>
      <c r="H37" s="44">
        <f t="shared" si="5"/>
        <v>0</v>
      </c>
      <c r="I37" s="44">
        <f t="shared" si="5"/>
        <v>0</v>
      </c>
    </row>
    <row r="38" spans="1:9" ht="15">
      <c r="A38" s="90" t="str">
        <f>HLOOKUP(INDICE!$F$2,Nombres!$C$3:$D$636,58,FALSE)</f>
        <v>Total assets / Liabilities and equity</v>
      </c>
      <c r="B38" s="47">
        <v>23972.067000000003</v>
      </c>
      <c r="C38" s="47">
        <v>23002.611931879994</v>
      </c>
      <c r="D38" s="47">
        <v>22947.358999999997</v>
      </c>
      <c r="E38" s="47">
        <v>22613.977770880003</v>
      </c>
      <c r="F38" s="51">
        <v>24383.98673489</v>
      </c>
      <c r="G38" s="51">
        <v>25527.366588339995</v>
      </c>
      <c r="H38" s="51">
        <v>0</v>
      </c>
      <c r="I38" s="51">
        <v>0</v>
      </c>
    </row>
    <row r="39" spans="1:9" ht="15">
      <c r="A39" s="87" t="str">
        <f>HLOOKUP(INDICE!$F$2,Nombres!$C$3:$D$636,59,FALSE)</f>
        <v>Financial liabilities held for trading and designated at fair value through profit or loss</v>
      </c>
      <c r="B39" s="58">
        <v>265.115</v>
      </c>
      <c r="C39" s="58">
        <v>374.055</v>
      </c>
      <c r="D39" s="58">
        <v>513.88</v>
      </c>
      <c r="E39" s="64">
        <v>354.679</v>
      </c>
      <c r="F39" s="44">
        <v>421.15200000000004</v>
      </c>
      <c r="G39" s="44">
        <v>410.173</v>
      </c>
      <c r="H39" s="44">
        <v>0</v>
      </c>
      <c r="I39" s="44">
        <v>0</v>
      </c>
    </row>
    <row r="40" spans="1:9" ht="15.75" customHeight="1">
      <c r="A40" s="87" t="str">
        <f>HLOOKUP(INDICE!$F$2,Nombres!$C$3:$D$636,60,FALSE)</f>
        <v>Deposits from central banks and credit institutions</v>
      </c>
      <c r="B40" s="58">
        <v>4194.721</v>
      </c>
      <c r="C40" s="58">
        <v>4325.62</v>
      </c>
      <c r="D40" s="58">
        <v>4183.368</v>
      </c>
      <c r="E40" s="64">
        <v>4130.728</v>
      </c>
      <c r="F40" s="44">
        <v>4168.018</v>
      </c>
      <c r="G40" s="44">
        <v>4008.562</v>
      </c>
      <c r="H40" s="44">
        <v>0</v>
      </c>
      <c r="I40" s="44">
        <v>0</v>
      </c>
    </row>
    <row r="41" spans="1:9" ht="15">
      <c r="A41" s="87" t="str">
        <f>HLOOKUP(INDICE!$F$2,Nombres!$C$3:$D$636,61,FALSE)</f>
        <v>Deposits from customers</v>
      </c>
      <c r="B41" s="58">
        <v>15191.590000000002</v>
      </c>
      <c r="C41" s="58">
        <v>14250.752</v>
      </c>
      <c r="D41" s="58">
        <v>14239.42</v>
      </c>
      <c r="E41" s="64">
        <v>13945.919</v>
      </c>
      <c r="F41" s="44">
        <v>14966.210000000001</v>
      </c>
      <c r="G41" s="44">
        <v>16149.865000000002</v>
      </c>
      <c r="H41" s="44">
        <v>0</v>
      </c>
      <c r="I41" s="44">
        <v>0</v>
      </c>
    </row>
    <row r="42" spans="1:9" ht="15">
      <c r="A42" s="43" t="str">
        <f>HLOOKUP(INDICE!$F$2,Nombres!$C$3:$D$636,62,FALSE)</f>
        <v>Debt certificates</v>
      </c>
      <c r="B42" s="44">
        <v>1330.2121669000003</v>
      </c>
      <c r="C42" s="44">
        <v>1252.4018942</v>
      </c>
      <c r="D42" s="44">
        <v>1261.7598223500001</v>
      </c>
      <c r="E42" s="45">
        <v>1331.59579592</v>
      </c>
      <c r="F42" s="44">
        <v>1371.86706993</v>
      </c>
      <c r="G42" s="44">
        <v>1657.98805191</v>
      </c>
      <c r="H42" s="44">
        <v>0</v>
      </c>
      <c r="I42" s="44">
        <v>0</v>
      </c>
    </row>
    <row r="43" spans="1:9" ht="15" hidden="1">
      <c r="A43" s="43"/>
      <c r="B43" s="44"/>
      <c r="C43" s="44"/>
      <c r="D43" s="44"/>
      <c r="E43" s="45"/>
      <c r="F43" s="44"/>
      <c r="G43" s="44"/>
      <c r="H43" s="44"/>
      <c r="I43" s="44"/>
    </row>
    <row r="44" spans="1:9" ht="15">
      <c r="A44" s="87" t="str">
        <f>HLOOKUP(INDICE!$F$2,Nombres!$C$3:$D$636,63,FALSE)</f>
        <v>Other liabilities</v>
      </c>
      <c r="B44" s="58">
        <f aca="true" t="shared" si="6" ref="B44:I44">+B38-B39-B40-B41-B42-B45</f>
        <v>1075.1838846899977</v>
      </c>
      <c r="C44" s="58">
        <f t="shared" si="6"/>
        <v>936.8081084299938</v>
      </c>
      <c r="D44" s="58">
        <f t="shared" si="6"/>
        <v>861.282845539997</v>
      </c>
      <c r="E44" s="64">
        <f t="shared" si="6"/>
        <v>766.9513349600038</v>
      </c>
      <c r="F44" s="44">
        <f t="shared" si="6"/>
        <v>1103.4058635199976</v>
      </c>
      <c r="G44" s="44">
        <f t="shared" si="6"/>
        <v>826.3090805699935</v>
      </c>
      <c r="H44" s="44">
        <f t="shared" si="6"/>
        <v>0</v>
      </c>
      <c r="I44" s="44">
        <f t="shared" si="6"/>
        <v>0</v>
      </c>
    </row>
    <row r="45" spans="1:9" ht="15">
      <c r="A45" s="43" t="str">
        <f>HLOOKUP(INDICE!$F$2,Nombres!$C$3:$D$636,282,FALSE)</f>
        <v>Regulatory capital allocated</v>
      </c>
      <c r="B45" s="58">
        <v>1915.2449484099998</v>
      </c>
      <c r="C45" s="58">
        <v>1862.97492925</v>
      </c>
      <c r="D45" s="58">
        <v>1887.6483321100002</v>
      </c>
      <c r="E45" s="64">
        <v>2084.10464</v>
      </c>
      <c r="F45" s="44">
        <v>2353.33380144</v>
      </c>
      <c r="G45" s="44">
        <v>2474.46945586</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Relevant business indicators</v>
      </c>
      <c r="B48" s="34"/>
      <c r="C48" s="34"/>
      <c r="D48" s="34"/>
      <c r="E48" s="34"/>
      <c r="F48" s="68"/>
      <c r="G48" s="68"/>
      <c r="H48" s="68"/>
      <c r="I48" s="68"/>
    </row>
    <row r="49" spans="1:9" ht="15">
      <c r="A49" s="83"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Loans and advances to customers (gross) (*)</v>
      </c>
      <c r="B51" s="44">
        <v>16203.4205379</v>
      </c>
      <c r="C51" s="44">
        <v>16301.067692819997</v>
      </c>
      <c r="D51" s="44">
        <v>15449.167464920003</v>
      </c>
      <c r="E51" s="45">
        <v>16450.41984845</v>
      </c>
      <c r="F51" s="44">
        <v>17801.57115025</v>
      </c>
      <c r="G51" s="44">
        <v>18596.378356939997</v>
      </c>
      <c r="H51" s="44">
        <v>0</v>
      </c>
      <c r="I51" s="44">
        <v>0</v>
      </c>
    </row>
    <row r="52" spans="1:9" ht="15">
      <c r="A52" s="87" t="str">
        <f>HLOOKUP(INDICE!$F$2,Nombres!$C$3:$D$636,67,FALSE)</f>
        <v>Customer deposits under management (*)</v>
      </c>
      <c r="B52" s="44">
        <v>15191.590106359998</v>
      </c>
      <c r="C52" s="44">
        <v>14250.75032512</v>
      </c>
      <c r="D52" s="44">
        <v>14239.41983855</v>
      </c>
      <c r="E52" s="45">
        <v>13945.907744039998</v>
      </c>
      <c r="F52" s="44">
        <v>14961.13244227</v>
      </c>
      <c r="G52" s="44">
        <v>16146.37809049</v>
      </c>
      <c r="H52" s="44">
        <v>0</v>
      </c>
      <c r="I52" s="44">
        <v>0</v>
      </c>
    </row>
    <row r="53" spans="1:9" ht="15">
      <c r="A53" s="43" t="str">
        <f>HLOOKUP(INDICE!$F$2,Nombres!$C$3:$D$636,68,FALSE)</f>
        <v>Investment funds and managed portfolios</v>
      </c>
      <c r="B53" s="44">
        <v>2426.3901238900003</v>
      </c>
      <c r="C53" s="44">
        <v>2012.74475383</v>
      </c>
      <c r="D53" s="44">
        <v>1650.81825037</v>
      </c>
      <c r="E53" s="45">
        <v>1633.0466088100002</v>
      </c>
      <c r="F53" s="44">
        <v>1538.61888526</v>
      </c>
      <c r="G53" s="44">
        <v>1445.36195754</v>
      </c>
      <c r="H53" s="44">
        <v>0</v>
      </c>
      <c r="I53" s="44">
        <v>0</v>
      </c>
    </row>
    <row r="54" spans="1:9" ht="15">
      <c r="A54" s="87" t="str">
        <f>HLOOKUP(INDICE!$F$2,Nombres!$C$3:$D$636,69,FALSE)</f>
        <v>Pension funds</v>
      </c>
      <c r="B54" s="44">
        <v>0</v>
      </c>
      <c r="C54" s="44">
        <v>0</v>
      </c>
      <c r="D54" s="44">
        <v>0</v>
      </c>
      <c r="E54" s="45">
        <v>0</v>
      </c>
      <c r="F54" s="44">
        <v>0</v>
      </c>
      <c r="G54" s="44">
        <v>0</v>
      </c>
      <c r="H54" s="44">
        <v>0</v>
      </c>
      <c r="I54" s="44">
        <v>0</v>
      </c>
    </row>
    <row r="55" spans="1:9" ht="15">
      <c r="A55" s="87" t="str">
        <f>HLOOKUP(INDICE!$F$2,Nombres!$C$3:$D$636,70,FALSE)</f>
        <v>Other off balance-sheet funds</v>
      </c>
      <c r="B55" s="44">
        <v>0</v>
      </c>
      <c r="C55" s="44">
        <v>0</v>
      </c>
      <c r="D55" s="44">
        <v>0</v>
      </c>
      <c r="E55" s="45">
        <v>0</v>
      </c>
      <c r="F55" s="44">
        <v>0</v>
      </c>
      <c r="G55" s="44">
        <v>0</v>
      </c>
      <c r="H55" s="44">
        <v>0</v>
      </c>
      <c r="I55" s="44">
        <v>0</v>
      </c>
    </row>
    <row r="56" spans="1:9" ht="15">
      <c r="A56" s="91" t="str">
        <f>HLOOKUP(INDICE!$F$2,Nombres!$C$3:$D$636,71,FALSE)</f>
        <v>(*) Excluding repos. </v>
      </c>
      <c r="B56" s="58"/>
      <c r="C56" s="58"/>
      <c r="D56" s="58"/>
      <c r="E56" s="58"/>
      <c r="F56" s="58"/>
      <c r="G56" s="58"/>
      <c r="H56" s="58"/>
      <c r="I56" s="58"/>
    </row>
    <row r="57" spans="1:9" ht="15">
      <c r="A57" s="91">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Income statement  </v>
      </c>
      <c r="B59" s="34"/>
      <c r="C59" s="34"/>
      <c r="D59" s="34"/>
      <c r="E59" s="34"/>
      <c r="F59" s="34"/>
      <c r="G59" s="34"/>
      <c r="H59" s="34"/>
      <c r="I59" s="34"/>
    </row>
    <row r="60" spans="1:9" ht="15">
      <c r="A60" s="83"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84" t="str">
        <f aca="true" t="shared" si="8" ref="B63:I63">+B$7</f>
        <v>1Q</v>
      </c>
      <c r="C63" s="84" t="str">
        <f t="shared" si="8"/>
        <v>2Q</v>
      </c>
      <c r="D63" s="84" t="str">
        <f t="shared" si="8"/>
        <v>3Q</v>
      </c>
      <c r="E63" s="85" t="str">
        <f t="shared" si="8"/>
        <v>4Q</v>
      </c>
      <c r="F63" s="84" t="str">
        <f t="shared" si="8"/>
        <v>1Q</v>
      </c>
      <c r="G63" s="84" t="str">
        <f t="shared" si="8"/>
        <v>2Q</v>
      </c>
      <c r="H63" s="84" t="str">
        <f t="shared" si="8"/>
        <v>3Q</v>
      </c>
      <c r="I63" s="84" t="str">
        <f t="shared" si="8"/>
        <v>4Q</v>
      </c>
    </row>
    <row r="64" spans="1:9" ht="15">
      <c r="A64" s="41" t="str">
        <f>HLOOKUP(INDICE!$F$2,Nombres!$C$3:$D$636,33,FALSE)</f>
        <v>Net interest income</v>
      </c>
      <c r="B64" s="41">
        <v>194.71902100444834</v>
      </c>
      <c r="C64" s="41">
        <v>197.17042815553415</v>
      </c>
      <c r="D64" s="41">
        <v>221.9394753839543</v>
      </c>
      <c r="E64" s="42">
        <v>232.0121345247872</v>
      </c>
      <c r="F64" s="50">
        <v>225.63074903664926</v>
      </c>
      <c r="G64" s="50">
        <v>254.8282509633507</v>
      </c>
      <c r="H64" s="50">
        <v>0</v>
      </c>
      <c r="I64" s="50">
        <v>0</v>
      </c>
    </row>
    <row r="65" spans="1:9" ht="15">
      <c r="A65" s="87" t="str">
        <f>HLOOKUP(INDICE!$F$2,Nombres!$C$3:$D$636,34,FALSE)</f>
        <v>Net fees and commissions</v>
      </c>
      <c r="B65" s="44">
        <v>58.70957768154023</v>
      </c>
      <c r="C65" s="44">
        <v>65.41372827764066</v>
      </c>
      <c r="D65" s="44">
        <v>67.74030738392358</v>
      </c>
      <c r="E65" s="45">
        <v>64.81228898198792</v>
      </c>
      <c r="F65" s="44">
        <v>65.67679650948689</v>
      </c>
      <c r="G65" s="44">
        <v>73.3436144005131</v>
      </c>
      <c r="H65" s="44">
        <v>0</v>
      </c>
      <c r="I65" s="44">
        <v>0</v>
      </c>
    </row>
    <row r="66" spans="1:9" ht="15">
      <c r="A66" s="87" t="str">
        <f>HLOOKUP(INDICE!$F$2,Nombres!$C$3:$D$636,35,FALSE)</f>
        <v>Net trading income</v>
      </c>
      <c r="B66" s="44">
        <v>36.21710385983865</v>
      </c>
      <c r="C66" s="44">
        <v>61.17167339268509</v>
      </c>
      <c r="D66" s="44">
        <v>27.132481032459744</v>
      </c>
      <c r="E66" s="45">
        <v>32.47751384376197</v>
      </c>
      <c r="F66" s="44">
        <v>34.33388622996557</v>
      </c>
      <c r="G66" s="44">
        <v>40.243117240034415</v>
      </c>
      <c r="H66" s="44">
        <v>0</v>
      </c>
      <c r="I66" s="44">
        <v>0</v>
      </c>
    </row>
    <row r="67" spans="1:9" ht="15">
      <c r="A67" s="87" t="str">
        <f>HLOOKUP(INDICE!$F$2,Nombres!$C$3:$D$636,36,FALSE)</f>
        <v>Other operating income and expenses</v>
      </c>
      <c r="B67" s="44">
        <v>-9.096461368607763</v>
      </c>
      <c r="C67" s="44">
        <v>-11.32897889673125</v>
      </c>
      <c r="D67" s="44">
        <v>-9.884932077480322</v>
      </c>
      <c r="E67" s="45">
        <v>-8.605713499814176</v>
      </c>
      <c r="F67" s="44">
        <v>-8.771725743239791</v>
      </c>
      <c r="G67" s="44">
        <v>-8.56327425676021</v>
      </c>
      <c r="H67" s="44">
        <v>0</v>
      </c>
      <c r="I67" s="44">
        <v>0</v>
      </c>
    </row>
    <row r="68" spans="1:9" ht="15">
      <c r="A68" s="41" t="str">
        <f>HLOOKUP(INDICE!$F$2,Nombres!$C$3:$D$636,37,FALSE)</f>
        <v>Gross income</v>
      </c>
      <c r="B68" s="41">
        <f aca="true" t="shared" si="9" ref="B68:I68">+SUM(B64:B67)</f>
        <v>280.5492411772194</v>
      </c>
      <c r="C68" s="41">
        <f t="shared" si="9"/>
        <v>312.42685092912865</v>
      </c>
      <c r="D68" s="41">
        <f t="shared" si="9"/>
        <v>306.92733172285733</v>
      </c>
      <c r="E68" s="42">
        <f t="shared" si="9"/>
        <v>320.69622385072296</v>
      </c>
      <c r="F68" s="50">
        <f t="shared" si="9"/>
        <v>316.8697060328619</v>
      </c>
      <c r="G68" s="50">
        <f t="shared" si="9"/>
        <v>359.851708347138</v>
      </c>
      <c r="H68" s="50">
        <f t="shared" si="9"/>
        <v>0</v>
      </c>
      <c r="I68" s="50">
        <f t="shared" si="9"/>
        <v>0</v>
      </c>
    </row>
    <row r="69" spans="1:9" ht="15">
      <c r="A69" s="87" t="str">
        <f>HLOOKUP(INDICE!$F$2,Nombres!$C$3:$D$636,38,FALSE)</f>
        <v>Operating expenses</v>
      </c>
      <c r="B69" s="44">
        <v>-109.48293766555051</v>
      </c>
      <c r="C69" s="44">
        <v>-113.64335111268403</v>
      </c>
      <c r="D69" s="44">
        <v>-116.87062319059379</v>
      </c>
      <c r="E69" s="45">
        <v>-125.77650161241218</v>
      </c>
      <c r="F69" s="44">
        <v>-123.06029833346216</v>
      </c>
      <c r="G69" s="44">
        <v>-126.89299237653785</v>
      </c>
      <c r="H69" s="44">
        <v>0</v>
      </c>
      <c r="I69" s="44">
        <v>0</v>
      </c>
    </row>
    <row r="70" spans="1:9" ht="15">
      <c r="A70" s="87" t="str">
        <f>HLOOKUP(INDICE!$F$2,Nombres!$C$3:$D$636,39,FALSE)</f>
        <v>  Administration expenses</v>
      </c>
      <c r="B70" s="44">
        <v>-93.51948735734017</v>
      </c>
      <c r="C70" s="44">
        <v>-98.00704666618428</v>
      </c>
      <c r="D70" s="44">
        <v>-101.27387741398988</v>
      </c>
      <c r="E70" s="45">
        <v>-110.5055452283662</v>
      </c>
      <c r="F70" s="44">
        <v>-106.00594578327306</v>
      </c>
      <c r="G70" s="44">
        <v>-109.60934492672692</v>
      </c>
      <c r="H70" s="44">
        <v>0</v>
      </c>
      <c r="I70" s="44">
        <v>0</v>
      </c>
    </row>
    <row r="71" spans="1:9" ht="15">
      <c r="A71" s="88" t="str">
        <f>HLOOKUP(INDICE!$F$2,Nombres!$C$3:$D$636,40,FALSE)</f>
        <v>  Personnel expenses</v>
      </c>
      <c r="B71" s="44">
        <v>-50.98915720724829</v>
      </c>
      <c r="C71" s="44">
        <v>-52.73997537506172</v>
      </c>
      <c r="D71" s="44">
        <v>-56.088588314785575</v>
      </c>
      <c r="E71" s="45">
        <v>-65.27710301808364</v>
      </c>
      <c r="F71" s="44">
        <v>-55.41914902852017</v>
      </c>
      <c r="G71" s="44">
        <v>-57.25285097147983</v>
      </c>
      <c r="H71" s="44">
        <v>0</v>
      </c>
      <c r="I71" s="44">
        <v>0</v>
      </c>
    </row>
    <row r="72" spans="1:9" ht="15">
      <c r="A72" s="88" t="str">
        <f>HLOOKUP(INDICE!$F$2,Nombres!$C$3:$D$636,41,FALSE)</f>
        <v>  General and administrative expenses</v>
      </c>
      <c r="B72" s="44">
        <v>-42.530330150091885</v>
      </c>
      <c r="C72" s="44">
        <v>-45.26707129112257</v>
      </c>
      <c r="D72" s="44">
        <v>-45.18528909920431</v>
      </c>
      <c r="E72" s="45">
        <v>-45.22844221028255</v>
      </c>
      <c r="F72" s="44">
        <v>-50.58679675475289</v>
      </c>
      <c r="G72" s="44">
        <v>-52.35649395524709</v>
      </c>
      <c r="H72" s="44">
        <v>0</v>
      </c>
      <c r="I72" s="44">
        <v>0</v>
      </c>
    </row>
    <row r="73" spans="1:9" ht="15">
      <c r="A73" s="87" t="str">
        <f>HLOOKUP(INDICE!$F$2,Nombres!$C$3:$D$636,42,FALSE)</f>
        <v>  Depreciation</v>
      </c>
      <c r="B73" s="44">
        <v>-15.96345030821033</v>
      </c>
      <c r="C73" s="44">
        <v>-15.636304446499743</v>
      </c>
      <c r="D73" s="44">
        <v>-15.596745776603914</v>
      </c>
      <c r="E73" s="45">
        <v>-15.270956384045979</v>
      </c>
      <c r="F73" s="44">
        <v>-17.054352550189073</v>
      </c>
      <c r="G73" s="44">
        <v>-17.28364744981093</v>
      </c>
      <c r="H73" s="44">
        <v>0</v>
      </c>
      <c r="I73" s="44">
        <v>0</v>
      </c>
    </row>
    <row r="74" spans="1:9" ht="15">
      <c r="A74" s="41" t="str">
        <f>HLOOKUP(INDICE!$F$2,Nombres!$C$3:$D$636,43,FALSE)</f>
        <v>Operating income</v>
      </c>
      <c r="B74" s="41">
        <f aca="true" t="shared" si="10" ref="B74:I74">+B68+B69</f>
        <v>171.0663035116689</v>
      </c>
      <c r="C74" s="41">
        <f t="shared" si="10"/>
        <v>198.78349981644462</v>
      </c>
      <c r="D74" s="41">
        <f t="shared" si="10"/>
        <v>190.05670853226354</v>
      </c>
      <c r="E74" s="42">
        <f t="shared" si="10"/>
        <v>194.91972223831078</v>
      </c>
      <c r="F74" s="50">
        <f t="shared" si="10"/>
        <v>193.80940769939977</v>
      </c>
      <c r="G74" s="50">
        <f t="shared" si="10"/>
        <v>232.95871597060017</v>
      </c>
      <c r="H74" s="50">
        <f t="shared" si="10"/>
        <v>0</v>
      </c>
      <c r="I74" s="50">
        <f t="shared" si="10"/>
        <v>0</v>
      </c>
    </row>
    <row r="75" spans="1:9" ht="15">
      <c r="A75" s="87" t="str">
        <f>HLOOKUP(INDICE!$F$2,Nombres!$C$3:$D$636,44,FALSE)</f>
        <v>Impaiment on financial assets not measured at fair value through profit or loss</v>
      </c>
      <c r="B75" s="44">
        <v>-70.97742009232938</v>
      </c>
      <c r="C75" s="44">
        <v>-89.69160211002304</v>
      </c>
      <c r="D75" s="44">
        <v>-84.02262966598208</v>
      </c>
      <c r="E75" s="45">
        <v>-39.11354531132593</v>
      </c>
      <c r="F75" s="44">
        <v>-31.876221794984453</v>
      </c>
      <c r="G75" s="44">
        <v>-42.3967782050156</v>
      </c>
      <c r="H75" s="44">
        <v>0</v>
      </c>
      <c r="I75" s="44">
        <v>0</v>
      </c>
    </row>
    <row r="76" spans="1:9" ht="15">
      <c r="A76" s="87" t="str">
        <f>HLOOKUP(INDICE!$F$2,Nombres!$C$3:$D$636,45,FALSE)</f>
        <v>Provisions or reversal of provisions and other results</v>
      </c>
      <c r="B76" s="44">
        <v>-6.99851177354388</v>
      </c>
      <c r="C76" s="44">
        <v>-13.497714033341678</v>
      </c>
      <c r="D76" s="44">
        <v>-16.77791069709467</v>
      </c>
      <c r="E76" s="45">
        <v>-11.096303031477326</v>
      </c>
      <c r="F76" s="44">
        <v>-9.35492193788641</v>
      </c>
      <c r="G76" s="44">
        <v>-8.115078062113582</v>
      </c>
      <c r="H76" s="44">
        <v>0</v>
      </c>
      <c r="I76" s="44">
        <v>0</v>
      </c>
    </row>
    <row r="77" spans="1:9" ht="15">
      <c r="A77" s="89" t="str">
        <f>HLOOKUP(INDICE!$F$2,Nombres!$C$3:$D$636,46,FALSE)</f>
        <v>Profit/(loss) before tax</v>
      </c>
      <c r="B77" s="41">
        <f aca="true" t="shared" si="11" ref="B77:I77">+B74+B75+B76</f>
        <v>93.09037164579564</v>
      </c>
      <c r="C77" s="41">
        <f t="shared" si="11"/>
        <v>95.5941836730799</v>
      </c>
      <c r="D77" s="41">
        <f t="shared" si="11"/>
        <v>89.2561681691868</v>
      </c>
      <c r="E77" s="42">
        <f t="shared" si="11"/>
        <v>144.7098738955075</v>
      </c>
      <c r="F77" s="50">
        <f t="shared" si="11"/>
        <v>152.5782639665289</v>
      </c>
      <c r="G77" s="50">
        <f t="shared" si="11"/>
        <v>182.44685970347098</v>
      </c>
      <c r="H77" s="50">
        <f t="shared" si="11"/>
        <v>0</v>
      </c>
      <c r="I77" s="50">
        <f t="shared" si="11"/>
        <v>0</v>
      </c>
    </row>
    <row r="78" spans="1:9" ht="15">
      <c r="A78" s="43" t="str">
        <f>HLOOKUP(INDICE!$F$2,Nombres!$C$3:$D$636,47,FALSE)</f>
        <v>Income tax</v>
      </c>
      <c r="B78" s="44">
        <v>-28.82770041756926</v>
      </c>
      <c r="C78" s="44">
        <v>-32.828798294418384</v>
      </c>
      <c r="D78" s="44">
        <v>-29.69334851112877</v>
      </c>
      <c r="E78" s="45">
        <v>-40.52741562703883</v>
      </c>
      <c r="F78" s="44">
        <v>-38.43330145388954</v>
      </c>
      <c r="G78" s="44">
        <v>-49.42664335611046</v>
      </c>
      <c r="H78" s="44">
        <v>0</v>
      </c>
      <c r="I78" s="44">
        <v>0</v>
      </c>
    </row>
    <row r="79" spans="1:9" ht="15">
      <c r="A79" s="89" t="str">
        <f>HLOOKUP(INDICE!$F$2,Nombres!$C$3:$D$636,48,FALSE)</f>
        <v>Profit/(loss) for the year</v>
      </c>
      <c r="B79" s="41">
        <f aca="true" t="shared" si="12" ref="B79:I79">+B77+B78</f>
        <v>64.26267122822638</v>
      </c>
      <c r="C79" s="41">
        <f t="shared" si="12"/>
        <v>62.76538537866151</v>
      </c>
      <c r="D79" s="41">
        <f t="shared" si="12"/>
        <v>59.56281965805802</v>
      </c>
      <c r="E79" s="42">
        <f t="shared" si="12"/>
        <v>104.18245826846868</v>
      </c>
      <c r="F79" s="50">
        <f t="shared" si="12"/>
        <v>114.14496251263937</v>
      </c>
      <c r="G79" s="50">
        <f t="shared" si="12"/>
        <v>133.02021634736053</v>
      </c>
      <c r="H79" s="50">
        <f t="shared" si="12"/>
        <v>0</v>
      </c>
      <c r="I79" s="50">
        <f t="shared" si="12"/>
        <v>0</v>
      </c>
    </row>
    <row r="80" spans="1:9" ht="15">
      <c r="A80" s="87" t="str">
        <f>HLOOKUP(INDICE!$F$2,Nombres!$C$3:$D$636,49,FALSE)</f>
        <v>Non-controlling interests</v>
      </c>
      <c r="B80" s="44">
        <v>-35.490851056121734</v>
      </c>
      <c r="C80" s="44">
        <v>-34.04598368274278</v>
      </c>
      <c r="D80" s="44">
        <v>-32.914454984122905</v>
      </c>
      <c r="E80" s="45">
        <v>-57.17204470718851</v>
      </c>
      <c r="F80" s="44">
        <v>-61.37347789335107</v>
      </c>
      <c r="G80" s="44">
        <v>-68.37751368664891</v>
      </c>
      <c r="H80" s="44">
        <v>0</v>
      </c>
      <c r="I80" s="44">
        <v>0</v>
      </c>
    </row>
    <row r="81" spans="1:9" ht="15">
      <c r="A81" s="90" t="str">
        <f>HLOOKUP(INDICE!$F$2,Nombres!$C$3:$D$636,50,FALSE)</f>
        <v>Net attributable profit</v>
      </c>
      <c r="B81" s="47">
        <f aca="true" t="shared" si="13" ref="B81:I81">+B79+B80</f>
        <v>28.771820172104647</v>
      </c>
      <c r="C81" s="47">
        <f t="shared" si="13"/>
        <v>28.719401695918734</v>
      </c>
      <c r="D81" s="47">
        <f t="shared" si="13"/>
        <v>26.648364673935113</v>
      </c>
      <c r="E81" s="47">
        <f t="shared" si="13"/>
        <v>47.01041356128017</v>
      </c>
      <c r="F81" s="51">
        <f t="shared" si="13"/>
        <v>52.771484619288294</v>
      </c>
      <c r="G81" s="51">
        <f t="shared" si="13"/>
        <v>64.64270266071162</v>
      </c>
      <c r="H81" s="51">
        <f t="shared" si="13"/>
        <v>0</v>
      </c>
      <c r="I81" s="51">
        <f t="shared" si="13"/>
        <v>0</v>
      </c>
    </row>
    <row r="82" spans="1:9" ht="15">
      <c r="A82" s="91"/>
      <c r="B82" s="63">
        <v>-5.3290705182007514E-14</v>
      </c>
      <c r="C82" s="63">
        <v>0</v>
      </c>
      <c r="D82" s="63">
        <v>4.973799150320701E-14</v>
      </c>
      <c r="E82" s="63">
        <v>0</v>
      </c>
      <c r="F82" s="63">
        <v>0</v>
      </c>
      <c r="G82" s="63">
        <v>0</v>
      </c>
      <c r="H82" s="63">
        <v>0</v>
      </c>
      <c r="I82" s="63">
        <v>0</v>
      </c>
    </row>
    <row r="83" spans="1:9" ht="15">
      <c r="A83" s="89"/>
      <c r="B83" s="41"/>
      <c r="C83" s="41"/>
      <c r="D83" s="41"/>
      <c r="E83" s="41"/>
      <c r="F83" s="50"/>
      <c r="G83" s="50"/>
      <c r="H83" s="50"/>
      <c r="I83" s="50"/>
    </row>
    <row r="84" spans="1:9" ht="18">
      <c r="A84" s="92" t="str">
        <f>HLOOKUP(INDICE!$F$2,Nombres!$C$3:$D$636,51,FALSE)</f>
        <v>Balance sheets</v>
      </c>
      <c r="B84" s="34"/>
      <c r="C84" s="34"/>
      <c r="D84" s="34"/>
      <c r="E84" s="34"/>
      <c r="F84" s="68"/>
      <c r="G84" s="68"/>
      <c r="H84" s="68"/>
      <c r="I84" s="68"/>
    </row>
    <row r="85" spans="1:9" ht="15">
      <c r="A85" s="83"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Cash, cash balances at central banks and other demand deposits</v>
      </c>
      <c r="B87" s="44">
        <v>3434.5914520024407</v>
      </c>
      <c r="C87" s="44">
        <v>2963.2166693993736</v>
      </c>
      <c r="D87" s="44">
        <v>4176.193224841883</v>
      </c>
      <c r="E87" s="45">
        <v>3776.686198893592</v>
      </c>
      <c r="F87" s="44">
        <v>3641.8578016065185</v>
      </c>
      <c r="G87" s="44">
        <v>3729.0200000000004</v>
      </c>
      <c r="H87" s="44">
        <v>0</v>
      </c>
      <c r="I87" s="44">
        <v>0</v>
      </c>
    </row>
    <row r="88" spans="1:9" ht="15">
      <c r="A88" s="87" t="str">
        <f>HLOOKUP(INDICE!$F$2,Nombres!$C$3:$D$636,53,FALSE)</f>
        <v>Financial assets designated at fair value </v>
      </c>
      <c r="B88" s="58">
        <v>3118.677851125937</v>
      </c>
      <c r="C88" s="58">
        <v>3582.824558971708</v>
      </c>
      <c r="D88" s="58">
        <v>3389.643020714995</v>
      </c>
      <c r="E88" s="64">
        <v>2925.549265477941</v>
      </c>
      <c r="F88" s="44">
        <v>3057.8527803990773</v>
      </c>
      <c r="G88" s="44">
        <v>2986.973</v>
      </c>
      <c r="H88" s="44">
        <v>0</v>
      </c>
      <c r="I88" s="44">
        <v>0</v>
      </c>
    </row>
    <row r="89" spans="1:9" ht="15">
      <c r="A89" s="43" t="str">
        <f>HLOOKUP(INDICE!$F$2,Nombres!$C$3:$D$636,54,FALSE)</f>
        <v>Financial assets at amortized cost</v>
      </c>
      <c r="B89" s="44">
        <v>19694.64934555356</v>
      </c>
      <c r="C89" s="44">
        <v>19797.007513087963</v>
      </c>
      <c r="D89" s="44">
        <v>19674.832622826605</v>
      </c>
      <c r="E89" s="45">
        <v>18478.946536527925</v>
      </c>
      <c r="F89" s="44">
        <v>18122.679957134947</v>
      </c>
      <c r="G89" s="44">
        <v>18041.945</v>
      </c>
      <c r="H89" s="44">
        <v>0</v>
      </c>
      <c r="I89" s="44">
        <v>0</v>
      </c>
    </row>
    <row r="90" spans="1:9" ht="15">
      <c r="A90" s="87" t="str">
        <f>HLOOKUP(INDICE!$F$2,Nombres!$C$3:$D$636,55,FALSE)</f>
        <v>    of which loans and advances to customers</v>
      </c>
      <c r="B90" s="44">
        <v>17174.756049914737</v>
      </c>
      <c r="C90" s="44">
        <v>18103.13526180341</v>
      </c>
      <c r="D90" s="44">
        <v>17807.98417853541</v>
      </c>
      <c r="E90" s="45">
        <v>17962.038518974845</v>
      </c>
      <c r="F90" s="44">
        <v>17785.67434428385</v>
      </c>
      <c r="G90" s="44">
        <v>17677.086</v>
      </c>
      <c r="H90" s="44">
        <v>0</v>
      </c>
      <c r="I90" s="44">
        <v>0</v>
      </c>
    </row>
    <row r="91" spans="1:9" ht="15" hidden="1">
      <c r="A91" s="87"/>
      <c r="B91" s="44"/>
      <c r="C91" s="44"/>
      <c r="D91" s="44"/>
      <c r="E91" s="45"/>
      <c r="F91" s="44"/>
      <c r="G91" s="44"/>
      <c r="H91" s="44"/>
      <c r="I91" s="44"/>
    </row>
    <row r="92" spans="1:9" ht="15">
      <c r="A92" s="43" t="str">
        <f>HLOOKUP(INDICE!$F$2,Nombres!$C$3:$D$636,56,FALSE)</f>
        <v>Tangible assets</v>
      </c>
      <c r="B92" s="44">
        <v>294.94870456245064</v>
      </c>
      <c r="C92" s="44">
        <v>291.20784139871216</v>
      </c>
      <c r="D92" s="44">
        <v>292.07848687058447</v>
      </c>
      <c r="E92" s="45">
        <v>310.15192710937674</v>
      </c>
      <c r="F92" s="44">
        <v>303.0015431259897</v>
      </c>
      <c r="G92" s="44">
        <v>298.78</v>
      </c>
      <c r="H92" s="44">
        <v>0</v>
      </c>
      <c r="I92" s="44">
        <v>0</v>
      </c>
    </row>
    <row r="93" spans="1:9" ht="15">
      <c r="A93" s="87" t="str">
        <f>HLOOKUP(INDICE!$F$2,Nombres!$C$3:$D$636,57,FALSE)</f>
        <v>Other assets</v>
      </c>
      <c r="B93" s="58">
        <f aca="true" t="shared" si="15" ref="B93:I93">+B94-B92-B89-B88-B87</f>
        <v>407.57768582233984</v>
      </c>
      <c r="C93" s="58">
        <f t="shared" si="15"/>
        <v>414.2716454615088</v>
      </c>
      <c r="D93" s="58">
        <f t="shared" si="15"/>
        <v>432.02935976753724</v>
      </c>
      <c r="E93" s="64">
        <f t="shared" si="15"/>
        <v>465.78317985346484</v>
      </c>
      <c r="F93" s="44">
        <f t="shared" si="15"/>
        <v>465.01516162742246</v>
      </c>
      <c r="G93" s="44">
        <f t="shared" si="15"/>
        <v>470.6485883399964</v>
      </c>
      <c r="H93" s="44">
        <f t="shared" si="15"/>
        <v>0</v>
      </c>
      <c r="I93" s="44">
        <f t="shared" si="15"/>
        <v>0</v>
      </c>
    </row>
    <row r="94" spans="1:9" ht="15">
      <c r="A94" s="90" t="str">
        <f>HLOOKUP(INDICE!$F$2,Nombres!$C$3:$D$636,58,FALSE)</f>
        <v>Total assets / Liabilities and equity</v>
      </c>
      <c r="B94" s="47">
        <v>26950.44503906673</v>
      </c>
      <c r="C94" s="47">
        <v>27048.528228319265</v>
      </c>
      <c r="D94" s="47">
        <v>27964.776715021606</v>
      </c>
      <c r="E94" s="47">
        <v>25957.1171078623</v>
      </c>
      <c r="F94" s="51">
        <v>25590.407243893955</v>
      </c>
      <c r="G94" s="51">
        <v>25527.366588339995</v>
      </c>
      <c r="H94" s="51">
        <v>0</v>
      </c>
      <c r="I94" s="51">
        <v>0</v>
      </c>
    </row>
    <row r="95" spans="1:9" ht="15">
      <c r="A95" s="87" t="str">
        <f>HLOOKUP(INDICE!$F$2,Nombres!$C$3:$D$636,59,FALSE)</f>
        <v>Financial liabilities held for trading and designated at fair value through profit or loss</v>
      </c>
      <c r="B95" s="58">
        <v>298.05386563170276</v>
      </c>
      <c r="C95" s="58">
        <v>439.84732066107796</v>
      </c>
      <c r="D95" s="58">
        <v>626.2393619376985</v>
      </c>
      <c r="E95" s="64">
        <v>407.11300028580655</v>
      </c>
      <c r="F95" s="44">
        <v>441.9888883945067</v>
      </c>
      <c r="G95" s="44">
        <v>410.173</v>
      </c>
      <c r="H95" s="44">
        <v>0</v>
      </c>
      <c r="I95" s="44">
        <v>0</v>
      </c>
    </row>
    <row r="96" spans="1:9" ht="15">
      <c r="A96" s="87" t="str">
        <f>HLOOKUP(INDICE!$F$2,Nombres!$C$3:$D$636,60,FALSE)</f>
        <v>Deposits from central banks and credit institutions</v>
      </c>
      <c r="B96" s="58">
        <v>4715.88861172126</v>
      </c>
      <c r="C96" s="58">
        <v>5086.450835299547</v>
      </c>
      <c r="D96" s="58">
        <v>5098.057342318413</v>
      </c>
      <c r="E96" s="64">
        <v>4741.39452700777</v>
      </c>
      <c r="F96" s="44">
        <v>4374.234581880877</v>
      </c>
      <c r="G96" s="44">
        <v>4008.562</v>
      </c>
      <c r="H96" s="44">
        <v>0</v>
      </c>
      <c r="I96" s="44">
        <v>0</v>
      </c>
    </row>
    <row r="97" spans="1:9" ht="15">
      <c r="A97" s="87" t="str">
        <f>HLOOKUP(INDICE!$F$2,Nombres!$C$3:$D$636,61,FALSE)</f>
        <v>Deposits from customers</v>
      </c>
      <c r="B97" s="58">
        <v>17079.049184662956</v>
      </c>
      <c r="C97" s="58">
        <v>16757.30864339602</v>
      </c>
      <c r="D97" s="58">
        <v>17352.85532646319</v>
      </c>
      <c r="E97" s="64">
        <v>16007.615127574045</v>
      </c>
      <c r="F97" s="44">
        <v>15706.677212452392</v>
      </c>
      <c r="G97" s="44">
        <v>16149.865000000002</v>
      </c>
      <c r="H97" s="44">
        <v>0</v>
      </c>
      <c r="I97" s="44">
        <v>0</v>
      </c>
    </row>
    <row r="98" spans="1:9" ht="15">
      <c r="A98" s="43" t="str">
        <f>HLOOKUP(INDICE!$F$2,Nombres!$C$3:$D$636,62,FALSE)</f>
        <v>Debt certificates</v>
      </c>
      <c r="B98" s="44">
        <v>1495.4826337810714</v>
      </c>
      <c r="C98" s="44">
        <v>1472.6861492420335</v>
      </c>
      <c r="D98" s="44">
        <v>1537.6423796744139</v>
      </c>
      <c r="E98" s="45">
        <v>1528.4523742453252</v>
      </c>
      <c r="F98" s="44">
        <v>1439.7414740126837</v>
      </c>
      <c r="G98" s="44">
        <v>1657.98805191</v>
      </c>
      <c r="H98" s="44">
        <v>0</v>
      </c>
      <c r="I98" s="44">
        <v>0</v>
      </c>
    </row>
    <row r="99" spans="1:9" ht="15" hidden="1">
      <c r="A99" s="43"/>
      <c r="B99" s="44"/>
      <c r="C99" s="44"/>
      <c r="D99" s="44"/>
      <c r="E99" s="45"/>
      <c r="F99" s="44"/>
      <c r="G99" s="44"/>
      <c r="H99" s="44"/>
      <c r="I99" s="44"/>
    </row>
    <row r="100" spans="1:9" ht="15">
      <c r="A100" s="87" t="str">
        <f>HLOOKUP(INDICE!$F$2,Nombres!$C$3:$D$636,63,FALSE)</f>
        <v>Other liabilities</v>
      </c>
      <c r="B100" s="58">
        <f aca="true" t="shared" si="16" ref="B100:I100">+B94-B95-B96-B97-B98-B101</f>
        <v>1208.768696968354</v>
      </c>
      <c r="C100" s="58">
        <f t="shared" si="16"/>
        <v>1101.5827524468577</v>
      </c>
      <c r="D100" s="58">
        <f t="shared" si="16"/>
        <v>1049.6015015934709</v>
      </c>
      <c r="E100" s="64">
        <f t="shared" si="16"/>
        <v>880.3336511289663</v>
      </c>
      <c r="F100" s="44">
        <f t="shared" si="16"/>
        <v>1157.9978987757004</v>
      </c>
      <c r="G100" s="44">
        <f t="shared" si="16"/>
        <v>826.3090805699935</v>
      </c>
      <c r="H100" s="44">
        <f t="shared" si="16"/>
        <v>0</v>
      </c>
      <c r="I100" s="44">
        <f t="shared" si="16"/>
        <v>0</v>
      </c>
    </row>
    <row r="101" spans="1:9" ht="15">
      <c r="A101" s="43" t="str">
        <f>HLOOKUP(INDICE!$F$2,Nombres!$C$3:$D$636,282,FALSE)</f>
        <v>Regulatory capital allocated</v>
      </c>
      <c r="B101" s="58">
        <v>2153.202046301384</v>
      </c>
      <c r="C101" s="58">
        <v>2190.6525272737267</v>
      </c>
      <c r="D101" s="58">
        <v>2300.380803034419</v>
      </c>
      <c r="E101" s="64">
        <v>2392.2084276203855</v>
      </c>
      <c r="F101" s="44">
        <v>2469.7671883777934</v>
      </c>
      <c r="G101" s="44">
        <v>2474.46945586</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Relevant business indicators</v>
      </c>
      <c r="B104" s="34"/>
      <c r="C104" s="34"/>
      <c r="D104" s="34"/>
      <c r="E104" s="34"/>
      <c r="F104" s="68"/>
      <c r="G104" s="68"/>
      <c r="H104" s="68"/>
      <c r="I104" s="68"/>
    </row>
    <row r="105" spans="1:9" ht="15">
      <c r="A105" s="83"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Loans and advances to customers (gross) (*)</v>
      </c>
      <c r="B107" s="44">
        <v>18216.593281320253</v>
      </c>
      <c r="C107" s="44">
        <v>19168.25319432099</v>
      </c>
      <c r="D107" s="44">
        <v>18827.11289736933</v>
      </c>
      <c r="E107" s="45">
        <v>18882.369073059475</v>
      </c>
      <c r="F107" s="44">
        <v>18682.320502751303</v>
      </c>
      <c r="G107" s="44">
        <v>18596.378356939997</v>
      </c>
      <c r="H107" s="44">
        <v>0</v>
      </c>
      <c r="I107" s="44">
        <v>0</v>
      </c>
    </row>
    <row r="108" spans="1:9" ht="15">
      <c r="A108" s="87" t="str">
        <f>HLOOKUP(INDICE!$F$2,Nombres!$C$3:$D$636,67,FALSE)</f>
        <v>Customer deposits under management (*)</v>
      </c>
      <c r="B108" s="44">
        <v>17079.049304237513</v>
      </c>
      <c r="C108" s="44">
        <v>16757.306673922332</v>
      </c>
      <c r="D108" s="44">
        <v>17352.8551297123</v>
      </c>
      <c r="E108" s="45">
        <v>16007.602207588236</v>
      </c>
      <c r="F108" s="44">
        <v>15701.34843781321</v>
      </c>
      <c r="G108" s="44">
        <v>16146.37809049</v>
      </c>
      <c r="H108" s="44">
        <v>0</v>
      </c>
      <c r="I108" s="44">
        <v>0</v>
      </c>
    </row>
    <row r="109" spans="1:9" ht="15">
      <c r="A109" s="43" t="str">
        <f>HLOOKUP(INDICE!$F$2,Nombres!$C$3:$D$636,68,FALSE)</f>
        <v>Investment funds and managed portfolios</v>
      </c>
      <c r="B109" s="44">
        <v>2727.8537840408903</v>
      </c>
      <c r="C109" s="44">
        <v>2366.765280899243</v>
      </c>
      <c r="D109" s="44">
        <v>2011.7680543839356</v>
      </c>
      <c r="E109" s="45">
        <v>1874.4681938293525</v>
      </c>
      <c r="F109" s="44">
        <v>1614.7434910884015</v>
      </c>
      <c r="G109" s="44">
        <v>1445.36195754</v>
      </c>
      <c r="H109" s="44">
        <v>0</v>
      </c>
      <c r="I109" s="44">
        <v>0</v>
      </c>
    </row>
    <row r="110" spans="1:9" ht="15">
      <c r="A110" s="87" t="str">
        <f>HLOOKUP(INDICE!$F$2,Nombres!$C$3:$D$636,69,FALSE)</f>
        <v>Pension funds</v>
      </c>
      <c r="B110" s="44">
        <v>0</v>
      </c>
      <c r="C110" s="44">
        <v>0</v>
      </c>
      <c r="D110" s="44">
        <v>0</v>
      </c>
      <c r="E110" s="45">
        <v>0</v>
      </c>
      <c r="F110" s="44">
        <v>0</v>
      </c>
      <c r="G110" s="44">
        <v>0</v>
      </c>
      <c r="H110" s="44">
        <v>0</v>
      </c>
      <c r="I110" s="44">
        <v>0</v>
      </c>
    </row>
    <row r="111" spans="1:9" ht="15">
      <c r="A111" s="87" t="str">
        <f>HLOOKUP(INDICE!$F$2,Nombres!$C$3:$D$636,70,FALSE)</f>
        <v>Other off balance-sheet funds</v>
      </c>
      <c r="B111" s="44">
        <v>0</v>
      </c>
      <c r="C111" s="44">
        <v>0</v>
      </c>
      <c r="D111" s="44">
        <v>0</v>
      </c>
      <c r="E111" s="45">
        <v>0</v>
      </c>
      <c r="F111" s="44">
        <v>0</v>
      </c>
      <c r="G111" s="44">
        <v>0</v>
      </c>
      <c r="H111" s="44">
        <v>0</v>
      </c>
      <c r="I111" s="44">
        <v>0</v>
      </c>
    </row>
    <row r="112" spans="1:9" ht="15">
      <c r="A112" s="91" t="str">
        <f>HLOOKUP(INDICE!$F$2,Nombres!$C$3:$D$636,71,FALSE)</f>
        <v>(*) Excluding repos. </v>
      </c>
      <c r="B112" s="58"/>
      <c r="C112" s="58"/>
      <c r="D112" s="58"/>
      <c r="E112" s="58"/>
      <c r="F112" s="58"/>
      <c r="G112" s="58"/>
      <c r="H112" s="58"/>
      <c r="I112" s="58"/>
    </row>
    <row r="113" spans="1:9" ht="15">
      <c r="A113" s="91">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Income statement  </v>
      </c>
      <c r="B115" s="34"/>
      <c r="C115" s="34"/>
      <c r="D115" s="34"/>
      <c r="E115" s="34"/>
      <c r="F115" s="34"/>
      <c r="G115" s="34"/>
      <c r="H115" s="34"/>
      <c r="I115" s="34"/>
    </row>
    <row r="116" spans="1:9" ht="15">
      <c r="A116" s="83" t="str">
        <f>HLOOKUP(INDICE!$F$2,Nombres!$C$3:$D$636,79,FALSE)</f>
        <v>(Million Peruvian soles)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84" t="str">
        <f aca="true" t="shared" si="18" ref="B119:I119">+B$7</f>
        <v>1Q</v>
      </c>
      <c r="C119" s="84" t="str">
        <f t="shared" si="18"/>
        <v>2Q</v>
      </c>
      <c r="D119" s="84" t="str">
        <f t="shared" si="18"/>
        <v>3Q</v>
      </c>
      <c r="E119" s="85" t="str">
        <f t="shared" si="18"/>
        <v>4Q</v>
      </c>
      <c r="F119" s="84" t="str">
        <f t="shared" si="18"/>
        <v>1Q</v>
      </c>
      <c r="G119" s="84" t="str">
        <f t="shared" si="18"/>
        <v>2Q</v>
      </c>
      <c r="H119" s="84" t="str">
        <f t="shared" si="18"/>
        <v>3Q</v>
      </c>
      <c r="I119" s="84" t="str">
        <f t="shared" si="18"/>
        <v>4Q</v>
      </c>
    </row>
    <row r="120" spans="1:9" ht="15">
      <c r="A120" s="41" t="str">
        <f>HLOOKUP(INDICE!$F$2,Nombres!$C$3:$D$636,33,FALSE)</f>
        <v>Net interest income</v>
      </c>
      <c r="B120" s="41">
        <v>803.1604667218405</v>
      </c>
      <c r="C120" s="41">
        <v>813.2718225690252</v>
      </c>
      <c r="D120" s="41">
        <v>915.4370832077316</v>
      </c>
      <c r="E120" s="42">
        <v>956.9839314557855</v>
      </c>
      <c r="F120" s="50">
        <v>930.6625350120972</v>
      </c>
      <c r="G120" s="50">
        <v>1051.0939091716139</v>
      </c>
      <c r="H120" s="50">
        <v>0</v>
      </c>
      <c r="I120" s="50">
        <v>0</v>
      </c>
    </row>
    <row r="121" spans="1:9" ht="15">
      <c r="A121" s="87" t="str">
        <f>HLOOKUP(INDICE!$F$2,Nombres!$C$3:$D$636,34,FALSE)</f>
        <v>Net fees and commissions</v>
      </c>
      <c r="B121" s="44">
        <v>242.16027570655672</v>
      </c>
      <c r="C121" s="44">
        <v>269.81298623253315</v>
      </c>
      <c r="D121" s="44">
        <v>279.40946197089863</v>
      </c>
      <c r="E121" s="45">
        <v>267.33222054816633</v>
      </c>
      <c r="F121" s="44">
        <v>270.89806771445194</v>
      </c>
      <c r="G121" s="44">
        <v>302.5215064718157</v>
      </c>
      <c r="H121" s="44">
        <v>0</v>
      </c>
      <c r="I121" s="44">
        <v>0</v>
      </c>
    </row>
    <row r="122" spans="1:9" ht="15">
      <c r="A122" s="87" t="str">
        <f>HLOOKUP(INDICE!$F$2,Nombres!$C$3:$D$636,35,FALSE)</f>
        <v>Net trading income</v>
      </c>
      <c r="B122" s="44">
        <v>149.38523154713724</v>
      </c>
      <c r="C122" s="44">
        <v>252.31571881774494</v>
      </c>
      <c r="D122" s="44">
        <v>111.91375150172959</v>
      </c>
      <c r="E122" s="45">
        <v>133.9604885139854</v>
      </c>
      <c r="F122" s="44">
        <v>141.61749554094038</v>
      </c>
      <c r="G122" s="44">
        <v>165.99138932662055</v>
      </c>
      <c r="H122" s="44">
        <v>0</v>
      </c>
      <c r="I122" s="44">
        <v>0</v>
      </c>
    </row>
    <row r="123" spans="1:9" ht="15">
      <c r="A123" s="87" t="str">
        <f>HLOOKUP(INDICE!$F$2,Nombres!$C$3:$D$636,36,FALSE)</f>
        <v>Other operating income and expenses</v>
      </c>
      <c r="B123" s="44">
        <v>-37.52031065399256</v>
      </c>
      <c r="C123" s="44">
        <v>-46.72880919000045</v>
      </c>
      <c r="D123" s="44">
        <v>-40.772527613937726</v>
      </c>
      <c r="E123" s="45">
        <v>-35.49611555836296</v>
      </c>
      <c r="F123" s="44">
        <v>-36.18086874900378</v>
      </c>
      <c r="G123" s="44">
        <v>-35.321065775949705</v>
      </c>
      <c r="H123" s="44">
        <v>0</v>
      </c>
      <c r="I123" s="44">
        <v>0</v>
      </c>
    </row>
    <row r="124" spans="1:9" ht="15">
      <c r="A124" s="41" t="str">
        <f>HLOOKUP(INDICE!$F$2,Nombres!$C$3:$D$636,37,FALSE)</f>
        <v>Gross income</v>
      </c>
      <c r="B124" s="41">
        <f aca="true" t="shared" si="19" ref="B124:I124">+SUM(B120:B123)</f>
        <v>1157.185663321542</v>
      </c>
      <c r="C124" s="41">
        <f t="shared" si="19"/>
        <v>1288.6717184293027</v>
      </c>
      <c r="D124" s="41">
        <f t="shared" si="19"/>
        <v>1265.987769066422</v>
      </c>
      <c r="E124" s="42">
        <f t="shared" si="19"/>
        <v>1322.7805249595742</v>
      </c>
      <c r="F124" s="50">
        <f t="shared" si="19"/>
        <v>1306.9972295184857</v>
      </c>
      <c r="G124" s="50">
        <f t="shared" si="19"/>
        <v>1484.2857391941002</v>
      </c>
      <c r="H124" s="50">
        <f t="shared" si="19"/>
        <v>0</v>
      </c>
      <c r="I124" s="50">
        <f t="shared" si="19"/>
        <v>0</v>
      </c>
    </row>
    <row r="125" spans="1:9" ht="15">
      <c r="A125" s="87" t="str">
        <f>HLOOKUP(INDICE!$F$2,Nombres!$C$3:$D$636,38,FALSE)</f>
        <v>Operating expenses</v>
      </c>
      <c r="B125" s="44">
        <v>-451.5859152328674</v>
      </c>
      <c r="C125" s="44">
        <v>-468.7464349844496</v>
      </c>
      <c r="D125" s="44">
        <v>-482.0580125332765</v>
      </c>
      <c r="E125" s="45">
        <v>-518.7922228479033</v>
      </c>
      <c r="F125" s="44">
        <v>-507.58865844017606</v>
      </c>
      <c r="G125" s="44">
        <v>-523.397429050051</v>
      </c>
      <c r="H125" s="44">
        <v>0</v>
      </c>
      <c r="I125" s="44">
        <v>0</v>
      </c>
    </row>
    <row r="126" spans="1:9" ht="15">
      <c r="A126" s="87" t="str">
        <f>HLOOKUP(INDICE!$F$2,Nombres!$C$3:$D$636,39,FALSE)</f>
        <v>  Administration expenses</v>
      </c>
      <c r="B126" s="44">
        <v>-385.74123229488043</v>
      </c>
      <c r="C126" s="44">
        <v>-404.2511354894474</v>
      </c>
      <c r="D126" s="44">
        <v>-417.7258812773735</v>
      </c>
      <c r="E126" s="45">
        <v>-455.80387998632415</v>
      </c>
      <c r="F126" s="44">
        <v>-437.24431466116874</v>
      </c>
      <c r="G126" s="44">
        <v>-452.10730915915036</v>
      </c>
      <c r="H126" s="44">
        <v>0</v>
      </c>
      <c r="I126" s="44">
        <v>0</v>
      </c>
    </row>
    <row r="127" spans="1:9" ht="15">
      <c r="A127" s="88" t="str">
        <f>HLOOKUP(INDICE!$F$2,Nombres!$C$3:$D$636,40,FALSE)</f>
        <v>  Personnel expenses</v>
      </c>
      <c r="B127" s="44">
        <v>-210.3157415699583</v>
      </c>
      <c r="C127" s="44">
        <v>-217.5373675290062</v>
      </c>
      <c r="D127" s="44">
        <v>-231.3494415506703</v>
      </c>
      <c r="E127" s="45">
        <v>-269.2494459750598</v>
      </c>
      <c r="F127" s="44">
        <v>-228.58819528502391</v>
      </c>
      <c r="G127" s="44">
        <v>-236.15169319467384</v>
      </c>
      <c r="H127" s="44">
        <v>0</v>
      </c>
      <c r="I127" s="44">
        <v>0</v>
      </c>
    </row>
    <row r="128" spans="1:9" ht="15">
      <c r="A128" s="88" t="str">
        <f>HLOOKUP(INDICE!$F$2,Nombres!$C$3:$D$636,41,FALSE)</f>
        <v>  General and administrative expenses</v>
      </c>
      <c r="B128" s="44">
        <v>-175.42549072492216</v>
      </c>
      <c r="C128" s="44">
        <v>-186.7137679604412</v>
      </c>
      <c r="D128" s="44">
        <v>-186.3764397267032</v>
      </c>
      <c r="E128" s="45">
        <v>-186.5544340112644</v>
      </c>
      <c r="F128" s="44">
        <v>-208.6561193761449</v>
      </c>
      <c r="G128" s="44">
        <v>-215.9556159644765</v>
      </c>
      <c r="H128" s="44">
        <v>0</v>
      </c>
      <c r="I128" s="44">
        <v>0</v>
      </c>
    </row>
    <row r="129" spans="1:9" ht="15">
      <c r="A129" s="87" t="str">
        <f>HLOOKUP(INDICE!$F$2,Nombres!$C$3:$D$636,42,FALSE)</f>
        <v>  Depreciation</v>
      </c>
      <c r="B129" s="44">
        <v>-65.84468293798695</v>
      </c>
      <c r="C129" s="44">
        <v>-64.49529949500223</v>
      </c>
      <c r="D129" s="44">
        <v>-64.33213125590296</v>
      </c>
      <c r="E129" s="45">
        <v>-62.98834286157927</v>
      </c>
      <c r="F129" s="44">
        <v>-70.34434377900736</v>
      </c>
      <c r="G129" s="44">
        <v>-71.2901198909005</v>
      </c>
      <c r="H129" s="44">
        <v>0</v>
      </c>
      <c r="I129" s="44">
        <v>0</v>
      </c>
    </row>
    <row r="130" spans="1:9" ht="15">
      <c r="A130" s="41" t="str">
        <f>HLOOKUP(INDICE!$F$2,Nombres!$C$3:$D$636,43,FALSE)</f>
        <v>Operating income</v>
      </c>
      <c r="B130" s="41">
        <f aca="true" t="shared" si="20" ref="B130:I130">+B124+B125</f>
        <v>705.5997480886747</v>
      </c>
      <c r="C130" s="41">
        <f t="shared" si="20"/>
        <v>819.9252834448531</v>
      </c>
      <c r="D130" s="41">
        <f t="shared" si="20"/>
        <v>783.9297565331456</v>
      </c>
      <c r="E130" s="42">
        <f t="shared" si="20"/>
        <v>803.9883021116709</v>
      </c>
      <c r="F130" s="50">
        <f t="shared" si="20"/>
        <v>799.4085710783097</v>
      </c>
      <c r="G130" s="50">
        <f t="shared" si="20"/>
        <v>960.8883101440492</v>
      </c>
      <c r="H130" s="50">
        <f t="shared" si="20"/>
        <v>0</v>
      </c>
      <c r="I130" s="50">
        <f t="shared" si="20"/>
        <v>0</v>
      </c>
    </row>
    <row r="131" spans="1:9" ht="15">
      <c r="A131" s="87" t="str">
        <f>HLOOKUP(INDICE!$F$2,Nombres!$C$3:$D$636,44,FALSE)</f>
        <v>Impaiment on financial assets not measured at fair value through profit or loss</v>
      </c>
      <c r="B131" s="44">
        <v>-292.76162931594195</v>
      </c>
      <c r="C131" s="44">
        <v>-369.952296597003</v>
      </c>
      <c r="D131" s="44">
        <v>-346.5694009224958</v>
      </c>
      <c r="E131" s="45">
        <v>-161.33222704870096</v>
      </c>
      <c r="F131" s="44">
        <v>-131.48033018101378</v>
      </c>
      <c r="G131" s="44">
        <v>-174.87462701378718</v>
      </c>
      <c r="H131" s="44">
        <v>0</v>
      </c>
      <c r="I131" s="44">
        <v>0</v>
      </c>
    </row>
    <row r="132" spans="1:9" ht="15">
      <c r="A132" s="87" t="str">
        <f>HLOOKUP(INDICE!$F$2,Nombres!$C$3:$D$636,45,FALSE)</f>
        <v>Provisions or reversal of provisions and other results</v>
      </c>
      <c r="B132" s="44">
        <v>-28.866866489994273</v>
      </c>
      <c r="C132" s="44">
        <v>-55.67422353899872</v>
      </c>
      <c r="D132" s="44">
        <v>-69.20409992092185</v>
      </c>
      <c r="E132" s="45">
        <v>-45.76908755845022</v>
      </c>
      <c r="F132" s="44">
        <v>-38.58638684100403</v>
      </c>
      <c r="G132" s="44">
        <v>-33.47238420894908</v>
      </c>
      <c r="H132" s="44">
        <v>0</v>
      </c>
      <c r="I132" s="44">
        <v>0</v>
      </c>
    </row>
    <row r="133" spans="1:9" ht="15">
      <c r="A133" s="89" t="str">
        <f>HLOOKUP(INDICE!$F$2,Nombres!$C$3:$D$636,46,FALSE)</f>
        <v>Profit/(loss) before tax</v>
      </c>
      <c r="B133" s="41">
        <f aca="true" t="shared" si="21" ref="B133:I133">+B130+B131+B132</f>
        <v>383.9712522827385</v>
      </c>
      <c r="C133" s="41">
        <f t="shared" si="21"/>
        <v>394.2987633088514</v>
      </c>
      <c r="D133" s="41">
        <f t="shared" si="21"/>
        <v>368.1562556897279</v>
      </c>
      <c r="E133" s="42">
        <f t="shared" si="21"/>
        <v>596.8869875045198</v>
      </c>
      <c r="F133" s="50">
        <f t="shared" si="21"/>
        <v>629.3418540562919</v>
      </c>
      <c r="G133" s="50">
        <f t="shared" si="21"/>
        <v>752.541298921313</v>
      </c>
      <c r="H133" s="50">
        <f t="shared" si="21"/>
        <v>0</v>
      </c>
      <c r="I133" s="50">
        <f t="shared" si="21"/>
        <v>0</v>
      </c>
    </row>
    <row r="134" spans="1:9" ht="15">
      <c r="A134" s="43" t="str">
        <f>HLOOKUP(INDICE!$F$2,Nombres!$C$3:$D$636,47,FALSE)</f>
        <v>Income tax</v>
      </c>
      <c r="B134" s="44">
        <v>-118.90604832777684</v>
      </c>
      <c r="C134" s="44">
        <v>-135.40943675687387</v>
      </c>
      <c r="D134" s="44">
        <v>-122.47660000400083</v>
      </c>
      <c r="E134" s="45">
        <v>-167.16403914797274</v>
      </c>
      <c r="F134" s="44">
        <v>-158.5264150062769</v>
      </c>
      <c r="G134" s="44">
        <v>-203.87081725046653</v>
      </c>
      <c r="H134" s="44">
        <v>0</v>
      </c>
      <c r="I134" s="44">
        <v>0</v>
      </c>
    </row>
    <row r="135" spans="1:9" ht="15">
      <c r="A135" s="89" t="str">
        <f>HLOOKUP(INDICE!$F$2,Nombres!$C$3:$D$636,48,FALSE)</f>
        <v>Profit/(loss) for the year</v>
      </c>
      <c r="B135" s="41">
        <f aca="true" t="shared" si="22" ref="B135:I135">+B133+B134</f>
        <v>265.06520395496165</v>
      </c>
      <c r="C135" s="41">
        <f t="shared" si="22"/>
        <v>258.88932655197755</v>
      </c>
      <c r="D135" s="41">
        <f t="shared" si="22"/>
        <v>245.67965568572708</v>
      </c>
      <c r="E135" s="42">
        <f t="shared" si="22"/>
        <v>429.722948356547</v>
      </c>
      <c r="F135" s="50">
        <f t="shared" si="22"/>
        <v>470.815439050015</v>
      </c>
      <c r="G135" s="50">
        <f t="shared" si="22"/>
        <v>548.6704816708465</v>
      </c>
      <c r="H135" s="50">
        <f t="shared" si="22"/>
        <v>0</v>
      </c>
      <c r="I135" s="50">
        <f t="shared" si="22"/>
        <v>0</v>
      </c>
    </row>
    <row r="136" spans="1:9" ht="15">
      <c r="A136" s="87" t="str">
        <f>HLOOKUP(INDICE!$F$2,Nombres!$C$3:$D$636,49,FALSE)</f>
        <v>Non-controlling interests</v>
      </c>
      <c r="B136" s="44">
        <v>-146.38964571385588</v>
      </c>
      <c r="C136" s="44">
        <v>-140.42997958587307</v>
      </c>
      <c r="D136" s="44">
        <v>-135.76274618974824</v>
      </c>
      <c r="E136" s="45">
        <v>-235.81839038425767</v>
      </c>
      <c r="F136" s="44">
        <v>-253.14810486870894</v>
      </c>
      <c r="G136" s="44">
        <v>-282.03775636584254</v>
      </c>
      <c r="H136" s="44">
        <v>0</v>
      </c>
      <c r="I136" s="44">
        <v>0</v>
      </c>
    </row>
    <row r="137" spans="1:9" ht="15">
      <c r="A137" s="90" t="str">
        <f>HLOOKUP(INDICE!$F$2,Nombres!$C$3:$D$636,50,FALSE)</f>
        <v>Net attributable profit</v>
      </c>
      <c r="B137" s="47">
        <f aca="true" t="shared" si="23" ref="B137:I137">+B135+B136</f>
        <v>118.67555824110576</v>
      </c>
      <c r="C137" s="47">
        <f t="shared" si="23"/>
        <v>118.45934696610448</v>
      </c>
      <c r="D137" s="47">
        <f t="shared" si="23"/>
        <v>109.91690949597884</v>
      </c>
      <c r="E137" s="47">
        <f t="shared" si="23"/>
        <v>193.90455797228935</v>
      </c>
      <c r="F137" s="51">
        <f t="shared" si="23"/>
        <v>217.66733418130607</v>
      </c>
      <c r="G137" s="51">
        <f t="shared" si="23"/>
        <v>266.63272530500393</v>
      </c>
      <c r="H137" s="51">
        <f t="shared" si="23"/>
        <v>0</v>
      </c>
      <c r="I137" s="51">
        <f t="shared" si="23"/>
        <v>0</v>
      </c>
    </row>
    <row r="138" spans="1:9" ht="15">
      <c r="A138" s="91"/>
      <c r="B138" s="63">
        <v>1.7053025658242404E-13</v>
      </c>
      <c r="C138" s="63">
        <v>0</v>
      </c>
      <c r="D138" s="63">
        <v>-1.4210854715202004E-13</v>
      </c>
      <c r="E138" s="63">
        <v>0</v>
      </c>
      <c r="F138" s="63">
        <v>0</v>
      </c>
      <c r="G138" s="63">
        <v>0</v>
      </c>
      <c r="H138" s="63">
        <v>0</v>
      </c>
      <c r="I138" s="63">
        <v>0</v>
      </c>
    </row>
    <row r="139" spans="1:9" ht="15">
      <c r="A139" s="89"/>
      <c r="B139" s="41"/>
      <c r="C139" s="41"/>
      <c r="D139" s="41"/>
      <c r="E139" s="41"/>
      <c r="F139" s="50"/>
      <c r="G139" s="50"/>
      <c r="H139" s="50"/>
      <c r="I139" s="50"/>
    </row>
    <row r="140" spans="1:9" ht="18">
      <c r="A140" s="92" t="str">
        <f>HLOOKUP(INDICE!$F$2,Nombres!$C$3:$D$636,51,FALSE)</f>
        <v>Balance sheets</v>
      </c>
      <c r="B140" s="34"/>
      <c r="C140" s="34"/>
      <c r="D140" s="34"/>
      <c r="E140" s="34"/>
      <c r="F140" s="68"/>
      <c r="G140" s="68"/>
      <c r="H140" s="68"/>
      <c r="I140" s="68"/>
    </row>
    <row r="141" spans="1:9" ht="15">
      <c r="A141" s="83" t="str">
        <f>HLOOKUP(INDICE!$F$2,Nombres!$C$3:$D$636,79,FALSE)</f>
        <v>(Million Peruvian soles)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87" t="str">
        <f>HLOOKUP(INDICE!$F$2,Nombres!$C$3:$D$636,52,FALSE)</f>
        <v>Cash, cash balances at central banks and other demand deposits</v>
      </c>
      <c r="B143" s="44">
        <v>13478.40845017633</v>
      </c>
      <c r="C143" s="44">
        <v>11628.58673431168</v>
      </c>
      <c r="D143" s="44">
        <v>16388.685186548348</v>
      </c>
      <c r="E143" s="45">
        <v>14820.894970536818</v>
      </c>
      <c r="F143" s="44">
        <v>14291.78627312295</v>
      </c>
      <c r="G143" s="44">
        <v>14633.837934224506</v>
      </c>
      <c r="H143" s="44">
        <v>0</v>
      </c>
      <c r="I143" s="44">
        <v>0</v>
      </c>
    </row>
    <row r="144" spans="1:9" ht="15">
      <c r="A144" s="87" t="str">
        <f>HLOOKUP(INDICE!$F$2,Nombres!$C$3:$D$636,53,FALSE)</f>
        <v>Financial assets designated at fair value </v>
      </c>
      <c r="B144" s="58">
        <v>12238.664915294772</v>
      </c>
      <c r="C144" s="58">
        <v>14060.121410652497</v>
      </c>
      <c r="D144" s="58">
        <v>13302.016781894023</v>
      </c>
      <c r="E144" s="64">
        <v>11480.768089094112</v>
      </c>
      <c r="F144" s="44">
        <v>11999.96836034076</v>
      </c>
      <c r="G144" s="44">
        <v>11721.81398756359</v>
      </c>
      <c r="H144" s="44">
        <v>0</v>
      </c>
      <c r="I144" s="44">
        <v>0</v>
      </c>
    </row>
    <row r="145" spans="1:9" ht="15">
      <c r="A145" s="43" t="str">
        <f>HLOOKUP(INDICE!$F$2,Nombres!$C$3:$D$636,54,FALSE)</f>
        <v>Financial assets at amortized cost</v>
      </c>
      <c r="B145" s="44">
        <v>77287.94876246613</v>
      </c>
      <c r="C145" s="44">
        <v>77689.634147619</v>
      </c>
      <c r="D145" s="44">
        <v>77210.1817596682</v>
      </c>
      <c r="E145" s="45">
        <v>72517.15164057817</v>
      </c>
      <c r="F145" s="44">
        <v>71119.05042786886</v>
      </c>
      <c r="G145" s="44">
        <v>70802.22126676503</v>
      </c>
      <c r="H145" s="44">
        <v>0</v>
      </c>
      <c r="I145" s="44">
        <v>0</v>
      </c>
    </row>
    <row r="146" spans="1:9" ht="15">
      <c r="A146" s="87" t="str">
        <f>HLOOKUP(INDICE!$F$2,Nombres!$C$3:$D$636,55,FALSE)</f>
        <v>    of which loans and advances to customers</v>
      </c>
      <c r="B146" s="44">
        <v>67399.10126368164</v>
      </c>
      <c r="C146" s="44">
        <v>71042.35094544305</v>
      </c>
      <c r="D146" s="44">
        <v>69884.08600756266</v>
      </c>
      <c r="E146" s="45">
        <v>70488.64330440058</v>
      </c>
      <c r="F146" s="44">
        <v>69796.53525729133</v>
      </c>
      <c r="G146" s="44">
        <v>69370.40071475857</v>
      </c>
      <c r="H146" s="44">
        <v>0</v>
      </c>
      <c r="I146" s="44">
        <v>0</v>
      </c>
    </row>
    <row r="147" spans="1:9" ht="15" hidden="1">
      <c r="A147" s="87"/>
      <c r="B147" s="44"/>
      <c r="C147" s="44"/>
      <c r="D147" s="44"/>
      <c r="E147" s="45"/>
      <c r="F147" s="44"/>
      <c r="G147" s="44"/>
      <c r="H147" s="44"/>
      <c r="I147" s="44"/>
    </row>
    <row r="148" spans="1:9" ht="15">
      <c r="A148" s="43" t="str">
        <f>HLOOKUP(INDICE!$F$2,Nombres!$C$3:$D$636,56,FALSE)</f>
        <v>Tangible assets</v>
      </c>
      <c r="B148" s="44">
        <v>1157.4707406976545</v>
      </c>
      <c r="C148" s="44">
        <v>1142.790426493853</v>
      </c>
      <c r="D148" s="44">
        <v>1146.2071109668636</v>
      </c>
      <c r="E148" s="45">
        <v>1217.1329293771637</v>
      </c>
      <c r="F148" s="44">
        <v>1189.0725917065797</v>
      </c>
      <c r="G148" s="44">
        <v>1172.5059393587585</v>
      </c>
      <c r="H148" s="44">
        <v>0</v>
      </c>
      <c r="I148" s="44">
        <v>0</v>
      </c>
    </row>
    <row r="149" spans="1:9" ht="15">
      <c r="A149" s="87" t="str">
        <f>HLOOKUP(INDICE!$F$2,Nombres!$C$3:$D$636,57,FALSE)</f>
        <v>Other assets</v>
      </c>
      <c r="B149" s="58">
        <f aca="true" t="shared" si="25" ref="B149:I149">+B150-B148-B145-B144-B143</f>
        <v>1599.462003403174</v>
      </c>
      <c r="C149" s="58">
        <f t="shared" si="25"/>
        <v>1625.7311895425883</v>
      </c>
      <c r="D149" s="58">
        <f t="shared" si="25"/>
        <v>1695.418000886275</v>
      </c>
      <c r="E149" s="64">
        <f t="shared" si="25"/>
        <v>1827.8785220951795</v>
      </c>
      <c r="F149" s="44">
        <f t="shared" si="25"/>
        <v>1824.864578954488</v>
      </c>
      <c r="G149" s="44">
        <f t="shared" si="25"/>
        <v>1846.9719030037995</v>
      </c>
      <c r="H149" s="44">
        <f t="shared" si="25"/>
        <v>0</v>
      </c>
      <c r="I149" s="44">
        <f t="shared" si="25"/>
        <v>0</v>
      </c>
    </row>
    <row r="150" spans="1:9" ht="15">
      <c r="A150" s="90" t="str">
        <f>HLOOKUP(INDICE!$F$2,Nombres!$C$3:$D$636,58,FALSE)</f>
        <v>Total assets / Liabilities and equity</v>
      </c>
      <c r="B150" s="47">
        <v>105761.95487203806</v>
      </c>
      <c r="C150" s="47">
        <v>106146.86390861962</v>
      </c>
      <c r="D150" s="47">
        <v>109742.5088399637</v>
      </c>
      <c r="E150" s="47">
        <v>101863.82615168145</v>
      </c>
      <c r="F150" s="51">
        <v>100424.74223199364</v>
      </c>
      <c r="G150" s="51">
        <v>100177.35103091568</v>
      </c>
      <c r="H150" s="51">
        <v>0</v>
      </c>
      <c r="I150" s="51">
        <v>0</v>
      </c>
    </row>
    <row r="151" spans="1:9" ht="15">
      <c r="A151" s="87" t="str">
        <f>HLOOKUP(INDICE!$F$2,Nombres!$C$3:$D$636,59,FALSE)</f>
        <v>Financial liabilities held for trading and designated at fair value through profit or loss</v>
      </c>
      <c r="B151" s="58">
        <v>1169.6563615436403</v>
      </c>
      <c r="C151" s="58">
        <v>1726.0981186362885</v>
      </c>
      <c r="D151" s="58">
        <v>2457.558642921852</v>
      </c>
      <c r="E151" s="64">
        <v>1597.6384323759025</v>
      </c>
      <c r="F151" s="44">
        <v>1734.5022985913872</v>
      </c>
      <c r="G151" s="44">
        <v>1609.646825974296</v>
      </c>
      <c r="H151" s="44">
        <v>0</v>
      </c>
      <c r="I151" s="44">
        <v>0</v>
      </c>
    </row>
    <row r="152" spans="1:9" ht="15">
      <c r="A152" s="87" t="str">
        <f>HLOOKUP(INDICE!$F$2,Nombres!$C$3:$D$636,60,FALSE)</f>
        <v>Deposits from central banks and credit institutions</v>
      </c>
      <c r="B152" s="58">
        <v>18506.618269621486</v>
      </c>
      <c r="C152" s="58">
        <v>19960.8200503549</v>
      </c>
      <c r="D152" s="58">
        <v>20006.367605127074</v>
      </c>
      <c r="E152" s="64">
        <v>18606.711439051214</v>
      </c>
      <c r="F152" s="44">
        <v>17165.861260471935</v>
      </c>
      <c r="G152" s="44">
        <v>15730.847959327344</v>
      </c>
      <c r="H152" s="44">
        <v>0</v>
      </c>
      <c r="I152" s="44">
        <v>0</v>
      </c>
    </row>
    <row r="153" spans="1:9" ht="15">
      <c r="A153" s="87" t="str">
        <f>HLOOKUP(INDICE!$F$2,Nombres!$C$3:$D$636,61,FALSE)</f>
        <v>Deposits from customers</v>
      </c>
      <c r="B153" s="58">
        <v>67023.51766389208</v>
      </c>
      <c r="C153" s="58">
        <v>65760.9073969131</v>
      </c>
      <c r="D153" s="58">
        <v>68098.01839183131</v>
      </c>
      <c r="E153" s="64">
        <v>62818.876136453844</v>
      </c>
      <c r="F153" s="44">
        <v>61637.90186488822</v>
      </c>
      <c r="G153" s="44">
        <v>63377.109017812894</v>
      </c>
      <c r="H153" s="44">
        <v>0</v>
      </c>
      <c r="I153" s="44">
        <v>0</v>
      </c>
    </row>
    <row r="154" spans="1:9" ht="15">
      <c r="A154" s="43" t="str">
        <f>HLOOKUP(INDICE!$F$2,Nombres!$C$3:$D$636,62,FALSE)</f>
        <v>Debt certificates</v>
      </c>
      <c r="B154" s="44">
        <v>5868.74044553245</v>
      </c>
      <c r="C154" s="44">
        <v>5779.279927698184</v>
      </c>
      <c r="D154" s="44">
        <v>6034.188442258471</v>
      </c>
      <c r="E154" s="45">
        <v>5998.123993673071</v>
      </c>
      <c r="F154" s="44">
        <v>5649.994743359681</v>
      </c>
      <c r="G154" s="44">
        <v>6506.462407960147</v>
      </c>
      <c r="H154" s="44">
        <v>0</v>
      </c>
      <c r="I154" s="44">
        <v>0</v>
      </c>
    </row>
    <row r="155" spans="1:9" ht="15" hidden="1">
      <c r="A155" s="43"/>
      <c r="B155" s="44"/>
      <c r="C155" s="44"/>
      <c r="D155" s="44"/>
      <c r="E155" s="45"/>
      <c r="F155" s="44"/>
      <c r="G155" s="44"/>
      <c r="H155" s="44"/>
      <c r="I155" s="44"/>
    </row>
    <row r="156" spans="1:9" ht="15.75" customHeight="1">
      <c r="A156" s="87" t="str">
        <f>HLOOKUP(INDICE!$F$2,Nombres!$C$3:$D$636,63,FALSE)</f>
        <v>Other liabilities</v>
      </c>
      <c r="B156" s="58">
        <f aca="true" t="shared" si="26" ref="B156:I156">+B150-B151-B152-B153-B154-B157</f>
        <v>4743.585502732261</v>
      </c>
      <c r="C156" s="58">
        <f t="shared" si="26"/>
        <v>4322.954414415635</v>
      </c>
      <c r="D156" s="58">
        <f t="shared" si="26"/>
        <v>4118.963767916943</v>
      </c>
      <c r="E156" s="64">
        <f t="shared" si="26"/>
        <v>3454.7039111255563</v>
      </c>
      <c r="F156" s="44">
        <f t="shared" si="26"/>
        <v>4544.345050135451</v>
      </c>
      <c r="G156" s="44">
        <f t="shared" si="26"/>
        <v>3242.6946405864055</v>
      </c>
      <c r="H156" s="44">
        <f t="shared" si="26"/>
        <v>0</v>
      </c>
      <c r="I156" s="44">
        <f t="shared" si="26"/>
        <v>0</v>
      </c>
    </row>
    <row r="157" spans="1:9" ht="15.75" customHeight="1">
      <c r="A157" s="43" t="str">
        <f>HLOOKUP(INDICE!$F$2,Nombres!$C$3:$D$636,282,FALSE)</f>
        <v>Regulatory capital allocated</v>
      </c>
      <c r="B157" s="58">
        <v>8449.836628716133</v>
      </c>
      <c r="C157" s="58">
        <v>8596.804000601509</v>
      </c>
      <c r="D157" s="58">
        <v>9027.41198990805</v>
      </c>
      <c r="E157" s="64">
        <v>9387.77223900187</v>
      </c>
      <c r="F157" s="44">
        <v>9692.137014546974</v>
      </c>
      <c r="G157" s="44">
        <v>9710.590179254588</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Relevant business indicators</v>
      </c>
      <c r="B160" s="34"/>
      <c r="C160" s="34"/>
      <c r="D160" s="34"/>
      <c r="E160" s="34"/>
      <c r="F160" s="68"/>
      <c r="G160" s="68"/>
      <c r="H160" s="68"/>
      <c r="I160" s="68"/>
    </row>
    <row r="161" spans="1:9" ht="15">
      <c r="A161" s="83" t="str">
        <f>HLOOKUP(INDICE!$F$2,Nombres!$C$3:$D$636,79,FALSE)</f>
        <v>(Million Peruvian soles)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87" t="str">
        <f>HLOOKUP(INDICE!$F$2,Nombres!$C$3:$D$636,66,FALSE)</f>
        <v>Loans and advances to customers (gross) (*)</v>
      </c>
      <c r="B163" s="44">
        <v>71487.59561292877</v>
      </c>
      <c r="C163" s="44">
        <v>75222.20602943253</v>
      </c>
      <c r="D163" s="44">
        <v>73883.46506842301</v>
      </c>
      <c r="E163" s="45">
        <v>74100.30754175772</v>
      </c>
      <c r="F163" s="44">
        <v>73315.25453671537</v>
      </c>
      <c r="G163" s="44">
        <v>72977.99074260266</v>
      </c>
      <c r="H163" s="44">
        <v>0</v>
      </c>
      <c r="I163" s="44">
        <v>0</v>
      </c>
    </row>
    <row r="164" spans="1:9" ht="15">
      <c r="A164" s="87" t="str">
        <f>HLOOKUP(INDICE!$F$2,Nombres!$C$3:$D$636,67,FALSE)</f>
        <v>Customer deposits under management (*)</v>
      </c>
      <c r="B164" s="44">
        <v>67023.51813313995</v>
      </c>
      <c r="C164" s="44">
        <v>65760.89966808388</v>
      </c>
      <c r="D164" s="44">
        <v>68098.01761971945</v>
      </c>
      <c r="E164" s="45">
        <v>62818.82543439849</v>
      </c>
      <c r="F164" s="44">
        <v>61616.99009062639</v>
      </c>
      <c r="G164" s="44">
        <v>63363.425296979905</v>
      </c>
      <c r="H164" s="44">
        <v>0</v>
      </c>
      <c r="I164" s="44">
        <v>0</v>
      </c>
    </row>
    <row r="165" spans="1:9" ht="15">
      <c r="A165" s="43" t="str">
        <f>HLOOKUP(INDICE!$F$2,Nombres!$C$3:$D$636,68,FALSE)</f>
        <v>Investment funds and managed portfolios</v>
      </c>
      <c r="B165" s="44">
        <v>10704.94933894574</v>
      </c>
      <c r="C165" s="44">
        <v>9287.925393006437</v>
      </c>
      <c r="D165" s="44">
        <v>7894.805517027171</v>
      </c>
      <c r="E165" s="45">
        <v>7355.998026655065</v>
      </c>
      <c r="F165" s="44">
        <v>6336.757258993399</v>
      </c>
      <c r="G165" s="44">
        <v>5672.051274311708</v>
      </c>
      <c r="H165" s="44">
        <v>0</v>
      </c>
      <c r="I165" s="44">
        <v>0</v>
      </c>
    </row>
    <row r="166" spans="1:9" ht="15">
      <c r="A166" s="87" t="str">
        <f>HLOOKUP(INDICE!$F$2,Nombres!$C$3:$D$636,69,FALSE)</f>
        <v>Pension funds</v>
      </c>
      <c r="B166" s="44">
        <v>0</v>
      </c>
      <c r="C166" s="44">
        <v>0</v>
      </c>
      <c r="D166" s="44">
        <v>0</v>
      </c>
      <c r="E166" s="45">
        <v>0</v>
      </c>
      <c r="F166" s="44">
        <v>0</v>
      </c>
      <c r="G166" s="44">
        <v>0</v>
      </c>
      <c r="H166" s="44">
        <v>0</v>
      </c>
      <c r="I166" s="44">
        <v>0</v>
      </c>
    </row>
    <row r="167" spans="1:15" ht="15">
      <c r="A167" s="87" t="str">
        <f>HLOOKUP(INDICE!$F$2,Nombres!$C$3:$D$636,70,FALSE)</f>
        <v>Other off balance-sheet funds</v>
      </c>
      <c r="B167" s="44">
        <v>0</v>
      </c>
      <c r="C167" s="44">
        <v>0</v>
      </c>
      <c r="D167" s="44">
        <v>0</v>
      </c>
      <c r="E167" s="45">
        <v>0</v>
      </c>
      <c r="F167" s="44">
        <v>0</v>
      </c>
      <c r="G167" s="44">
        <v>0</v>
      </c>
      <c r="H167" s="44">
        <v>0</v>
      </c>
      <c r="I167" s="44">
        <v>0</v>
      </c>
      <c r="N167" s="73"/>
      <c r="O167" s="73"/>
    </row>
    <row r="168" spans="1:15" ht="15">
      <c r="A168" s="91" t="str">
        <f>HLOOKUP(INDICE!$F$2,Nombres!$C$3:$D$636,71,FALSE)</f>
        <v>(*) Excluding repos. </v>
      </c>
      <c r="B168" s="58"/>
      <c r="C168" s="58"/>
      <c r="D168" s="58"/>
      <c r="E168" s="58"/>
      <c r="F168" s="44"/>
      <c r="G168" s="44"/>
      <c r="H168" s="44"/>
      <c r="I168" s="44"/>
      <c r="N168" s="73"/>
      <c r="O168" s="73"/>
    </row>
    <row r="169" spans="1:15" ht="15">
      <c r="A169" s="91">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76">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82" t="str">
        <f>HLOOKUP(INDICE!$F$2,Nombres!$C$3:$D$636,263,FALSE)</f>
        <v>Rest of Business</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83"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1Q</v>
      </c>
      <c r="C7" s="84" t="str">
        <f>+España!C7</f>
        <v>2Q</v>
      </c>
      <c r="D7" s="84" t="str">
        <f>+España!D7</f>
        <v>3Q</v>
      </c>
      <c r="E7" s="85" t="str">
        <f>+España!E7</f>
        <v>4Q</v>
      </c>
      <c r="F7" s="84" t="str">
        <f>+España!F7</f>
        <v>1Q</v>
      </c>
      <c r="G7" s="84" t="str">
        <f>+España!G7</f>
        <v>2Q</v>
      </c>
      <c r="H7" s="84" t="str">
        <f>+España!H7</f>
        <v>3Q</v>
      </c>
      <c r="I7" s="84" t="str">
        <f>+España!I7</f>
        <v>4Q</v>
      </c>
    </row>
    <row r="8" spans="1:14" ht="15">
      <c r="A8" s="41" t="str">
        <f>HLOOKUP(INDICE!$F$2,Nombres!$C$3:$D$636,33,FALSE)</f>
        <v>Net interest income</v>
      </c>
      <c r="B8" s="41">
        <v>72.87927522000001</v>
      </c>
      <c r="C8" s="41">
        <v>68.00738393</v>
      </c>
      <c r="D8" s="41">
        <v>69.94415282</v>
      </c>
      <c r="E8" s="42">
        <v>72.05649285999999</v>
      </c>
      <c r="F8" s="50">
        <v>75.16487686</v>
      </c>
      <c r="G8" s="241">
        <v>79.87970389</v>
      </c>
      <c r="H8" s="241">
        <v>0</v>
      </c>
      <c r="I8" s="241">
        <v>0</v>
      </c>
      <c r="J8" s="86"/>
      <c r="K8" s="86"/>
      <c r="L8" s="86"/>
      <c r="M8" s="86"/>
      <c r="N8" s="86"/>
    </row>
    <row r="9" spans="1:9" ht="15">
      <c r="A9" s="87" t="str">
        <f>HLOOKUP(INDICE!$F$2,Nombres!$C$3:$D$636,34,FALSE)</f>
        <v>Net fees and commissions</v>
      </c>
      <c r="B9" s="44">
        <v>71.18238968</v>
      </c>
      <c r="C9" s="44">
        <v>60.971991079999995</v>
      </c>
      <c r="D9" s="44">
        <v>52.03419697</v>
      </c>
      <c r="E9" s="45">
        <v>57.78572011000001</v>
      </c>
      <c r="F9" s="44">
        <v>56.092037250000004</v>
      </c>
      <c r="G9" s="44">
        <v>65.45684638</v>
      </c>
      <c r="H9" s="44">
        <v>0</v>
      </c>
      <c r="I9" s="44">
        <v>0</v>
      </c>
    </row>
    <row r="10" spans="1:9" ht="15">
      <c r="A10" s="87" t="str">
        <f>HLOOKUP(INDICE!$F$2,Nombres!$C$3:$D$636,35,FALSE)</f>
        <v>Net trading income</v>
      </c>
      <c r="B10" s="44">
        <v>78.43823870000001</v>
      </c>
      <c r="C10" s="44">
        <v>54.411176080000004</v>
      </c>
      <c r="D10" s="44">
        <v>62.875532129999996</v>
      </c>
      <c r="E10" s="45">
        <v>40.01881293000001</v>
      </c>
      <c r="F10" s="44">
        <v>68.10386955999999</v>
      </c>
      <c r="G10" s="44">
        <v>35.235650719999995</v>
      </c>
      <c r="H10" s="44">
        <v>0</v>
      </c>
      <c r="I10" s="44">
        <v>0</v>
      </c>
    </row>
    <row r="11" spans="1:9" ht="15">
      <c r="A11" s="87" t="str">
        <f>HLOOKUP(INDICE!$F$2,Nombres!$C$3:$D$636,36,FALSE)</f>
        <v>Other operating income and expenses</v>
      </c>
      <c r="B11" s="44">
        <v>8.416999220000001</v>
      </c>
      <c r="C11" s="44">
        <v>7.957013449999996</v>
      </c>
      <c r="D11" s="44">
        <v>-2.540170099999999</v>
      </c>
      <c r="E11" s="45">
        <v>1.7754720799999992</v>
      </c>
      <c r="F11" s="44">
        <v>2.5557426499999996</v>
      </c>
      <c r="G11" s="44">
        <v>1.1864536800000003</v>
      </c>
      <c r="H11" s="44">
        <v>0</v>
      </c>
      <c r="I11" s="44">
        <v>0</v>
      </c>
    </row>
    <row r="12" spans="1:9" ht="15">
      <c r="A12" s="41" t="str">
        <f>HLOOKUP(INDICE!$F$2,Nombres!$C$3:$D$636,37,FALSE)</f>
        <v>Gross income</v>
      </c>
      <c r="B12" s="41">
        <f aca="true" t="shared" si="0" ref="B12:I12">+SUM(B8:B11)</f>
        <v>230.91690282000005</v>
      </c>
      <c r="C12" s="41">
        <f t="shared" si="0"/>
        <v>191.34756454000004</v>
      </c>
      <c r="D12" s="41">
        <f t="shared" si="0"/>
        <v>182.31371181999998</v>
      </c>
      <c r="E12" s="42">
        <f t="shared" si="0"/>
        <v>171.63649798</v>
      </c>
      <c r="F12" s="50">
        <f t="shared" si="0"/>
        <v>201.91652632000003</v>
      </c>
      <c r="G12" s="50">
        <f t="shared" si="0"/>
        <v>181.75865467</v>
      </c>
      <c r="H12" s="50">
        <f t="shared" si="0"/>
        <v>0</v>
      </c>
      <c r="I12" s="50">
        <f t="shared" si="0"/>
        <v>0</v>
      </c>
    </row>
    <row r="13" spans="1:9" ht="15">
      <c r="A13" s="87" t="str">
        <f>HLOOKUP(INDICE!$F$2,Nombres!$C$3:$D$636,38,FALSE)</f>
        <v>Operating expenses</v>
      </c>
      <c r="B13" s="44">
        <v>-115.42439358</v>
      </c>
      <c r="C13" s="44">
        <v>-112.56418681</v>
      </c>
      <c r="D13" s="44">
        <v>-98.97590073</v>
      </c>
      <c r="E13" s="45">
        <v>-125.99120153</v>
      </c>
      <c r="F13" s="44">
        <v>-114.80456537</v>
      </c>
      <c r="G13" s="44">
        <v>-118.83272841</v>
      </c>
      <c r="H13" s="44">
        <v>0</v>
      </c>
      <c r="I13" s="44">
        <v>0</v>
      </c>
    </row>
    <row r="14" spans="1:9" ht="15">
      <c r="A14" s="87" t="str">
        <f>HLOOKUP(INDICE!$F$2,Nombres!$C$3:$D$636,39,FALSE)</f>
        <v>  Administration expenses</v>
      </c>
      <c r="B14" s="44">
        <v>-110.62947158</v>
      </c>
      <c r="C14" s="44">
        <v>-107.66153381</v>
      </c>
      <c r="D14" s="44">
        <v>-93.16451364</v>
      </c>
      <c r="E14" s="45">
        <v>-121.28923562</v>
      </c>
      <c r="F14" s="44">
        <v>-109.53490038</v>
      </c>
      <c r="G14" s="44">
        <v>-113.2425214</v>
      </c>
      <c r="H14" s="44">
        <v>0</v>
      </c>
      <c r="I14" s="44">
        <v>0</v>
      </c>
    </row>
    <row r="15" spans="1:9" ht="15">
      <c r="A15" s="88" t="str">
        <f>HLOOKUP(INDICE!$F$2,Nombres!$C$3:$D$636,40,FALSE)</f>
        <v>  Personnel expenses</v>
      </c>
      <c r="B15" s="44">
        <v>-64.20751729</v>
      </c>
      <c r="C15" s="44">
        <v>-49.75614589</v>
      </c>
      <c r="D15" s="44">
        <v>-51.40792062</v>
      </c>
      <c r="E15" s="45">
        <v>-68.89956459</v>
      </c>
      <c r="F15" s="44">
        <v>-60.282898079999995</v>
      </c>
      <c r="G15" s="44">
        <v>-58.45085589999999</v>
      </c>
      <c r="H15" s="44">
        <v>0</v>
      </c>
      <c r="I15" s="44">
        <v>0</v>
      </c>
    </row>
    <row r="16" spans="1:9" ht="15">
      <c r="A16" s="88" t="str">
        <f>HLOOKUP(INDICE!$F$2,Nombres!$C$3:$D$636,41,FALSE)</f>
        <v>  General and administrative expenses</v>
      </c>
      <c r="B16" s="44">
        <v>-46.42195429</v>
      </c>
      <c r="C16" s="44">
        <v>-57.905387919999995</v>
      </c>
      <c r="D16" s="44">
        <v>-41.75659302000001</v>
      </c>
      <c r="E16" s="45">
        <v>-52.38967103</v>
      </c>
      <c r="F16" s="44">
        <v>-49.2520023</v>
      </c>
      <c r="G16" s="44">
        <v>-54.79166550000001</v>
      </c>
      <c r="H16" s="44">
        <v>0</v>
      </c>
      <c r="I16" s="44">
        <v>0</v>
      </c>
    </row>
    <row r="17" spans="1:9" ht="15">
      <c r="A17" s="87" t="str">
        <f>HLOOKUP(INDICE!$F$2,Nombres!$C$3:$D$636,42,FALSE)</f>
        <v>  Depreciation</v>
      </c>
      <c r="B17" s="44">
        <v>-4.794922000000001</v>
      </c>
      <c r="C17" s="44">
        <v>-4.902653</v>
      </c>
      <c r="D17" s="44">
        <v>-5.81138709</v>
      </c>
      <c r="E17" s="45">
        <v>-4.70196591</v>
      </c>
      <c r="F17" s="44">
        <v>-5.269664990000001</v>
      </c>
      <c r="G17" s="44">
        <v>-5.590207009999999</v>
      </c>
      <c r="H17" s="44">
        <v>0</v>
      </c>
      <c r="I17" s="44">
        <v>0</v>
      </c>
    </row>
    <row r="18" spans="1:9" ht="15">
      <c r="A18" s="41" t="str">
        <f>HLOOKUP(INDICE!$F$2,Nombres!$C$3:$D$636,43,FALSE)</f>
        <v>Operating income</v>
      </c>
      <c r="B18" s="41">
        <f aca="true" t="shared" si="1" ref="B18:I18">+B12+B13</f>
        <v>115.49250924000005</v>
      </c>
      <c r="C18" s="41">
        <f t="shared" si="1"/>
        <v>78.78337773000004</v>
      </c>
      <c r="D18" s="41">
        <f t="shared" si="1"/>
        <v>83.33781108999997</v>
      </c>
      <c r="E18" s="42">
        <f t="shared" si="1"/>
        <v>45.645296450000004</v>
      </c>
      <c r="F18" s="50">
        <f t="shared" si="1"/>
        <v>87.11196095000003</v>
      </c>
      <c r="G18" s="50">
        <f t="shared" si="1"/>
        <v>62.92592626</v>
      </c>
      <c r="H18" s="50">
        <f t="shared" si="1"/>
        <v>0</v>
      </c>
      <c r="I18" s="50">
        <f t="shared" si="1"/>
        <v>0</v>
      </c>
    </row>
    <row r="19" spans="1:9" ht="15">
      <c r="A19" s="87" t="str">
        <f>HLOOKUP(INDICE!$F$2,Nombres!$C$3:$D$636,44,FALSE)</f>
        <v>Impaiment on financial assets not measured at fair value through profit or loss</v>
      </c>
      <c r="B19" s="44">
        <v>1.8090720000000005</v>
      </c>
      <c r="C19" s="44">
        <v>13.476409870000001</v>
      </c>
      <c r="D19" s="44">
        <v>4.39651757</v>
      </c>
      <c r="E19" s="45">
        <v>7.1554055399999985</v>
      </c>
      <c r="F19" s="44">
        <v>7.381874779999999</v>
      </c>
      <c r="G19" s="44">
        <v>-7.522930580000001</v>
      </c>
      <c r="H19" s="44">
        <v>0</v>
      </c>
      <c r="I19" s="44">
        <v>0</v>
      </c>
    </row>
    <row r="20" spans="1:9" ht="15">
      <c r="A20" s="87" t="str">
        <f>HLOOKUP(INDICE!$F$2,Nombres!$C$3:$D$636,45,FALSE)</f>
        <v>Provisions or reversal of provisions and other results</v>
      </c>
      <c r="B20" s="44">
        <v>-12.414312000000002</v>
      </c>
      <c r="C20" s="44">
        <v>7.9530590000000005</v>
      </c>
      <c r="D20" s="44">
        <v>0.7069540000000012</v>
      </c>
      <c r="E20" s="45">
        <v>-0.11351500000000192</v>
      </c>
      <c r="F20" s="44">
        <v>9.783666000000004</v>
      </c>
      <c r="G20" s="44">
        <v>2.5324270000000015</v>
      </c>
      <c r="H20" s="44">
        <v>0</v>
      </c>
      <c r="I20" s="44">
        <v>0</v>
      </c>
    </row>
    <row r="21" spans="1:9" ht="15">
      <c r="A21" s="89" t="str">
        <f>HLOOKUP(INDICE!$F$2,Nombres!$C$3:$D$636,46,FALSE)</f>
        <v>Profit/(loss) before tax</v>
      </c>
      <c r="B21" s="41">
        <f aca="true" t="shared" si="2" ref="B21:I21">+B18+B19+B20</f>
        <v>104.88726924000005</v>
      </c>
      <c r="C21" s="41">
        <f t="shared" si="2"/>
        <v>100.21284660000003</v>
      </c>
      <c r="D21" s="41">
        <f t="shared" si="2"/>
        <v>88.44128265999997</v>
      </c>
      <c r="E21" s="42">
        <f t="shared" si="2"/>
        <v>52.68718699</v>
      </c>
      <c r="F21" s="50">
        <f t="shared" si="2"/>
        <v>104.27750173000004</v>
      </c>
      <c r="G21" s="50">
        <f t="shared" si="2"/>
        <v>57.935422679999995</v>
      </c>
      <c r="H21" s="50">
        <f t="shared" si="2"/>
        <v>0</v>
      </c>
      <c r="I21" s="50">
        <f t="shared" si="2"/>
        <v>0</v>
      </c>
    </row>
    <row r="22" spans="1:9" ht="15">
      <c r="A22" s="43" t="str">
        <f>HLOOKUP(INDICE!$F$2,Nombres!$C$3:$D$636,47,FALSE)</f>
        <v>Income tax</v>
      </c>
      <c r="B22" s="44">
        <v>-20.967429600000003</v>
      </c>
      <c r="C22" s="44">
        <v>-24.65330062</v>
      </c>
      <c r="D22" s="44">
        <v>-19.0056717</v>
      </c>
      <c r="E22" s="45">
        <v>-5.287886920000002</v>
      </c>
      <c r="F22" s="44">
        <v>-23.03511865</v>
      </c>
      <c r="G22" s="44">
        <v>-11.24564568</v>
      </c>
      <c r="H22" s="44">
        <v>0</v>
      </c>
      <c r="I22" s="44">
        <v>0</v>
      </c>
    </row>
    <row r="23" spans="1:9" ht="15">
      <c r="A23" s="89" t="str">
        <f>HLOOKUP(INDICE!$F$2,Nombres!$C$3:$D$636,48,FALSE)</f>
        <v>Profit/(loss) for the year</v>
      </c>
      <c r="B23" s="41">
        <f aca="true" t="shared" si="3" ref="B23:I23">+B21+B22</f>
        <v>83.91983964000005</v>
      </c>
      <c r="C23" s="41">
        <f t="shared" si="3"/>
        <v>75.55954598000004</v>
      </c>
      <c r="D23" s="41">
        <f t="shared" si="3"/>
        <v>69.43561095999996</v>
      </c>
      <c r="E23" s="42">
        <f t="shared" si="3"/>
        <v>47.399300069999995</v>
      </c>
      <c r="F23" s="50">
        <f t="shared" si="3"/>
        <v>81.24238308000004</v>
      </c>
      <c r="G23" s="50">
        <f t="shared" si="3"/>
        <v>46.68977699999999</v>
      </c>
      <c r="H23" s="50">
        <f t="shared" si="3"/>
        <v>0</v>
      </c>
      <c r="I23" s="50">
        <f t="shared" si="3"/>
        <v>0</v>
      </c>
    </row>
    <row r="24" spans="1:9" ht="15">
      <c r="A24" s="87" t="str">
        <f>HLOOKUP(INDICE!$F$2,Nombres!$C$3:$D$636,49,FALSE)</f>
        <v>Non-controlling interests</v>
      </c>
      <c r="B24" s="44">
        <v>0</v>
      </c>
      <c r="C24" s="44">
        <v>0</v>
      </c>
      <c r="D24" s="44">
        <v>0</v>
      </c>
      <c r="E24" s="45">
        <v>0</v>
      </c>
      <c r="F24" s="44">
        <v>0</v>
      </c>
      <c r="G24" s="44">
        <v>0</v>
      </c>
      <c r="H24" s="44">
        <v>0</v>
      </c>
      <c r="I24" s="44">
        <v>0</v>
      </c>
    </row>
    <row r="25" spans="1:9" ht="15">
      <c r="A25" s="90" t="str">
        <f>HLOOKUP(INDICE!$F$2,Nombres!$C$3:$D$636,50,FALSE)</f>
        <v>Net attributable profit</v>
      </c>
      <c r="B25" s="47">
        <f aca="true" t="shared" si="4" ref="B25:I25">+B23+B24</f>
        <v>83.91983964000005</v>
      </c>
      <c r="C25" s="47">
        <f t="shared" si="4"/>
        <v>75.55954598000004</v>
      </c>
      <c r="D25" s="47">
        <f t="shared" si="4"/>
        <v>69.43561095999996</v>
      </c>
      <c r="E25" s="47">
        <f t="shared" si="4"/>
        <v>47.399300069999995</v>
      </c>
      <c r="F25" s="51">
        <f t="shared" si="4"/>
        <v>81.24238308000004</v>
      </c>
      <c r="G25" s="51">
        <f t="shared" si="4"/>
        <v>46.68977699999999</v>
      </c>
      <c r="H25" s="51">
        <f t="shared" si="4"/>
        <v>0</v>
      </c>
      <c r="I25" s="51">
        <f t="shared" si="4"/>
        <v>0</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 sheets</v>
      </c>
      <c r="B28" s="34"/>
      <c r="C28" s="34"/>
      <c r="D28" s="34"/>
      <c r="E28" s="34"/>
      <c r="F28" s="34"/>
      <c r="G28" s="34"/>
      <c r="H28" s="34"/>
      <c r="I28" s="34"/>
    </row>
    <row r="29" spans="1:9" ht="15">
      <c r="A29" s="83"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Cash, cash balances at central banks and other demand deposits</v>
      </c>
      <c r="B31" s="44">
        <v>5508.754560000003</v>
      </c>
      <c r="C31" s="44">
        <v>4012.909028</v>
      </c>
      <c r="D31" s="44">
        <v>4453.812191</v>
      </c>
      <c r="E31" s="45">
        <v>3970.3978829900007</v>
      </c>
      <c r="F31" s="44">
        <v>3831.999396</v>
      </c>
      <c r="G31" s="44">
        <v>5108.223216</v>
      </c>
      <c r="H31" s="44">
        <v>0</v>
      </c>
      <c r="I31" s="44">
        <v>0</v>
      </c>
    </row>
    <row r="32" spans="1:9" ht="15">
      <c r="A32" s="87" t="str">
        <f>HLOOKUP(INDICE!$F$2,Nombres!$C$3:$D$636,53,FALSE)</f>
        <v>Financial assets designated at fair value </v>
      </c>
      <c r="B32" s="58">
        <v>2159.45582639</v>
      </c>
      <c r="C32" s="58">
        <v>2444.56078539</v>
      </c>
      <c r="D32" s="58">
        <v>2552.7362243800003</v>
      </c>
      <c r="E32" s="64">
        <v>5681.96247239</v>
      </c>
      <c r="F32" s="44">
        <v>8584.09004439</v>
      </c>
      <c r="G32" s="44">
        <v>5714.56048539</v>
      </c>
      <c r="H32" s="44">
        <v>0</v>
      </c>
      <c r="I32" s="44">
        <v>0</v>
      </c>
    </row>
    <row r="33" spans="1:9" ht="15">
      <c r="A33" s="43" t="str">
        <f>HLOOKUP(INDICE!$F$2,Nombres!$C$3:$D$636,54,FALSE)</f>
        <v>Financial assets at amortized cost</v>
      </c>
      <c r="B33" s="44">
        <v>27962.148812</v>
      </c>
      <c r="C33" s="44">
        <v>27467.525536999998</v>
      </c>
      <c r="D33" s="44">
        <v>28529.20180963</v>
      </c>
      <c r="E33" s="45">
        <v>30314.794124</v>
      </c>
      <c r="F33" s="44">
        <v>34731.94877</v>
      </c>
      <c r="G33" s="44">
        <v>34949.66198401</v>
      </c>
      <c r="H33" s="44">
        <v>0</v>
      </c>
      <c r="I33" s="44">
        <v>0</v>
      </c>
    </row>
    <row r="34" spans="1:9" ht="15">
      <c r="A34" s="87" t="str">
        <f>HLOOKUP(INDICE!$F$2,Nombres!$C$3:$D$636,55,FALSE)</f>
        <v>    of which loans and advances to customers</v>
      </c>
      <c r="B34" s="44">
        <v>24462.093666000004</v>
      </c>
      <c r="C34" s="44">
        <v>24271.657212</v>
      </c>
      <c r="D34" s="44">
        <v>25017.218725630002</v>
      </c>
      <c r="E34" s="45">
        <v>26965.260049999997</v>
      </c>
      <c r="F34" s="44">
        <v>31494.501316</v>
      </c>
      <c r="G34" s="44">
        <v>32141.867406</v>
      </c>
      <c r="H34" s="44">
        <v>0</v>
      </c>
      <c r="I34" s="44">
        <v>0</v>
      </c>
    </row>
    <row r="35" spans="1:9" ht="15">
      <c r="A35" s="87" t="str">
        <f>HLOOKUP(INDICE!$F$2,Nombres!$C$3:$D$636,121,FALSE)</f>
        <v>Inter-area positions</v>
      </c>
      <c r="B35" s="44">
        <v>0</v>
      </c>
      <c r="C35" s="44">
        <v>0</v>
      </c>
      <c r="D35" s="44">
        <v>0</v>
      </c>
      <c r="E35" s="45">
        <v>0</v>
      </c>
      <c r="F35" s="44">
        <v>0</v>
      </c>
      <c r="G35" s="44">
        <v>0</v>
      </c>
      <c r="H35" s="44">
        <v>0</v>
      </c>
      <c r="I35" s="44">
        <v>0</v>
      </c>
    </row>
    <row r="36" spans="1:9" ht="15">
      <c r="A36" s="43" t="str">
        <f>HLOOKUP(INDICE!$F$2,Nombres!$C$3:$D$636,56,FALSE)</f>
        <v>Tangible assets</v>
      </c>
      <c r="B36" s="44">
        <v>72.698882</v>
      </c>
      <c r="C36" s="44">
        <v>68.3416</v>
      </c>
      <c r="D36" s="44">
        <v>64.94780399</v>
      </c>
      <c r="E36" s="45">
        <v>69.841946</v>
      </c>
      <c r="F36" s="44">
        <v>79.43390499</v>
      </c>
      <c r="G36" s="44">
        <v>76.8518325</v>
      </c>
      <c r="H36" s="44">
        <v>0</v>
      </c>
      <c r="I36" s="44">
        <v>0</v>
      </c>
    </row>
    <row r="37" spans="1:9" ht="15">
      <c r="A37" s="87" t="str">
        <f>HLOOKUP(INDICE!$F$2,Nombres!$C$3:$D$636,57,FALSE)</f>
        <v>Other assets</v>
      </c>
      <c r="B37" s="58">
        <f>+B38-B36-B33-B32-B31-B35</f>
        <v>338.55237499998657</v>
      </c>
      <c r="C37" s="58">
        <f aca="true" t="shared" si="5" ref="C37:I37">+C38-C36-C33-C32-C31</f>
        <v>418.88084458999765</v>
      </c>
      <c r="D37" s="58">
        <f t="shared" si="5"/>
        <v>363.43964401000176</v>
      </c>
      <c r="E37" s="64">
        <f t="shared" si="5"/>
        <v>291.2442870000068</v>
      </c>
      <c r="F37" s="44">
        <f t="shared" si="5"/>
        <v>366.1890509899995</v>
      </c>
      <c r="G37" s="44">
        <f t="shared" si="5"/>
        <v>326.22490300000027</v>
      </c>
      <c r="H37" s="44">
        <f t="shared" si="5"/>
        <v>0</v>
      </c>
      <c r="I37" s="44">
        <f t="shared" si="5"/>
        <v>0</v>
      </c>
    </row>
    <row r="38" spans="1:9" ht="15">
      <c r="A38" s="90" t="str">
        <f>HLOOKUP(INDICE!$F$2,Nombres!$C$3:$D$636,58,FALSE)</f>
        <v>Total assets / Liabilities and equity</v>
      </c>
      <c r="B38" s="47">
        <v>36041.610455389986</v>
      </c>
      <c r="C38" s="47">
        <v>34412.217794979995</v>
      </c>
      <c r="D38" s="47">
        <v>35964.13767301</v>
      </c>
      <c r="E38" s="70">
        <v>40328.24071238001</v>
      </c>
      <c r="F38" s="47">
        <v>47593.66116637</v>
      </c>
      <c r="G38" s="47">
        <v>46175.5224209</v>
      </c>
      <c r="H38" s="47">
        <v>0</v>
      </c>
      <c r="I38" s="47">
        <v>0</v>
      </c>
    </row>
    <row r="39" spans="1:9" ht="15">
      <c r="A39" s="87" t="str">
        <f>HLOOKUP(INDICE!$F$2,Nombres!$C$3:$D$636,59,FALSE)</f>
        <v>Financial liabilities held for trading and designated at fair value through profit or loss</v>
      </c>
      <c r="B39" s="58">
        <v>1508.9990369999998</v>
      </c>
      <c r="C39" s="58">
        <v>1803.7522860000001</v>
      </c>
      <c r="D39" s="58">
        <v>1904.733948</v>
      </c>
      <c r="E39" s="64">
        <v>5060.051628</v>
      </c>
      <c r="F39" s="44">
        <v>7913.3688489999995</v>
      </c>
      <c r="G39" s="44">
        <v>5024.269488</v>
      </c>
      <c r="H39" s="44">
        <v>0</v>
      </c>
      <c r="I39" s="44">
        <v>0</v>
      </c>
    </row>
    <row r="40" spans="1:9" ht="15">
      <c r="A40" s="87" t="str">
        <f>HLOOKUP(INDICE!$F$2,Nombres!$C$3:$D$636,60,FALSE)</f>
        <v>Deposits from central banks and credit institutions</v>
      </c>
      <c r="B40" s="58">
        <v>1552.9310349999998</v>
      </c>
      <c r="C40" s="58">
        <v>1478.405105</v>
      </c>
      <c r="D40" s="58">
        <v>1797.902211</v>
      </c>
      <c r="E40" s="64">
        <v>1709.0559929999997</v>
      </c>
      <c r="F40" s="44">
        <v>1842.218038</v>
      </c>
      <c r="G40" s="44">
        <v>1838.9726120000003</v>
      </c>
      <c r="H40" s="44">
        <v>0</v>
      </c>
      <c r="I40" s="44">
        <v>0</v>
      </c>
    </row>
    <row r="41" spans="1:9" ht="15.75" customHeight="1">
      <c r="A41" s="87" t="str">
        <f>HLOOKUP(INDICE!$F$2,Nombres!$C$3:$D$636,61,FALSE)</f>
        <v>Deposits from customers</v>
      </c>
      <c r="B41" s="58">
        <v>6764.373215</v>
      </c>
      <c r="C41" s="58">
        <v>6873.259162</v>
      </c>
      <c r="D41" s="58">
        <v>7341.137872</v>
      </c>
      <c r="E41" s="64">
        <v>6265.901332</v>
      </c>
      <c r="F41" s="44">
        <v>6649.53784499</v>
      </c>
      <c r="G41" s="44">
        <v>7734.917937</v>
      </c>
      <c r="H41" s="44">
        <v>0</v>
      </c>
      <c r="I41" s="44">
        <v>0</v>
      </c>
    </row>
    <row r="42" spans="1:9" ht="15">
      <c r="A42" s="43" t="str">
        <f>HLOOKUP(INDICE!$F$2,Nombres!$C$3:$D$636,62,FALSE)</f>
        <v>Debt certificates</v>
      </c>
      <c r="B42" s="44">
        <v>1127.41828218</v>
      </c>
      <c r="C42" s="44">
        <v>1325.5407824000001</v>
      </c>
      <c r="D42" s="44">
        <v>1248.7509037999998</v>
      </c>
      <c r="E42" s="45">
        <v>1165.86687295</v>
      </c>
      <c r="F42" s="44">
        <v>1348.27974588</v>
      </c>
      <c r="G42" s="44">
        <v>1413.9869129499998</v>
      </c>
      <c r="H42" s="44">
        <v>0</v>
      </c>
      <c r="I42" s="44">
        <v>0</v>
      </c>
    </row>
    <row r="43" spans="1:9" ht="15">
      <c r="A43" s="87" t="str">
        <f>HLOOKUP(INDICE!$F$2,Nombres!$C$3:$D$636,122,FALSE)</f>
        <v>Inter-area positions</v>
      </c>
      <c r="B43" s="44">
        <v>21514.959469459995</v>
      </c>
      <c r="C43" s="44">
        <v>18616.68675053999</v>
      </c>
      <c r="D43" s="44">
        <v>19531.007104660002</v>
      </c>
      <c r="E43" s="45">
        <v>22085.139969500007</v>
      </c>
      <c r="F43" s="44">
        <v>25226.0188573</v>
      </c>
      <c r="G43" s="44">
        <v>25140.95239302</v>
      </c>
      <c r="H43" s="44">
        <v>0</v>
      </c>
      <c r="I43" s="44">
        <v>0</v>
      </c>
    </row>
    <row r="44" spans="1:9" ht="15">
      <c r="A44" s="43" t="str">
        <f>HLOOKUP(INDICE!$F$2,Nombres!$C$3:$D$636,63,FALSE)</f>
        <v>Other liabilities</v>
      </c>
      <c r="B44" s="58">
        <f aca="true" t="shared" si="6" ref="B44:I44">+B38-B39-B40-B41-B42-B45-B43</f>
        <v>574.1000383299906</v>
      </c>
      <c r="C44" s="58">
        <f t="shared" si="6"/>
        <v>865.5943011100026</v>
      </c>
      <c r="D44" s="58">
        <f t="shared" si="6"/>
        <v>833.5067807000014</v>
      </c>
      <c r="E44" s="64">
        <f t="shared" si="6"/>
        <v>754.9956385699988</v>
      </c>
      <c r="F44" s="58">
        <f t="shared" si="6"/>
        <v>897.6733432100009</v>
      </c>
      <c r="G44" s="58">
        <f t="shared" si="6"/>
        <v>964.4729169400052</v>
      </c>
      <c r="H44" s="58">
        <f t="shared" si="6"/>
        <v>0</v>
      </c>
      <c r="I44" s="58">
        <f t="shared" si="6"/>
        <v>0</v>
      </c>
    </row>
    <row r="45" spans="1:9" ht="15">
      <c r="A45" s="43" t="str">
        <f>HLOOKUP(INDICE!$F$2,Nombres!$C$3:$D$636,282,FALSE)</f>
        <v>Regulatory capital allocated</v>
      </c>
      <c r="B45" s="58">
        <v>2998.8293784200005</v>
      </c>
      <c r="C45" s="58">
        <v>3448.97940793</v>
      </c>
      <c r="D45" s="58">
        <v>3307.0988528499997</v>
      </c>
      <c r="E45" s="64">
        <v>3287.2292783599996</v>
      </c>
      <c r="F45" s="58">
        <v>3716.564487989999</v>
      </c>
      <c r="G45" s="58">
        <v>4057.9501609900003</v>
      </c>
      <c r="H45" s="58">
        <v>0</v>
      </c>
      <c r="I45" s="58">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Relevant business indicators</v>
      </c>
      <c r="B48" s="34"/>
      <c r="C48" s="34"/>
      <c r="D48" s="34"/>
      <c r="E48" s="34"/>
      <c r="F48" s="68"/>
      <c r="G48" s="68"/>
      <c r="H48" s="68"/>
      <c r="I48" s="68"/>
    </row>
    <row r="49" spans="1:9" ht="15">
      <c r="A49" s="83"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Loans and advances to customers (gross) (*)</v>
      </c>
      <c r="B51" s="44">
        <v>24775.911675</v>
      </c>
      <c r="C51" s="44">
        <v>24568.571178</v>
      </c>
      <c r="D51" s="44">
        <v>25308.56451763</v>
      </c>
      <c r="E51" s="45">
        <v>27250.371290999996</v>
      </c>
      <c r="F51" s="44">
        <v>31768.864961999996</v>
      </c>
      <c r="G51" s="44">
        <v>32427.772833999996</v>
      </c>
      <c r="H51" s="44">
        <v>0</v>
      </c>
      <c r="I51" s="44">
        <v>0</v>
      </c>
    </row>
    <row r="52" spans="1:9" ht="15">
      <c r="A52" s="87" t="str">
        <f>HLOOKUP(INDICE!$F$2,Nombres!$C$3:$D$636,67,FALSE)</f>
        <v>Customer deposits under management (*)</v>
      </c>
      <c r="B52" s="44">
        <v>6764.373215</v>
      </c>
      <c r="C52" s="44">
        <v>6873.259162</v>
      </c>
      <c r="D52" s="44">
        <v>7341.137872</v>
      </c>
      <c r="E52" s="45">
        <v>6265.901332</v>
      </c>
      <c r="F52" s="44">
        <v>6649.53784499</v>
      </c>
      <c r="G52" s="44">
        <v>7734.917937000001</v>
      </c>
      <c r="H52" s="44">
        <v>0</v>
      </c>
      <c r="I52" s="44">
        <v>0</v>
      </c>
    </row>
    <row r="53" spans="1:9" ht="15">
      <c r="A53" s="43" t="str">
        <f>HLOOKUP(INDICE!$F$2,Nombres!$C$3:$D$636,68,FALSE)</f>
        <v>Investment funds and managed portfolios</v>
      </c>
      <c r="B53" s="44">
        <v>0</v>
      </c>
      <c r="C53" s="44">
        <v>0</v>
      </c>
      <c r="D53" s="44">
        <v>0</v>
      </c>
      <c r="E53" s="45">
        <v>0</v>
      </c>
      <c r="F53" s="44">
        <v>0</v>
      </c>
      <c r="G53" s="44">
        <v>0</v>
      </c>
      <c r="H53" s="44">
        <v>0</v>
      </c>
      <c r="I53" s="44">
        <v>0</v>
      </c>
    </row>
    <row r="54" spans="1:9" ht="15">
      <c r="A54" s="87" t="str">
        <f>HLOOKUP(INDICE!$F$2,Nombres!$C$3:$D$636,69,FALSE)</f>
        <v>Pension funds</v>
      </c>
      <c r="B54" s="44">
        <v>529.59826012</v>
      </c>
      <c r="C54" s="44">
        <v>549.65363599</v>
      </c>
      <c r="D54" s="44">
        <v>566.58063193</v>
      </c>
      <c r="E54" s="45">
        <v>597.24904247</v>
      </c>
      <c r="F54" s="44">
        <v>580.94406159</v>
      </c>
      <c r="G54" s="44">
        <v>522.57530376</v>
      </c>
      <c r="H54" s="44">
        <v>0</v>
      </c>
      <c r="I54" s="44">
        <v>0</v>
      </c>
    </row>
    <row r="55" spans="1:9" ht="15">
      <c r="A55" s="87" t="str">
        <f>HLOOKUP(INDICE!$F$2,Nombres!$C$3:$D$636,70,FALSE)</f>
        <v>Other off balance-sheet funds</v>
      </c>
      <c r="B55" s="44">
        <v>0</v>
      </c>
      <c r="C55" s="44">
        <v>0</v>
      </c>
      <c r="D55" s="44">
        <v>0</v>
      </c>
      <c r="E55" s="45">
        <v>0</v>
      </c>
      <c r="F55" s="44">
        <v>0</v>
      </c>
      <c r="G55" s="44">
        <v>0</v>
      </c>
      <c r="H55" s="44">
        <v>0</v>
      </c>
      <c r="I55" s="44">
        <v>0</v>
      </c>
    </row>
    <row r="56" spans="1:9" ht="15">
      <c r="A56" s="91" t="str">
        <f>HLOOKUP(INDICE!$F$2,Nombres!$C$3:$D$636,71,FALSE)</f>
        <v>(*) Excluding repos. </v>
      </c>
      <c r="B56" s="58"/>
      <c r="C56" s="58"/>
      <c r="D56" s="58"/>
      <c r="E56" s="58"/>
      <c r="F56" s="44"/>
      <c r="G56" s="44"/>
      <c r="H56" s="44"/>
      <c r="I56" s="44"/>
    </row>
    <row r="57" spans="1:9" ht="15">
      <c r="A57" s="91">
        <f>HLOOKUP(INDICE!$F$2,Nombres!$C$3:$D$636,72,FALSE)</f>
        <v>0</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Income statement  </v>
      </c>
      <c r="B59" s="34"/>
      <c r="C59" s="34"/>
      <c r="D59" s="34"/>
      <c r="E59" s="34"/>
      <c r="F59" s="68"/>
      <c r="G59" s="68"/>
      <c r="H59" s="68"/>
      <c r="I59" s="68"/>
    </row>
    <row r="60" spans="1:9" ht="15">
      <c r="A60" s="83" t="str">
        <f>HLOOKUP(INDICE!$F$2,Nombres!$C$3:$D$636,73,FALSE)</f>
        <v>(Constant million euros)    </v>
      </c>
      <c r="B60" s="30"/>
      <c r="C60" s="36"/>
      <c r="D60" s="36"/>
      <c r="E60" s="36"/>
      <c r="F60" s="69"/>
      <c r="G60" s="69"/>
      <c r="H60" s="69"/>
      <c r="I60" s="69"/>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84" t="str">
        <f aca="true" t="shared" si="8" ref="B63:I63">+B$7</f>
        <v>1Q</v>
      </c>
      <c r="C63" s="84" t="str">
        <f t="shared" si="8"/>
        <v>2Q</v>
      </c>
      <c r="D63" s="84" t="str">
        <f t="shared" si="8"/>
        <v>3Q</v>
      </c>
      <c r="E63" s="85" t="str">
        <f t="shared" si="8"/>
        <v>4Q</v>
      </c>
      <c r="F63" s="84" t="str">
        <f t="shared" si="8"/>
        <v>1Q</v>
      </c>
      <c r="G63" s="84" t="str">
        <f t="shared" si="8"/>
        <v>2Q</v>
      </c>
      <c r="H63" s="84" t="str">
        <f t="shared" si="8"/>
        <v>3Q</v>
      </c>
      <c r="I63" s="84" t="str">
        <f t="shared" si="8"/>
        <v>4Q</v>
      </c>
    </row>
    <row r="64" spans="1:9" ht="15">
      <c r="A64" s="41" t="str">
        <f>HLOOKUP(INDICE!$F$2,Nombres!$C$3:$D$636,33,FALSE)</f>
        <v>Net interest income</v>
      </c>
      <c r="B64" s="41">
        <v>75.26932850331363</v>
      </c>
      <c r="C64" s="41">
        <v>70.46015135837223</v>
      </c>
      <c r="D64" s="41">
        <v>70.78464813759025</v>
      </c>
      <c r="E64" s="42">
        <v>72.45505301947178</v>
      </c>
      <c r="F64" s="50">
        <v>76.41779711456371</v>
      </c>
      <c r="G64" s="50">
        <v>78.6267836354363</v>
      </c>
      <c r="H64" s="50">
        <v>0</v>
      </c>
      <c r="I64" s="50">
        <v>0</v>
      </c>
    </row>
    <row r="65" spans="1:9" ht="15">
      <c r="A65" s="87" t="str">
        <f>HLOOKUP(INDICE!$F$2,Nombres!$C$3:$D$636,34,FALSE)</f>
        <v>Net fees and commissions</v>
      </c>
      <c r="B65" s="44">
        <v>75.0804128995498</v>
      </c>
      <c r="C65" s="44">
        <v>64.38728442146642</v>
      </c>
      <c r="D65" s="44">
        <v>53.06423809632364</v>
      </c>
      <c r="E65" s="45">
        <v>58.119311641823764</v>
      </c>
      <c r="F65" s="44">
        <v>56.90375760286064</v>
      </c>
      <c r="G65" s="44">
        <v>64.64512602713936</v>
      </c>
      <c r="H65" s="44">
        <v>0</v>
      </c>
      <c r="I65" s="44">
        <v>0</v>
      </c>
    </row>
    <row r="66" spans="1:9" ht="15">
      <c r="A66" s="87" t="str">
        <f>HLOOKUP(INDICE!$F$2,Nombres!$C$3:$D$636,35,FALSE)</f>
        <v>Net trading income</v>
      </c>
      <c r="B66" s="44">
        <v>81.89254781140161</v>
      </c>
      <c r="C66" s="44">
        <v>57.581509825006265</v>
      </c>
      <c r="D66" s="44">
        <v>64.68604680858944</v>
      </c>
      <c r="E66" s="45">
        <v>38.83067745596217</v>
      </c>
      <c r="F66" s="44">
        <v>69.48726975175123</v>
      </c>
      <c r="G66" s="44">
        <v>33.85225052824878</v>
      </c>
      <c r="H66" s="44">
        <v>0</v>
      </c>
      <c r="I66" s="44">
        <v>0</v>
      </c>
    </row>
    <row r="67" spans="1:9" ht="15">
      <c r="A67" s="87" t="str">
        <f>HLOOKUP(INDICE!$F$2,Nombres!$C$3:$D$636,36,FALSE)</f>
        <v>Other operating income and expenses</v>
      </c>
      <c r="B67" s="44">
        <v>9.344440044701091</v>
      </c>
      <c r="C67" s="44">
        <v>8.27056007566083</v>
      </c>
      <c r="D67" s="44">
        <v>-2.7958898359519964</v>
      </c>
      <c r="E67" s="45">
        <v>1.7138607653259204</v>
      </c>
      <c r="F67" s="44">
        <v>2.693875685363169</v>
      </c>
      <c r="G67" s="44">
        <v>1.0483206446368312</v>
      </c>
      <c r="H67" s="44">
        <v>0</v>
      </c>
      <c r="I67" s="44">
        <v>0</v>
      </c>
    </row>
    <row r="68" spans="1:9" ht="15">
      <c r="A68" s="41" t="str">
        <f>HLOOKUP(INDICE!$F$2,Nombres!$C$3:$D$636,37,FALSE)</f>
        <v>Gross income</v>
      </c>
      <c r="B68" s="41">
        <f aca="true" t="shared" si="9" ref="B68:I68">+SUM(B64:B67)</f>
        <v>241.58672925896613</v>
      </c>
      <c r="C68" s="41">
        <f t="shared" si="9"/>
        <v>200.69950568050572</v>
      </c>
      <c r="D68" s="41">
        <f t="shared" si="9"/>
        <v>185.73904320655134</v>
      </c>
      <c r="E68" s="42">
        <f t="shared" si="9"/>
        <v>171.11890288258363</v>
      </c>
      <c r="F68" s="50">
        <f t="shared" si="9"/>
        <v>205.50270015453876</v>
      </c>
      <c r="G68" s="50">
        <f t="shared" si="9"/>
        <v>178.17248083546124</v>
      </c>
      <c r="H68" s="50">
        <f t="shared" si="9"/>
        <v>0</v>
      </c>
      <c r="I68" s="50">
        <f t="shared" si="9"/>
        <v>0</v>
      </c>
    </row>
    <row r="69" spans="1:9" ht="15">
      <c r="A69" s="87" t="str">
        <f>HLOOKUP(INDICE!$F$2,Nombres!$C$3:$D$636,38,FALSE)</f>
        <v>Operating expenses</v>
      </c>
      <c r="B69" s="44">
        <v>-121.34842476100431</v>
      </c>
      <c r="C69" s="44">
        <v>-118.40368694618215</v>
      </c>
      <c r="D69" s="44">
        <v>-100.8083834747988</v>
      </c>
      <c r="E69" s="45">
        <v>-127.25689457175838</v>
      </c>
      <c r="F69" s="44">
        <v>-116.68789645214952</v>
      </c>
      <c r="G69" s="44">
        <v>-116.94939732785049</v>
      </c>
      <c r="H69" s="44">
        <v>0</v>
      </c>
      <c r="I69" s="44">
        <v>0</v>
      </c>
    </row>
    <row r="70" spans="1:9" ht="15">
      <c r="A70" s="87" t="str">
        <f>HLOOKUP(INDICE!$F$2,Nombres!$C$3:$D$636,39,FALSE)</f>
        <v>  Administration expenses</v>
      </c>
      <c r="B70" s="44">
        <v>-116.42159536105305</v>
      </c>
      <c r="C70" s="44">
        <v>-113.35341492809222</v>
      </c>
      <c r="D70" s="44">
        <v>-94.85400949038268</v>
      </c>
      <c r="E70" s="45">
        <v>-122.55802857014436</v>
      </c>
      <c r="F70" s="44">
        <v>-111.37825512796638</v>
      </c>
      <c r="G70" s="44">
        <v>-111.39916665203361</v>
      </c>
      <c r="H70" s="44">
        <v>0</v>
      </c>
      <c r="I70" s="44">
        <v>0</v>
      </c>
    </row>
    <row r="71" spans="1:9" ht="15">
      <c r="A71" s="88" t="str">
        <f>HLOOKUP(INDICE!$F$2,Nombres!$C$3:$D$636,40,FALSE)</f>
        <v>  Personnel expenses</v>
      </c>
      <c r="B71" s="44">
        <v>-67.96443795524236</v>
      </c>
      <c r="C71" s="44">
        <v>-52.27471528908603</v>
      </c>
      <c r="D71" s="44">
        <v>-52.60982141177826</v>
      </c>
      <c r="E71" s="45">
        <v>-69.84868085303431</v>
      </c>
      <c r="F71" s="44">
        <v>-61.30158615062215</v>
      </c>
      <c r="G71" s="44">
        <v>-57.43216782937786</v>
      </c>
      <c r="H71" s="44">
        <v>0</v>
      </c>
      <c r="I71" s="44">
        <v>0</v>
      </c>
    </row>
    <row r="72" spans="1:9" ht="15">
      <c r="A72" s="88" t="str">
        <f>HLOOKUP(INDICE!$F$2,Nombres!$C$3:$D$636,41,FALSE)</f>
        <v>  General and administrative expenses</v>
      </c>
      <c r="B72" s="44">
        <v>-48.457157405810676</v>
      </c>
      <c r="C72" s="44">
        <v>-61.07869963900618</v>
      </c>
      <c r="D72" s="44">
        <v>-42.244188078604424</v>
      </c>
      <c r="E72" s="45">
        <v>-52.70934771711006</v>
      </c>
      <c r="F72" s="44">
        <v>-50.07666897734424</v>
      </c>
      <c r="G72" s="44">
        <v>-53.96699882265576</v>
      </c>
      <c r="H72" s="44">
        <v>0</v>
      </c>
      <c r="I72" s="44">
        <v>0</v>
      </c>
    </row>
    <row r="73" spans="1:9" ht="15">
      <c r="A73" s="87" t="str">
        <f>HLOOKUP(INDICE!$F$2,Nombres!$C$3:$D$636,42,FALSE)</f>
        <v>  Depreciation</v>
      </c>
      <c r="B73" s="44">
        <v>-4.926829399951274</v>
      </c>
      <c r="C73" s="44">
        <v>-5.050272018089936</v>
      </c>
      <c r="D73" s="44">
        <v>-5.954373984416122</v>
      </c>
      <c r="E73" s="45">
        <v>-4.698866001614023</v>
      </c>
      <c r="F73" s="44">
        <v>-5.309641324183125</v>
      </c>
      <c r="G73" s="44">
        <v>-5.550230675816875</v>
      </c>
      <c r="H73" s="44">
        <v>0</v>
      </c>
      <c r="I73" s="44">
        <v>0</v>
      </c>
    </row>
    <row r="74" spans="1:9" ht="15">
      <c r="A74" s="41" t="str">
        <f>HLOOKUP(INDICE!$F$2,Nombres!$C$3:$D$636,43,FALSE)</f>
        <v>Operating income</v>
      </c>
      <c r="B74" s="41">
        <f aca="true" t="shared" si="10" ref="B74:I74">+B68+B69</f>
        <v>120.23830449796182</v>
      </c>
      <c r="C74" s="41">
        <f t="shared" si="10"/>
        <v>82.29581873432357</v>
      </c>
      <c r="D74" s="41">
        <f t="shared" si="10"/>
        <v>84.93065973175254</v>
      </c>
      <c r="E74" s="42">
        <f t="shared" si="10"/>
        <v>43.862008310825246</v>
      </c>
      <c r="F74" s="50">
        <f t="shared" si="10"/>
        <v>88.81480370238924</v>
      </c>
      <c r="G74" s="50">
        <f t="shared" si="10"/>
        <v>61.22308350761075</v>
      </c>
      <c r="H74" s="50">
        <f t="shared" si="10"/>
        <v>0</v>
      </c>
      <c r="I74" s="50">
        <f t="shared" si="10"/>
        <v>0</v>
      </c>
    </row>
    <row r="75" spans="1:9" ht="15">
      <c r="A75" s="87" t="str">
        <f>HLOOKUP(INDICE!$F$2,Nombres!$C$3:$D$636,44,FALSE)</f>
        <v>Impaiment on financial assets not measured at fair value through profit or loss</v>
      </c>
      <c r="B75" s="44">
        <v>3.050108838145878</v>
      </c>
      <c r="C75" s="44">
        <v>14.881637648166382</v>
      </c>
      <c r="D75" s="44">
        <v>3.1983606020016135</v>
      </c>
      <c r="E75" s="45">
        <v>7.1189145080659095</v>
      </c>
      <c r="F75" s="44">
        <v>7.549032750920331</v>
      </c>
      <c r="G75" s="44">
        <v>-7.690088550920334</v>
      </c>
      <c r="H75" s="44">
        <v>0</v>
      </c>
      <c r="I75" s="44">
        <v>0</v>
      </c>
    </row>
    <row r="76" spans="1:9" ht="15">
      <c r="A76" s="87" t="str">
        <f>HLOOKUP(INDICE!$F$2,Nombres!$C$3:$D$636,45,FALSE)</f>
        <v>Provisions or reversal of provisions and other results</v>
      </c>
      <c r="B76" s="44">
        <v>-13.16708314046505</v>
      </c>
      <c r="C76" s="44">
        <v>9.150624193705156</v>
      </c>
      <c r="D76" s="44">
        <v>0.0764687935861052</v>
      </c>
      <c r="E76" s="45">
        <v>-0.1047915690271386</v>
      </c>
      <c r="F76" s="44">
        <v>10.461736340428093</v>
      </c>
      <c r="G76" s="44">
        <v>1.8543566595719065</v>
      </c>
      <c r="H76" s="44">
        <v>0</v>
      </c>
      <c r="I76" s="44">
        <v>0</v>
      </c>
    </row>
    <row r="77" spans="1:9" ht="15">
      <c r="A77" s="89" t="str">
        <f>HLOOKUP(INDICE!$F$2,Nombres!$C$3:$D$636,46,FALSE)</f>
        <v>Profit/(loss) before tax</v>
      </c>
      <c r="B77" s="41">
        <f aca="true" t="shared" si="11" ref="B77:I77">+B74+B75+B76</f>
        <v>110.12133019564264</v>
      </c>
      <c r="C77" s="41">
        <f t="shared" si="11"/>
        <v>106.32808057619512</v>
      </c>
      <c r="D77" s="41">
        <f t="shared" si="11"/>
        <v>88.20548912734026</v>
      </c>
      <c r="E77" s="42">
        <f t="shared" si="11"/>
        <v>50.876131249864024</v>
      </c>
      <c r="F77" s="50">
        <f t="shared" si="11"/>
        <v>106.82557279373766</v>
      </c>
      <c r="G77" s="50">
        <f t="shared" si="11"/>
        <v>55.38735161626232</v>
      </c>
      <c r="H77" s="50">
        <f t="shared" si="11"/>
        <v>0</v>
      </c>
      <c r="I77" s="50">
        <f t="shared" si="11"/>
        <v>0</v>
      </c>
    </row>
    <row r="78" spans="1:9" ht="15">
      <c r="A78" s="43" t="str">
        <f>HLOOKUP(INDICE!$F$2,Nombres!$C$3:$D$636,47,FALSE)</f>
        <v>Income tax</v>
      </c>
      <c r="B78" s="44">
        <v>-22.143667610664025</v>
      </c>
      <c r="C78" s="44">
        <v>-25.91538083729536</v>
      </c>
      <c r="D78" s="44">
        <v>-18.934206643476294</v>
      </c>
      <c r="E78" s="45">
        <v>-4.291599619246792</v>
      </c>
      <c r="F78" s="44">
        <v>-23.565743709717214</v>
      </c>
      <c r="G78" s="44">
        <v>-10.715020620282784</v>
      </c>
      <c r="H78" s="44">
        <v>0</v>
      </c>
      <c r="I78" s="44">
        <v>0</v>
      </c>
    </row>
    <row r="79" spans="1:9" ht="15">
      <c r="A79" s="89" t="str">
        <f>HLOOKUP(INDICE!$F$2,Nombres!$C$3:$D$636,48,FALSE)</f>
        <v>Profit/(loss) for the year</v>
      </c>
      <c r="B79" s="41">
        <f aca="true" t="shared" si="12" ref="B79:I79">+B77+B78</f>
        <v>87.97766258497862</v>
      </c>
      <c r="C79" s="41">
        <f t="shared" si="12"/>
        <v>80.41269973889976</v>
      </c>
      <c r="D79" s="41">
        <f t="shared" si="12"/>
        <v>69.27128248386396</v>
      </c>
      <c r="E79" s="42">
        <f t="shared" si="12"/>
        <v>46.584531630617235</v>
      </c>
      <c r="F79" s="50">
        <f t="shared" si="12"/>
        <v>83.25982908402045</v>
      </c>
      <c r="G79" s="50">
        <f t="shared" si="12"/>
        <v>44.672330995979536</v>
      </c>
      <c r="H79" s="50">
        <f t="shared" si="12"/>
        <v>0</v>
      </c>
      <c r="I79" s="50">
        <f t="shared" si="12"/>
        <v>0</v>
      </c>
    </row>
    <row r="80" spans="1:9" ht="15">
      <c r="A80" s="87" t="str">
        <f>HLOOKUP(INDICE!$F$2,Nombres!$C$3:$D$636,49,FALSE)</f>
        <v>Non-controlling interests</v>
      </c>
      <c r="B80" s="44">
        <v>0</v>
      </c>
      <c r="C80" s="44">
        <v>0</v>
      </c>
      <c r="D80" s="44">
        <v>0</v>
      </c>
      <c r="E80" s="45">
        <v>0</v>
      </c>
      <c r="F80" s="44">
        <v>0</v>
      </c>
      <c r="G80" s="44">
        <v>0</v>
      </c>
      <c r="H80" s="44">
        <v>0</v>
      </c>
      <c r="I80" s="44">
        <v>0</v>
      </c>
    </row>
    <row r="81" spans="1:9" ht="15">
      <c r="A81" s="90" t="str">
        <f>HLOOKUP(INDICE!$F$2,Nombres!$C$3:$D$636,50,FALSE)</f>
        <v>Net attributable profit</v>
      </c>
      <c r="B81" s="47">
        <f aca="true" t="shared" si="13" ref="B81:I81">+B79+B80</f>
        <v>87.97766258497862</v>
      </c>
      <c r="C81" s="47">
        <f t="shared" si="13"/>
        <v>80.41269973889976</v>
      </c>
      <c r="D81" s="47">
        <f t="shared" si="13"/>
        <v>69.27128248386396</v>
      </c>
      <c r="E81" s="47">
        <f t="shared" si="13"/>
        <v>46.584531630617235</v>
      </c>
      <c r="F81" s="51">
        <f t="shared" si="13"/>
        <v>83.25982908402045</v>
      </c>
      <c r="G81" s="51">
        <f t="shared" si="13"/>
        <v>44.672330995979536</v>
      </c>
      <c r="H81" s="51">
        <f t="shared" si="13"/>
        <v>0</v>
      </c>
      <c r="I81" s="51">
        <f t="shared" si="13"/>
        <v>0</v>
      </c>
    </row>
    <row r="82" spans="1:9" ht="15">
      <c r="A82" s="91"/>
      <c r="B82" s="63">
        <v>0</v>
      </c>
      <c r="C82" s="63">
        <v>0</v>
      </c>
      <c r="D82" s="63">
        <v>0</v>
      </c>
      <c r="E82" s="63">
        <v>0</v>
      </c>
      <c r="F82" s="63">
        <v>0</v>
      </c>
      <c r="G82" s="63">
        <v>-5.684341886080802E-14</v>
      </c>
      <c r="H82" s="63">
        <v>0</v>
      </c>
      <c r="I82" s="63">
        <v>0</v>
      </c>
    </row>
    <row r="83" spans="1:9" ht="15">
      <c r="A83" s="41"/>
      <c r="B83" s="41"/>
      <c r="C83" s="41"/>
      <c r="D83" s="41"/>
      <c r="E83" s="41"/>
      <c r="F83" s="50"/>
      <c r="G83" s="50"/>
      <c r="H83" s="50"/>
      <c r="I83" s="50"/>
    </row>
    <row r="84" spans="1:9" ht="18">
      <c r="A84" s="92" t="str">
        <f>HLOOKUP(INDICE!$F$2,Nombres!$C$3:$D$636,51,FALSE)</f>
        <v>Balance sheets</v>
      </c>
      <c r="B84" s="34"/>
      <c r="C84" s="34"/>
      <c r="D84" s="34"/>
      <c r="E84" s="34"/>
      <c r="F84" s="68"/>
      <c r="G84" s="68"/>
      <c r="H84" s="68"/>
      <c r="I84" s="68"/>
    </row>
    <row r="85" spans="1:9" ht="15">
      <c r="A85" s="83"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Cash, cash balances at central banks and other demand deposits</v>
      </c>
      <c r="B87" s="44">
        <v>6205.005109059596</v>
      </c>
      <c r="C87" s="44">
        <v>4567.278544552567</v>
      </c>
      <c r="D87" s="44">
        <v>4947.454944413257</v>
      </c>
      <c r="E87" s="45">
        <v>4310.731075106729</v>
      </c>
      <c r="F87" s="44">
        <v>4080.4613136548537</v>
      </c>
      <c r="G87" s="44">
        <v>5108.223216</v>
      </c>
      <c r="H87" s="44">
        <v>0</v>
      </c>
      <c r="I87" s="44">
        <v>0</v>
      </c>
    </row>
    <row r="88" spans="1:9" ht="15">
      <c r="A88" s="87" t="str">
        <f>HLOOKUP(INDICE!$F$2,Nombres!$C$3:$D$636,53,FALSE)</f>
        <v>Financial assets designated at fair value </v>
      </c>
      <c r="B88" s="58">
        <v>2372.2214951183664</v>
      </c>
      <c r="C88" s="58">
        <v>2724.8974276780286</v>
      </c>
      <c r="D88" s="58">
        <v>2790.951810881993</v>
      </c>
      <c r="E88" s="64">
        <v>6151.351680310283</v>
      </c>
      <c r="F88" s="44">
        <v>9137.091976509617</v>
      </c>
      <c r="G88" s="44">
        <v>5714.56048539</v>
      </c>
      <c r="H88" s="44">
        <v>0</v>
      </c>
      <c r="I88" s="44">
        <v>0</v>
      </c>
    </row>
    <row r="89" spans="1:9" ht="15">
      <c r="A89" s="43" t="str">
        <f>HLOOKUP(INDICE!$F$2,Nombres!$C$3:$D$636,54,FALSE)</f>
        <v>Financial assets at amortized cost</v>
      </c>
      <c r="B89" s="44">
        <v>28694.20694646276</v>
      </c>
      <c r="C89" s="44">
        <v>28232.99548322109</v>
      </c>
      <c r="D89" s="44">
        <v>29123.09877517551</v>
      </c>
      <c r="E89" s="45">
        <v>30950.37674411587</v>
      </c>
      <c r="F89" s="44">
        <v>35309.57303630542</v>
      </c>
      <c r="G89" s="44">
        <v>34949.66198401</v>
      </c>
      <c r="H89" s="44">
        <v>0</v>
      </c>
      <c r="I89" s="44">
        <v>0</v>
      </c>
    </row>
    <row r="90" spans="1:9" ht="15">
      <c r="A90" s="87" t="str">
        <f>HLOOKUP(INDICE!$F$2,Nombres!$C$3:$D$636,55,FALSE)</f>
        <v>    of which loans and advances to customers</v>
      </c>
      <c r="B90" s="44">
        <v>25108.876180226045</v>
      </c>
      <c r="C90" s="44">
        <v>24953.46758101271</v>
      </c>
      <c r="D90" s="44">
        <v>25531.80116004638</v>
      </c>
      <c r="E90" s="45">
        <v>27557.423441943185</v>
      </c>
      <c r="F90" s="44">
        <v>32035.19981258522</v>
      </c>
      <c r="G90" s="44">
        <v>32141.867406</v>
      </c>
      <c r="H90" s="44">
        <v>0</v>
      </c>
      <c r="I90" s="44">
        <v>0</v>
      </c>
    </row>
    <row r="91" spans="1:9" ht="15">
      <c r="A91" s="87" t="str">
        <f>HLOOKUP(INDICE!$F$2,Nombres!$C$3:$D$636,121,FALSE)</f>
        <v>Inter-area positions</v>
      </c>
      <c r="B91" s="44">
        <v>0</v>
      </c>
      <c r="C91" s="44">
        <v>0</v>
      </c>
      <c r="D91" s="44">
        <v>0</v>
      </c>
      <c r="E91" s="45">
        <v>0</v>
      </c>
      <c r="F91" s="44">
        <v>0</v>
      </c>
      <c r="G91" s="44">
        <v>0</v>
      </c>
      <c r="H91" s="44">
        <v>0</v>
      </c>
      <c r="I91" s="44">
        <v>0</v>
      </c>
    </row>
    <row r="92" spans="1:9" ht="15">
      <c r="A92" s="43" t="str">
        <f>HLOOKUP(INDICE!$F$2,Nombres!$C$3:$D$636,56,FALSE)</f>
        <v>Tangible assets</v>
      </c>
      <c r="B92" s="44">
        <v>74.389125611323</v>
      </c>
      <c r="C92" s="44">
        <v>69.99820654690777</v>
      </c>
      <c r="D92" s="44">
        <v>66.2094237428107</v>
      </c>
      <c r="E92" s="45">
        <v>70.68972615377923</v>
      </c>
      <c r="F92" s="44">
        <v>80.0277354696248</v>
      </c>
      <c r="G92" s="44">
        <v>76.8518325</v>
      </c>
      <c r="H92" s="44">
        <v>0</v>
      </c>
      <c r="I92" s="44">
        <v>0</v>
      </c>
    </row>
    <row r="93" spans="1:9" ht="15">
      <c r="A93" s="87" t="str">
        <f>HLOOKUP(INDICE!$F$2,Nombres!$C$3:$D$636,57,FALSE)</f>
        <v>Other assets</v>
      </c>
      <c r="B93" s="58">
        <f>+B94-B92-B89-B88-B87-B91</f>
        <v>356.6594402097244</v>
      </c>
      <c r="C93" s="58">
        <f aca="true" t="shared" si="15" ref="C93:I93">+C94-C92-C89-C88-C87</f>
        <v>443.15396566751133</v>
      </c>
      <c r="D93" s="58">
        <f t="shared" si="15"/>
        <v>383.0381230777539</v>
      </c>
      <c r="E93" s="64">
        <f t="shared" si="15"/>
        <v>301.1647690555965</v>
      </c>
      <c r="F93" s="44">
        <f t="shared" si="15"/>
        <v>379.440866641306</v>
      </c>
      <c r="G93" s="44">
        <f t="shared" si="15"/>
        <v>326.22490300000027</v>
      </c>
      <c r="H93" s="44">
        <f t="shared" si="15"/>
        <v>0</v>
      </c>
      <c r="I93" s="44">
        <f t="shared" si="15"/>
        <v>0</v>
      </c>
    </row>
    <row r="94" spans="1:9" ht="15">
      <c r="A94" s="90" t="str">
        <f>HLOOKUP(INDICE!$F$2,Nombres!$C$3:$D$636,58,FALSE)</f>
        <v>Total assets / Liabilities and equity</v>
      </c>
      <c r="B94" s="47">
        <v>37702.48211646177</v>
      </c>
      <c r="C94" s="47">
        <v>36038.323627666105</v>
      </c>
      <c r="D94" s="47">
        <v>37310.75307729132</v>
      </c>
      <c r="E94" s="70">
        <v>41784.31399474226</v>
      </c>
      <c r="F94" s="51">
        <v>48986.59492858082</v>
      </c>
      <c r="G94" s="51">
        <v>46175.5224209</v>
      </c>
      <c r="H94" s="51">
        <v>0</v>
      </c>
      <c r="I94" s="51">
        <v>0</v>
      </c>
    </row>
    <row r="95" spans="1:9" ht="15">
      <c r="A95" s="87" t="str">
        <f>HLOOKUP(INDICE!$F$2,Nombres!$C$3:$D$636,59,FALSE)</f>
        <v>Financial liabilities held for trading and designated at fair value through profit or loss</v>
      </c>
      <c r="B95" s="58">
        <v>1699.3835611629322</v>
      </c>
      <c r="C95" s="58">
        <v>2057.514698386085</v>
      </c>
      <c r="D95" s="58">
        <v>2119.7617000542373</v>
      </c>
      <c r="E95" s="64">
        <v>5513.74627864897</v>
      </c>
      <c r="F95" s="44">
        <v>8454.653695973777</v>
      </c>
      <c r="G95" s="44">
        <v>5024.269488</v>
      </c>
      <c r="H95" s="44">
        <v>0</v>
      </c>
      <c r="I95" s="44">
        <v>0</v>
      </c>
    </row>
    <row r="96" spans="1:9" ht="15">
      <c r="A96" s="87" t="str">
        <f>HLOOKUP(INDICE!$F$2,Nombres!$C$3:$D$636,60,FALSE)</f>
        <v>Deposits from central banks and credit institutions</v>
      </c>
      <c r="B96" s="58">
        <v>1668.6011587443281</v>
      </c>
      <c r="C96" s="58">
        <v>1594.363878656753</v>
      </c>
      <c r="D96" s="58">
        <v>1913.3597851277927</v>
      </c>
      <c r="E96" s="64">
        <v>1795.8750186028622</v>
      </c>
      <c r="F96" s="44">
        <v>1899.8240966919861</v>
      </c>
      <c r="G96" s="44">
        <v>1838.9726120000003</v>
      </c>
      <c r="H96" s="44">
        <v>0</v>
      </c>
      <c r="I96" s="44">
        <v>0</v>
      </c>
    </row>
    <row r="97" spans="1:9" ht="15">
      <c r="A97" s="87" t="str">
        <f>HLOOKUP(INDICE!$F$2,Nombres!$C$3:$D$636,61,FALSE)</f>
        <v>Deposits from customers</v>
      </c>
      <c r="B97" s="58">
        <v>7226.242881684568</v>
      </c>
      <c r="C97" s="58">
        <v>7305.444236546083</v>
      </c>
      <c r="D97" s="58">
        <v>7719.366780932019</v>
      </c>
      <c r="E97" s="64">
        <v>6478.182181179278</v>
      </c>
      <c r="F97" s="44">
        <v>6856.12832252187</v>
      </c>
      <c r="G97" s="44">
        <v>7734.917937</v>
      </c>
      <c r="H97" s="44">
        <v>0</v>
      </c>
      <c r="I97" s="44">
        <v>0</v>
      </c>
    </row>
    <row r="98" spans="1:9" ht="15">
      <c r="A98" s="43" t="str">
        <f>HLOOKUP(INDICE!$F$2,Nombres!$C$3:$D$636,62,FALSE)</f>
        <v>Debt certificates</v>
      </c>
      <c r="B98" s="44">
        <v>1162.9558897835436</v>
      </c>
      <c r="C98" s="44">
        <v>1369.0048080387658</v>
      </c>
      <c r="D98" s="44">
        <v>1284.919830630095</v>
      </c>
      <c r="E98" s="45">
        <v>1196.204104332705</v>
      </c>
      <c r="F98" s="44">
        <v>1377.3706059747647</v>
      </c>
      <c r="G98" s="44">
        <v>1413.9869129499998</v>
      </c>
      <c r="H98" s="44">
        <v>0</v>
      </c>
      <c r="I98" s="44">
        <v>0</v>
      </c>
    </row>
    <row r="99" spans="1:9" ht="15">
      <c r="A99" s="87" t="str">
        <f>HLOOKUP(INDICE!$F$2,Nombres!$C$3:$D$636,122,FALSE)</f>
        <v>Inter-area positions</v>
      </c>
      <c r="B99" s="44">
        <v>22236.749219627924</v>
      </c>
      <c r="C99" s="44">
        <v>19227.35618488246</v>
      </c>
      <c r="D99" s="44">
        <v>19989.75060979129</v>
      </c>
      <c r="E99" s="45">
        <v>22645.514850478005</v>
      </c>
      <c r="F99" s="44">
        <v>25679.621947059757</v>
      </c>
      <c r="G99" s="44">
        <v>25140.95239302</v>
      </c>
      <c r="H99" s="44">
        <v>0</v>
      </c>
      <c r="I99" s="44">
        <v>0</v>
      </c>
    </row>
    <row r="100" spans="1:9" ht="15">
      <c r="A100" s="43" t="str">
        <f>HLOOKUP(INDICE!$F$2,Nombres!$C$3:$D$636,63,FALSE)</f>
        <v>Other liabilities</v>
      </c>
      <c r="B100" s="58">
        <f aca="true" t="shared" si="16" ref="B100:I100">+B94-B95-B96-B97-B98-B101-B99</f>
        <v>598.7182461267221</v>
      </c>
      <c r="C100" s="58">
        <f t="shared" si="16"/>
        <v>917.801985824779</v>
      </c>
      <c r="D100" s="58">
        <f t="shared" si="16"/>
        <v>870.2313447832057</v>
      </c>
      <c r="E100" s="64">
        <f t="shared" si="16"/>
        <v>779.4514697976701</v>
      </c>
      <c r="F100" s="58">
        <f t="shared" si="16"/>
        <v>931.8424081056874</v>
      </c>
      <c r="G100" s="58">
        <f t="shared" si="16"/>
        <v>964.4729169400052</v>
      </c>
      <c r="H100" s="58">
        <f t="shared" si="16"/>
        <v>0</v>
      </c>
      <c r="I100" s="58">
        <f t="shared" si="16"/>
        <v>0</v>
      </c>
    </row>
    <row r="101" spans="1:9" ht="15">
      <c r="A101" s="43" t="str">
        <f>HLOOKUP(INDICE!$F$2,Nombres!$C$3:$D$636,282,FALSE)</f>
        <v>Regulatory capital allocated</v>
      </c>
      <c r="B101" s="58">
        <v>3109.8311593317485</v>
      </c>
      <c r="C101" s="58">
        <v>3566.8378353311805</v>
      </c>
      <c r="D101" s="58">
        <v>3413.363025972683</v>
      </c>
      <c r="E101" s="64">
        <v>3375.3400917027716</v>
      </c>
      <c r="F101" s="58">
        <v>3787.153852252975</v>
      </c>
      <c r="G101" s="58">
        <v>4057.9501609900003</v>
      </c>
      <c r="H101" s="58">
        <v>0</v>
      </c>
      <c r="I101" s="58">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Relevant business indicators</v>
      </c>
      <c r="B104" s="34"/>
      <c r="C104" s="34"/>
      <c r="D104" s="34"/>
      <c r="E104" s="34"/>
      <c r="F104" s="68"/>
      <c r="G104" s="68"/>
      <c r="H104" s="68"/>
      <c r="I104" s="68"/>
    </row>
    <row r="105" spans="1:9" ht="15">
      <c r="A105" s="83"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Loans and advances to customers (gross) (*)</v>
      </c>
      <c r="B107" s="44">
        <v>25425.31736443987</v>
      </c>
      <c r="C107" s="44">
        <v>25251.668996557815</v>
      </c>
      <c r="D107" s="44">
        <v>25824.077407484918</v>
      </c>
      <c r="E107" s="45">
        <v>27843.244507007017</v>
      </c>
      <c r="F107" s="44">
        <v>32309.956093694873</v>
      </c>
      <c r="G107" s="44">
        <v>32427.772833999996</v>
      </c>
      <c r="H107" s="44">
        <v>0</v>
      </c>
      <c r="I107" s="44">
        <v>0</v>
      </c>
    </row>
    <row r="108" spans="1:9" ht="15">
      <c r="A108" s="87" t="str">
        <f>HLOOKUP(INDICE!$F$2,Nombres!$C$3:$D$636,67,FALSE)</f>
        <v>Customer deposits under management (*)</v>
      </c>
      <c r="B108" s="44">
        <v>7226.242881684568</v>
      </c>
      <c r="C108" s="44">
        <v>7305.444236546084</v>
      </c>
      <c r="D108" s="44">
        <v>7719.366780932018</v>
      </c>
      <c r="E108" s="45">
        <v>6478.182181179278</v>
      </c>
      <c r="F108" s="44">
        <v>6856.128322521871</v>
      </c>
      <c r="G108" s="44">
        <v>7734.917937000001</v>
      </c>
      <c r="H108" s="44">
        <v>0</v>
      </c>
      <c r="I108" s="44">
        <v>0</v>
      </c>
    </row>
    <row r="109" spans="1:9" ht="15">
      <c r="A109" s="43" t="str">
        <f>HLOOKUP(INDICE!$F$2,Nombres!$C$3:$D$636,68,FALSE)</f>
        <v>Investment funds and managed portfolios</v>
      </c>
      <c r="B109" s="44">
        <v>0</v>
      </c>
      <c r="C109" s="44">
        <v>0</v>
      </c>
      <c r="D109" s="44">
        <v>0</v>
      </c>
      <c r="E109" s="45">
        <v>0</v>
      </c>
      <c r="F109" s="44">
        <v>0</v>
      </c>
      <c r="G109" s="44">
        <v>0</v>
      </c>
      <c r="H109" s="44">
        <v>0</v>
      </c>
      <c r="I109" s="44">
        <v>0</v>
      </c>
    </row>
    <row r="110" spans="1:9" ht="15">
      <c r="A110" s="87" t="str">
        <f>HLOOKUP(INDICE!$F$2,Nombres!$C$3:$D$636,69,FALSE)</f>
        <v>Pension funds</v>
      </c>
      <c r="B110" s="44">
        <v>529.59826012</v>
      </c>
      <c r="C110" s="44">
        <v>549.65363599</v>
      </c>
      <c r="D110" s="44">
        <v>566.58063193</v>
      </c>
      <c r="E110" s="45">
        <v>597.24904247</v>
      </c>
      <c r="F110" s="44">
        <v>580.94406159</v>
      </c>
      <c r="G110" s="44">
        <v>522.57530376</v>
      </c>
      <c r="H110" s="44">
        <v>0</v>
      </c>
      <c r="I110" s="44">
        <v>0</v>
      </c>
    </row>
    <row r="111" spans="1:9" ht="15">
      <c r="A111" s="87" t="str">
        <f>HLOOKUP(INDICE!$F$2,Nombres!$C$3:$D$636,70,FALSE)</f>
        <v>Other off balance-sheet funds</v>
      </c>
      <c r="B111" s="44">
        <v>0</v>
      </c>
      <c r="C111" s="44">
        <v>0</v>
      </c>
      <c r="D111" s="44">
        <v>0</v>
      </c>
      <c r="E111" s="45">
        <v>0</v>
      </c>
      <c r="F111" s="44">
        <v>0</v>
      </c>
      <c r="G111" s="44">
        <v>0</v>
      </c>
      <c r="H111" s="44">
        <v>0</v>
      </c>
      <c r="I111" s="44">
        <v>0</v>
      </c>
    </row>
    <row r="112" spans="1:9" ht="15">
      <c r="A112" s="91" t="str">
        <f>HLOOKUP(INDICE!$F$2,Nombres!$C$3:$D$636,71,FALSE)</f>
        <v>(*) Excluding repos. </v>
      </c>
      <c r="B112" s="58"/>
      <c r="C112" s="58"/>
      <c r="D112" s="58"/>
      <c r="E112" s="58"/>
      <c r="F112" s="58"/>
      <c r="G112" s="58"/>
      <c r="H112" s="58"/>
      <c r="I112" s="58"/>
    </row>
    <row r="113" spans="1:9" ht="15">
      <c r="A113" s="91">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4">
    <mergeCell ref="B6:E6"/>
    <mergeCell ref="B62:E62"/>
    <mergeCell ref="F6:I6"/>
    <mergeCell ref="F62:I62"/>
  </mergeCells>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7"/>
  <sheetViews>
    <sheetView showGridLines="0" zoomScalePageLayoutView="0" workbookViewId="0" topLeftCell="A16">
      <selection activeCell="A1" sqref="A1"/>
    </sheetView>
  </sheetViews>
  <sheetFormatPr defaultColWidth="11.421875" defaultRowHeight="15"/>
  <cols>
    <col min="1" max="1" width="96.7109375" style="31" customWidth="1"/>
    <col min="2" max="2" width="10.421875" style="31" customWidth="1"/>
    <col min="3" max="7" width="11.421875" style="31" customWidth="1"/>
    <col min="8" max="9" width="0" style="31" hidden="1" customWidth="1"/>
    <col min="10" max="16384" width="11.421875" style="31" customWidth="1"/>
  </cols>
  <sheetData>
    <row r="1" spans="1:9" ht="18">
      <c r="A1" s="82" t="str">
        <f>HLOOKUP(INDICE!$F$2,Nombres!$C$3:$D$636,19,FALSE)</f>
        <v>Corporate Center </v>
      </c>
      <c r="B1" s="30"/>
      <c r="C1" s="30"/>
      <c r="D1" s="30"/>
      <c r="E1" s="30"/>
      <c r="F1" s="30"/>
      <c r="G1" s="30"/>
      <c r="H1" s="30"/>
      <c r="I1" s="30"/>
    </row>
    <row r="2" spans="1:9" ht="19.5">
      <c r="A2" s="32"/>
      <c r="B2" s="30"/>
      <c r="C2" s="30"/>
      <c r="D2" s="30"/>
      <c r="E2" s="30"/>
      <c r="F2" s="30"/>
      <c r="G2" s="30"/>
      <c r="H2" s="30"/>
      <c r="I2" s="30"/>
    </row>
    <row r="3" spans="1:9" ht="18">
      <c r="A3" s="92" t="str">
        <f>HLOOKUP(INDICE!$F$2,Nombres!$C$3:$D$636,31,FALSE)</f>
        <v>Income statement  </v>
      </c>
      <c r="B3" s="34"/>
      <c r="C3" s="34"/>
      <c r="D3" s="34"/>
      <c r="E3" s="34"/>
      <c r="F3" s="34"/>
      <c r="G3" s="34"/>
      <c r="H3" s="34"/>
      <c r="I3" s="34"/>
    </row>
    <row r="4" spans="1:9" ht="15">
      <c r="A4" s="83"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84" t="str">
        <f>+España!B7</f>
        <v>1Q</v>
      </c>
      <c r="C7" s="84" t="str">
        <f>+España!C7</f>
        <v>2Q</v>
      </c>
      <c r="D7" s="84" t="str">
        <f>+España!D7</f>
        <v>3Q</v>
      </c>
      <c r="E7" s="85" t="str">
        <f>+España!E7</f>
        <v>4Q</v>
      </c>
      <c r="F7" s="84" t="str">
        <f>+España!F7</f>
        <v>1Q</v>
      </c>
      <c r="G7" s="84" t="str">
        <f>+España!G7</f>
        <v>2Q</v>
      </c>
      <c r="H7" s="84" t="str">
        <f>+España!H7</f>
        <v>3Q</v>
      </c>
      <c r="I7" s="84" t="str">
        <f>+España!I7</f>
        <v>4Q</v>
      </c>
    </row>
    <row r="8" spans="1:15" ht="15">
      <c r="A8" s="41" t="str">
        <f>HLOOKUP(INDICE!$F$2,Nombres!$C$3:$D$636,33,FALSE)</f>
        <v>Net interest income</v>
      </c>
      <c r="B8" s="41">
        <v>-43.849252549999974</v>
      </c>
      <c r="C8" s="41">
        <v>-38.10383747000003</v>
      </c>
      <c r="D8" s="41">
        <v>-46.348549700000014</v>
      </c>
      <c r="E8" s="42">
        <v>-34.929972419999906</v>
      </c>
      <c r="F8" s="50">
        <v>-37.45303362999999</v>
      </c>
      <c r="G8" s="50">
        <v>-26.467458329999992</v>
      </c>
      <c r="H8" s="241">
        <v>0</v>
      </c>
      <c r="I8" s="241">
        <v>0</v>
      </c>
      <c r="J8" s="86"/>
      <c r="K8" s="86"/>
      <c r="L8" s="86"/>
      <c r="M8" s="86"/>
      <c r="N8" s="86"/>
      <c r="O8" s="86"/>
    </row>
    <row r="9" spans="1:9" ht="15">
      <c r="A9" s="87" t="str">
        <f>HLOOKUP(INDICE!$F$2,Nombres!$C$3:$D$636,34,FALSE)</f>
        <v>Net fees and commissions</v>
      </c>
      <c r="B9" s="44">
        <v>-2.8977995999999986</v>
      </c>
      <c r="C9" s="44">
        <v>-19.979545090000002</v>
      </c>
      <c r="D9" s="44">
        <v>-6.33287841999999</v>
      </c>
      <c r="E9" s="45">
        <v>-6.527499109999997</v>
      </c>
      <c r="F9" s="44">
        <v>-4.109733000000002</v>
      </c>
      <c r="G9" s="44">
        <v>-15.900528690000002</v>
      </c>
      <c r="H9" s="44">
        <v>0</v>
      </c>
      <c r="I9" s="44">
        <v>0</v>
      </c>
    </row>
    <row r="10" spans="1:9" ht="15">
      <c r="A10" s="87" t="str">
        <f>HLOOKUP(INDICE!$F$2,Nombres!$C$3:$D$636,35,FALSE)</f>
        <v>Net trading income</v>
      </c>
      <c r="B10" s="44">
        <v>46.397079110000014</v>
      </c>
      <c r="C10" s="44">
        <v>121.14912621</v>
      </c>
      <c r="D10" s="44">
        <v>100.69057498999999</v>
      </c>
      <c r="E10" s="45">
        <v>-2.4766653099999587</v>
      </c>
      <c r="F10" s="44">
        <v>-38.32611692999999</v>
      </c>
      <c r="G10" s="44">
        <v>-83.02728671000001</v>
      </c>
      <c r="H10" s="44">
        <v>0</v>
      </c>
      <c r="I10" s="44">
        <v>0</v>
      </c>
    </row>
    <row r="11" spans="1:9" ht="15">
      <c r="A11" s="87" t="str">
        <f>HLOOKUP(INDICE!$F$2,Nombres!$C$3:$D$636,36,FALSE)</f>
        <v>Other operating income and expenses</v>
      </c>
      <c r="B11" s="44">
        <v>-17.859285009999983</v>
      </c>
      <c r="C11" s="44">
        <v>101.63862162000021</v>
      </c>
      <c r="D11" s="44">
        <v>11.070859999999929</v>
      </c>
      <c r="E11" s="45">
        <v>50.84682551999986</v>
      </c>
      <c r="F11" s="44">
        <v>0.7529770800000088</v>
      </c>
      <c r="G11" s="44">
        <v>57.714178259999926</v>
      </c>
      <c r="H11" s="44">
        <v>0</v>
      </c>
      <c r="I11" s="44">
        <v>0</v>
      </c>
    </row>
    <row r="12" spans="1:9" ht="15">
      <c r="A12" s="41" t="str">
        <f>HLOOKUP(INDICE!$F$2,Nombres!$C$3:$D$636,37,FALSE)</f>
        <v>Gross income</v>
      </c>
      <c r="B12" s="41">
        <f aca="true" t="shared" si="0" ref="B12:I12">+SUM(B8:B11)</f>
        <v>-18.209258049999942</v>
      </c>
      <c r="C12" s="41">
        <f t="shared" si="0"/>
        <v>164.70436527000018</v>
      </c>
      <c r="D12" s="41">
        <f t="shared" si="0"/>
        <v>59.080006869999906</v>
      </c>
      <c r="E12" s="42">
        <f t="shared" si="0"/>
        <v>6.912688679999995</v>
      </c>
      <c r="F12" s="50">
        <f t="shared" si="0"/>
        <v>-79.13590647999997</v>
      </c>
      <c r="G12" s="50">
        <f t="shared" si="0"/>
        <v>-67.68109547000009</v>
      </c>
      <c r="H12" s="50">
        <f t="shared" si="0"/>
        <v>0</v>
      </c>
      <c r="I12" s="50">
        <f t="shared" si="0"/>
        <v>0</v>
      </c>
    </row>
    <row r="13" spans="1:9" ht="15">
      <c r="A13" s="87" t="str">
        <f>HLOOKUP(INDICE!$F$2,Nombres!$C$3:$D$636,38,FALSE)</f>
        <v>Operating expenses</v>
      </c>
      <c r="B13" s="44">
        <v>-196.92836287999995</v>
      </c>
      <c r="C13" s="44">
        <v>-196.09666847000005</v>
      </c>
      <c r="D13" s="44">
        <v>-210.61973142</v>
      </c>
      <c r="E13" s="45">
        <v>-215.89150475999998</v>
      </c>
      <c r="F13" s="44">
        <v>-187.23582509000005</v>
      </c>
      <c r="G13" s="44">
        <v>-204.66321022</v>
      </c>
      <c r="H13" s="44">
        <v>0</v>
      </c>
      <c r="I13" s="44">
        <v>0</v>
      </c>
    </row>
    <row r="14" spans="1:9" ht="15">
      <c r="A14" s="87" t="str">
        <f>HLOOKUP(INDICE!$F$2,Nombres!$C$3:$D$636,39,FALSE)</f>
        <v>  Administration expenses</v>
      </c>
      <c r="B14" s="44">
        <v>-149.86428952</v>
      </c>
      <c r="C14" s="44">
        <v>-148.47024711000006</v>
      </c>
      <c r="D14" s="44">
        <v>-161.37574508</v>
      </c>
      <c r="E14" s="45">
        <v>-166.27213930999994</v>
      </c>
      <c r="F14" s="44">
        <v>-139.01582173000003</v>
      </c>
      <c r="G14" s="44">
        <v>-154.63980446000002</v>
      </c>
      <c r="H14" s="44">
        <v>0</v>
      </c>
      <c r="I14" s="44">
        <v>0</v>
      </c>
    </row>
    <row r="15" spans="1:9" ht="15">
      <c r="A15" s="88" t="str">
        <f>HLOOKUP(INDICE!$F$2,Nombres!$C$3:$D$636,40,FALSE)</f>
        <v>  Personnel expenses</v>
      </c>
      <c r="B15" s="44">
        <v>-129.45738859</v>
      </c>
      <c r="C15" s="44">
        <v>-138.08783414</v>
      </c>
      <c r="D15" s="44">
        <v>-141.70301091</v>
      </c>
      <c r="E15" s="45">
        <v>-148.67481270000002</v>
      </c>
      <c r="F15" s="44">
        <v>-131.46988281</v>
      </c>
      <c r="G15" s="44">
        <v>-142.34624054</v>
      </c>
      <c r="H15" s="44">
        <v>0</v>
      </c>
      <c r="I15" s="44">
        <v>0</v>
      </c>
    </row>
    <row r="16" spans="1:9" ht="15">
      <c r="A16" s="88" t="str">
        <f>HLOOKUP(INDICE!$F$2,Nombres!$C$3:$D$636,41,FALSE)</f>
        <v>  General and administrative expenses</v>
      </c>
      <c r="B16" s="44">
        <v>-20.406900929999978</v>
      </c>
      <c r="C16" s="44">
        <v>-10.382412970000042</v>
      </c>
      <c r="D16" s="44">
        <v>-19.672734170000005</v>
      </c>
      <c r="E16" s="45">
        <v>-17.59732660999998</v>
      </c>
      <c r="F16" s="44">
        <v>-7.545938920000017</v>
      </c>
      <c r="G16" s="44">
        <v>-12.293563919999997</v>
      </c>
      <c r="H16" s="44">
        <v>0</v>
      </c>
      <c r="I16" s="44">
        <v>0</v>
      </c>
    </row>
    <row r="17" spans="1:9" ht="15">
      <c r="A17" s="87" t="str">
        <f>HLOOKUP(INDICE!$F$2,Nombres!$C$3:$D$636,42,FALSE)</f>
        <v>  Depreciation</v>
      </c>
      <c r="B17" s="44">
        <v>-47.064073359999995</v>
      </c>
      <c r="C17" s="44">
        <v>-47.62642136</v>
      </c>
      <c r="D17" s="44">
        <v>-49.24398634</v>
      </c>
      <c r="E17" s="45">
        <v>-49.619365450000004</v>
      </c>
      <c r="F17" s="44">
        <v>-48.22000335999999</v>
      </c>
      <c r="G17" s="44">
        <v>-50.02340576</v>
      </c>
      <c r="H17" s="44">
        <v>0</v>
      </c>
      <c r="I17" s="44">
        <v>0</v>
      </c>
    </row>
    <row r="18" spans="1:9" ht="15">
      <c r="A18" s="41" t="str">
        <f>HLOOKUP(INDICE!$F$2,Nombres!$C$3:$D$636,43,FALSE)</f>
        <v>Operating income</v>
      </c>
      <c r="B18" s="41">
        <f aca="true" t="shared" si="1" ref="B18:I18">+B12+B13</f>
        <v>-215.13762092999988</v>
      </c>
      <c r="C18" s="41">
        <f t="shared" si="1"/>
        <v>-31.392303199999873</v>
      </c>
      <c r="D18" s="41">
        <f t="shared" si="1"/>
        <v>-151.53972455000007</v>
      </c>
      <c r="E18" s="42">
        <f t="shared" si="1"/>
        <v>-208.97881607999997</v>
      </c>
      <c r="F18" s="50">
        <f t="shared" si="1"/>
        <v>-266.37173157</v>
      </c>
      <c r="G18" s="50">
        <f t="shared" si="1"/>
        <v>-272.34430569000006</v>
      </c>
      <c r="H18" s="50">
        <f t="shared" si="1"/>
        <v>0</v>
      </c>
      <c r="I18" s="50">
        <f t="shared" si="1"/>
        <v>0</v>
      </c>
    </row>
    <row r="19" spans="1:9" ht="15">
      <c r="A19" s="87" t="str">
        <f>HLOOKUP(INDICE!$F$2,Nombres!$C$3:$D$636,44,FALSE)</f>
        <v>Impaiment on financial assets not measured at fair value through profit or loss</v>
      </c>
      <c r="B19" s="44">
        <v>-0.0005037100000000374</v>
      </c>
      <c r="C19" s="44">
        <v>0.21530097000000006</v>
      </c>
      <c r="D19" s="44">
        <v>-1.9158636999999998</v>
      </c>
      <c r="E19" s="45">
        <v>0.08115558999999997</v>
      </c>
      <c r="F19" s="44">
        <v>0.74507893</v>
      </c>
      <c r="G19" s="44">
        <v>0.2867402399999999</v>
      </c>
      <c r="H19" s="44">
        <v>0</v>
      </c>
      <c r="I19" s="44">
        <v>0</v>
      </c>
    </row>
    <row r="20" spans="1:9" ht="15">
      <c r="A20" s="87" t="str">
        <f>HLOOKUP(INDICE!$F$2,Nombres!$C$3:$D$636,45,FALSE)</f>
        <v>Provisions or reversal of provisions and other results</v>
      </c>
      <c r="B20" s="44">
        <v>8.92527120999998</v>
      </c>
      <c r="C20" s="44">
        <v>-27.99695481000005</v>
      </c>
      <c r="D20" s="44">
        <v>5.617522000000079</v>
      </c>
      <c r="E20" s="45">
        <v>45.00950525999991</v>
      </c>
      <c r="F20" s="44">
        <v>10.601688679999999</v>
      </c>
      <c r="G20" s="44">
        <v>-5.445604379999987</v>
      </c>
      <c r="H20" s="44">
        <v>0</v>
      </c>
      <c r="I20" s="44">
        <v>0</v>
      </c>
    </row>
    <row r="21" spans="1:9" ht="15">
      <c r="A21" s="89" t="str">
        <f>HLOOKUP(INDICE!$F$2,Nombres!$C$3:$D$636,46,FALSE)</f>
        <v>Profit/(loss) before tax</v>
      </c>
      <c r="B21" s="41">
        <f aca="true" t="shared" si="2" ref="B21:I21">+B18+B19+B20</f>
        <v>-206.2128534299999</v>
      </c>
      <c r="C21" s="41">
        <f t="shared" si="2"/>
        <v>-59.17395703999992</v>
      </c>
      <c r="D21" s="41">
        <f t="shared" si="2"/>
        <v>-147.83806625</v>
      </c>
      <c r="E21" s="42">
        <f t="shared" si="2"/>
        <v>-163.88815523000005</v>
      </c>
      <c r="F21" s="50">
        <f t="shared" si="2"/>
        <v>-255.02496396000004</v>
      </c>
      <c r="G21" s="50">
        <f t="shared" si="2"/>
        <v>-277.50316983000005</v>
      </c>
      <c r="H21" s="50">
        <f t="shared" si="2"/>
        <v>0</v>
      </c>
      <c r="I21" s="50">
        <f t="shared" si="2"/>
        <v>0</v>
      </c>
    </row>
    <row r="22" spans="1:9" ht="15">
      <c r="A22" s="43" t="str">
        <f>HLOOKUP(INDICE!$F$2,Nombres!$C$3:$D$636,47,FALSE)</f>
        <v>Income tax</v>
      </c>
      <c r="B22" s="44">
        <v>6.297463619999993</v>
      </c>
      <c r="C22" s="44">
        <v>-6.61688129000008</v>
      </c>
      <c r="D22" s="44">
        <v>27.57428082999996</v>
      </c>
      <c r="E22" s="45">
        <v>48.55661930000005</v>
      </c>
      <c r="F22" s="44">
        <v>45.859160960000004</v>
      </c>
      <c r="G22" s="44">
        <v>248.33526006</v>
      </c>
      <c r="H22" s="44">
        <v>0</v>
      </c>
      <c r="I22" s="44">
        <v>0</v>
      </c>
    </row>
    <row r="23" spans="1:9" ht="15">
      <c r="A23" s="41" t="str">
        <f>HLOOKUP(INDICE!$F$2,Nombres!$C$3:$D$636,48,FALSE)</f>
        <v>Profit/(loss) for the year</v>
      </c>
      <c r="B23" s="41">
        <f aca="true" t="shared" si="3" ref="B23:I23">+B21+B22</f>
        <v>-199.9153898099999</v>
      </c>
      <c r="C23" s="41">
        <f t="shared" si="3"/>
        <v>-65.79083833</v>
      </c>
      <c r="D23" s="41">
        <f t="shared" si="3"/>
        <v>-120.26378542000003</v>
      </c>
      <c r="E23" s="42">
        <f t="shared" si="3"/>
        <v>-115.33153593</v>
      </c>
      <c r="F23" s="50">
        <f t="shared" si="3"/>
        <v>-209.16580300000004</v>
      </c>
      <c r="G23" s="50">
        <f t="shared" si="3"/>
        <v>-29.16790977000005</v>
      </c>
      <c r="H23" s="50">
        <f t="shared" si="3"/>
        <v>0</v>
      </c>
      <c r="I23" s="50">
        <f t="shared" si="3"/>
        <v>0</v>
      </c>
    </row>
    <row r="24" spans="1:9" ht="15">
      <c r="A24" s="43" t="str">
        <f>HLOOKUP(INDICE!$F$2,Nombres!$C$3:$D$636,49,FALSE)</f>
        <v>Non-controlling interests</v>
      </c>
      <c r="B24" s="44">
        <v>-0.6575781699999999</v>
      </c>
      <c r="C24" s="44">
        <v>-4.24266055</v>
      </c>
      <c r="D24" s="44">
        <v>-10.528699010000002</v>
      </c>
      <c r="E24" s="45">
        <v>-4.820760240000003</v>
      </c>
      <c r="F24" s="44">
        <v>-6.266600769999999</v>
      </c>
      <c r="G24" s="44">
        <v>14.166734980000003</v>
      </c>
      <c r="H24" s="44">
        <v>0</v>
      </c>
      <c r="I24" s="44">
        <v>0</v>
      </c>
    </row>
    <row r="25" spans="1:9" ht="15">
      <c r="A25" s="47" t="str">
        <f>HLOOKUP(INDICE!$F$2,Nombres!$C$3:$D$636,305,FALSE)</f>
        <v>Net attributable profit excluding non recurring impacts</v>
      </c>
      <c r="B25" s="47">
        <f aca="true" t="shared" si="4" ref="B25:I25">+B23+B24</f>
        <v>-200.5729679799999</v>
      </c>
      <c r="C25" s="47">
        <f t="shared" si="4"/>
        <v>-70.03349888</v>
      </c>
      <c r="D25" s="47">
        <f t="shared" si="4"/>
        <v>-130.79248443000003</v>
      </c>
      <c r="E25" s="47">
        <f t="shared" si="4"/>
        <v>-120.15229617</v>
      </c>
      <c r="F25" s="47">
        <f t="shared" si="4"/>
        <v>-215.43240377000004</v>
      </c>
      <c r="G25" s="47">
        <f t="shared" si="4"/>
        <v>-15.001174790000048</v>
      </c>
      <c r="H25" s="47">
        <f t="shared" si="4"/>
        <v>0</v>
      </c>
      <c r="I25" s="47">
        <f t="shared" si="4"/>
        <v>0</v>
      </c>
    </row>
    <row r="26" spans="1:9" ht="15">
      <c r="A26" s="41" t="str">
        <f>HLOOKUP(INDICE!$F$2,Nombres!$C$3:$D$636,318,FALSE)</f>
        <v>Corporate &amp; discontinued operations</v>
      </c>
      <c r="B26" s="200">
        <f>+B27++B28</f>
        <v>177.04100000000003</v>
      </c>
      <c r="C26" s="200">
        <f aca="true" t="shared" si="5" ref="C26:I26">+C27++C28</f>
        <v>-593.0077980200002</v>
      </c>
      <c r="D26" s="200">
        <f t="shared" si="5"/>
        <v>0</v>
      </c>
      <c r="E26" s="42">
        <f t="shared" si="5"/>
        <v>-9.999999184273634E-07</v>
      </c>
      <c r="F26" s="200">
        <f t="shared" si="5"/>
        <v>0</v>
      </c>
      <c r="G26" s="200">
        <f t="shared" si="5"/>
        <v>0</v>
      </c>
      <c r="H26" s="200">
        <f t="shared" si="5"/>
        <v>0</v>
      </c>
      <c r="I26" s="200">
        <f t="shared" si="5"/>
        <v>0</v>
      </c>
    </row>
    <row r="27" spans="1:9" ht="15">
      <c r="A27" s="43" t="str">
        <f>HLOOKUP(INDICE!$F$2,Nombres!$C$3:$D$636,306,FALSE)</f>
        <v>Profit/(loss) after tax form discontinued operations (1)</v>
      </c>
      <c r="B27" s="44">
        <v>177.04100000000003</v>
      </c>
      <c r="C27" s="44">
        <v>102.65999999999976</v>
      </c>
      <c r="D27" s="44">
        <v>0</v>
      </c>
      <c r="E27" s="45">
        <v>-9.999999184273634E-07</v>
      </c>
      <c r="F27" s="44">
        <v>0</v>
      </c>
      <c r="G27" s="44">
        <v>0</v>
      </c>
      <c r="H27" s="44">
        <v>0</v>
      </c>
      <c r="I27" s="44">
        <v>0</v>
      </c>
    </row>
    <row r="28" spans="1:9" ht="15">
      <c r="A28" s="43" t="str">
        <f>HLOOKUP(INDICE!$F$2,Nombres!$C$3:$D$636,308,FALSE)</f>
        <v>Net cost related to the reestructuring process.</v>
      </c>
      <c r="B28" s="44">
        <v>0</v>
      </c>
      <c r="C28" s="44">
        <v>-695.66779802</v>
      </c>
      <c r="D28" s="44">
        <v>0</v>
      </c>
      <c r="E28" s="45">
        <v>0</v>
      </c>
      <c r="F28" s="44">
        <v>0</v>
      </c>
      <c r="G28" s="44">
        <v>0</v>
      </c>
      <c r="H28" s="44">
        <v>0</v>
      </c>
      <c r="I28" s="44">
        <v>0</v>
      </c>
    </row>
    <row r="29" spans="1:9" ht="15">
      <c r="A29" s="47" t="str">
        <f>HLOOKUP(INDICE!$F$2,Nombres!$C$3:$D$636,50,FALSE)</f>
        <v>Net attributable profit</v>
      </c>
      <c r="B29" s="47">
        <f aca="true" t="shared" si="6" ref="B29:I29">+B25+B26</f>
        <v>-23.531967979999877</v>
      </c>
      <c r="C29" s="47">
        <f t="shared" si="6"/>
        <v>-663.0412969000002</v>
      </c>
      <c r="D29" s="47">
        <f t="shared" si="6"/>
        <v>-130.79248443000003</v>
      </c>
      <c r="E29" s="47">
        <f t="shared" si="6"/>
        <v>-120.15229716999991</v>
      </c>
      <c r="F29" s="47">
        <f t="shared" si="6"/>
        <v>-215.43240377000004</v>
      </c>
      <c r="G29" s="47">
        <f t="shared" si="6"/>
        <v>-15.001174790000048</v>
      </c>
      <c r="H29" s="47">
        <f t="shared" si="6"/>
        <v>0</v>
      </c>
      <c r="I29" s="47">
        <f t="shared" si="6"/>
        <v>0</v>
      </c>
    </row>
    <row r="30" spans="1:9" ht="15">
      <c r="A30" s="277" t="s">
        <v>5</v>
      </c>
      <c r="B30" s="44"/>
      <c r="C30" s="44"/>
      <c r="D30" s="44"/>
      <c r="E30" s="44"/>
      <c r="F30" s="44"/>
      <c r="G30" s="44"/>
      <c r="H30" s="44"/>
      <c r="I30" s="44"/>
    </row>
    <row r="31" spans="1:9" ht="15">
      <c r="A31" s="299" t="str">
        <f>HLOOKUP(INDICE!$F$2,Nombres!$C$3:$D$636,312,FALSE)</f>
        <v>(1) Includes the profit generated by BBVA USA and the rest of the US companies sold to PNC on 1st ofJjune of 2021.</v>
      </c>
      <c r="B31" s="299"/>
      <c r="C31" s="299"/>
      <c r="D31" s="299"/>
      <c r="E31" s="299"/>
      <c r="F31" s="299"/>
      <c r="G31" s="299"/>
      <c r="H31" s="299"/>
      <c r="I31" s="299"/>
    </row>
    <row r="32" spans="1:9" ht="14.25" customHeight="1">
      <c r="A32" s="299"/>
      <c r="B32" s="299"/>
      <c r="C32" s="299"/>
      <c r="D32" s="299"/>
      <c r="E32" s="299"/>
      <c r="F32" s="299"/>
      <c r="G32" s="299"/>
      <c r="H32" s="299"/>
      <c r="I32" s="299"/>
    </row>
    <row r="33" spans="1:9" ht="14.25" customHeight="1">
      <c r="A33" s="41"/>
      <c r="B33" s="63">
        <v>0</v>
      </c>
      <c r="C33" s="63">
        <v>3.552713678800501E-13</v>
      </c>
      <c r="D33" s="63">
        <v>0</v>
      </c>
      <c r="E33" s="63">
        <v>0</v>
      </c>
      <c r="F33" s="63">
        <v>0</v>
      </c>
      <c r="G33" s="63">
        <v>1.723066134218243E-13</v>
      </c>
      <c r="H33" s="63">
        <v>0</v>
      </c>
      <c r="I33" s="63">
        <v>0</v>
      </c>
    </row>
    <row r="34" spans="1:9" ht="15">
      <c r="A34" s="41"/>
      <c r="B34" s="41"/>
      <c r="C34" s="41"/>
      <c r="D34" s="41"/>
      <c r="E34" s="41"/>
      <c r="F34" s="41"/>
      <c r="G34" s="41"/>
      <c r="H34" s="41"/>
      <c r="I34" s="41"/>
    </row>
    <row r="35" spans="1:9" ht="18">
      <c r="A35" s="92" t="str">
        <f>HLOOKUP(INDICE!$F$2,Nombres!$C$3:$D$636,51,FALSE)</f>
        <v>Balance sheets</v>
      </c>
      <c r="B35" s="34"/>
      <c r="C35" s="34"/>
      <c r="D35" s="34"/>
      <c r="E35" s="34"/>
      <c r="F35" s="80"/>
      <c r="G35" s="80"/>
      <c r="H35" s="80"/>
      <c r="I35" s="80"/>
    </row>
    <row r="36" spans="1:9" ht="15">
      <c r="A36" s="83" t="str">
        <f>HLOOKUP(INDICE!$F$2,Nombres!$C$3:$D$636,32,FALSE)</f>
        <v>(Million euros)</v>
      </c>
      <c r="B36" s="30"/>
      <c r="C36" s="52"/>
      <c r="D36" s="52"/>
      <c r="E36" s="52"/>
      <c r="F36" s="78"/>
      <c r="G36" s="76"/>
      <c r="H36" s="76"/>
      <c r="I36" s="76"/>
    </row>
    <row r="37" spans="1:9" ht="15.75">
      <c r="A37" s="30"/>
      <c r="B37" s="53">
        <f>+España!B32</f>
        <v>44286</v>
      </c>
      <c r="C37" s="53">
        <f>+España!C32</f>
        <v>44377</v>
      </c>
      <c r="D37" s="53">
        <f>+España!D32</f>
        <v>44469</v>
      </c>
      <c r="E37" s="67">
        <f>+España!E32</f>
        <v>44561</v>
      </c>
      <c r="F37" s="53">
        <f>+España!F32</f>
        <v>44651</v>
      </c>
      <c r="G37" s="53">
        <f>+España!G32</f>
        <v>44742</v>
      </c>
      <c r="H37" s="53">
        <f>+España!H32</f>
        <v>44834</v>
      </c>
      <c r="I37" s="53">
        <f>+España!I32</f>
        <v>44926</v>
      </c>
    </row>
    <row r="38" spans="1:9" ht="15">
      <c r="A38" s="87" t="str">
        <f>HLOOKUP(INDICE!$F$2,Nombres!$C$3:$D$636,52,FALSE)</f>
        <v>Cash, cash balances at central banks and other demand deposits</v>
      </c>
      <c r="B38" s="44">
        <v>923.0540970000001</v>
      </c>
      <c r="C38" s="44">
        <v>10200.758577</v>
      </c>
      <c r="D38" s="44">
        <v>10188.903583</v>
      </c>
      <c r="E38" s="45">
        <v>9609.331895000001</v>
      </c>
      <c r="F38" s="44">
        <v>8607.665282</v>
      </c>
      <c r="G38" s="44">
        <v>6308.679373</v>
      </c>
      <c r="H38" s="44">
        <v>0</v>
      </c>
      <c r="I38" s="44">
        <v>0</v>
      </c>
    </row>
    <row r="39" spans="1:9" ht="15">
      <c r="A39" s="87" t="str">
        <f>HLOOKUP(INDICE!$F$2,Nombres!$C$3:$D$636,53,FALSE)</f>
        <v>Financial assets designated at fair value </v>
      </c>
      <c r="B39" s="58">
        <v>1679.5687306799998</v>
      </c>
      <c r="C39" s="58">
        <v>1902.8554403500002</v>
      </c>
      <c r="D39" s="58">
        <v>2057.83634224</v>
      </c>
      <c r="E39" s="64">
        <v>2098.75175648</v>
      </c>
      <c r="F39" s="58">
        <v>2680.3512664500004</v>
      </c>
      <c r="G39" s="58">
        <v>2810.71222701</v>
      </c>
      <c r="H39" s="58">
        <v>0</v>
      </c>
      <c r="I39" s="58">
        <v>0</v>
      </c>
    </row>
    <row r="40" spans="1:9" ht="15">
      <c r="A40" s="43" t="str">
        <f>HLOOKUP(INDICE!$F$2,Nombres!$C$3:$D$636,54,FALSE)</f>
        <v>Financial assets at amortized cost</v>
      </c>
      <c r="B40" s="44">
        <v>1782.386904</v>
      </c>
      <c r="C40" s="44">
        <v>1659.8399540000003</v>
      </c>
      <c r="D40" s="44">
        <v>1576.592776</v>
      </c>
      <c r="E40" s="45">
        <v>2175.279227</v>
      </c>
      <c r="F40" s="44">
        <v>1331.3924880000002</v>
      </c>
      <c r="G40" s="44">
        <v>1044.3898099999997</v>
      </c>
      <c r="H40" s="44">
        <v>0</v>
      </c>
      <c r="I40" s="44">
        <v>0</v>
      </c>
    </row>
    <row r="41" spans="1:9" ht="15">
      <c r="A41" s="87" t="str">
        <f>HLOOKUP(INDICE!$F$2,Nombres!$C$3:$D$636,55,FALSE)</f>
        <v>    of which loans and advances to customers</v>
      </c>
      <c r="B41" s="44">
        <v>668.745147</v>
      </c>
      <c r="C41" s="44">
        <v>574.594015</v>
      </c>
      <c r="D41" s="44">
        <v>170.45725200000007</v>
      </c>
      <c r="E41" s="45">
        <v>1005.9331770000002</v>
      </c>
      <c r="F41" s="44">
        <v>500.6690739999999</v>
      </c>
      <c r="G41" s="44">
        <v>343.35233</v>
      </c>
      <c r="H41" s="44">
        <v>0</v>
      </c>
      <c r="I41" s="44">
        <v>0</v>
      </c>
    </row>
    <row r="42" spans="1:9" ht="15">
      <c r="A42" s="87" t="str">
        <f>HLOOKUP(INDICE!$F$2,Nombres!$C$3:$D$636,121,FALSE)</f>
        <v>Inter-area positions</v>
      </c>
      <c r="B42" s="44">
        <v>-3.3190022804774344E-05</v>
      </c>
      <c r="C42" s="44">
        <v>-8.197998977266252E-05</v>
      </c>
      <c r="D42" s="44">
        <v>-7.164000999182463E-05</v>
      </c>
      <c r="E42" s="45">
        <v>0.00043695000204024836</v>
      </c>
      <c r="F42" s="44">
        <v>-0.002000020002014935</v>
      </c>
      <c r="G42" s="44">
        <v>0</v>
      </c>
      <c r="H42" s="44">
        <v>0</v>
      </c>
      <c r="I42" s="44">
        <v>0</v>
      </c>
    </row>
    <row r="43" spans="1:9" ht="15">
      <c r="A43" s="43" t="str">
        <f>HLOOKUP(INDICE!$F$2,Nombres!$C$3:$D$636,56,FALSE)</f>
        <v>Tangible assets</v>
      </c>
      <c r="B43" s="44">
        <v>2038.8515439999999</v>
      </c>
      <c r="C43" s="44">
        <v>2019.6463440000002</v>
      </c>
      <c r="D43" s="44">
        <v>1988.1729079999998</v>
      </c>
      <c r="E43" s="45">
        <v>1963.5125279999997</v>
      </c>
      <c r="F43" s="44">
        <v>1914.4294419999999</v>
      </c>
      <c r="G43" s="44">
        <v>1898.1821545</v>
      </c>
      <c r="H43" s="44">
        <v>0</v>
      </c>
      <c r="I43" s="44">
        <v>0</v>
      </c>
    </row>
    <row r="44" spans="1:9" ht="15.75" customHeight="1">
      <c r="A44" s="87" t="str">
        <f>HLOOKUP(INDICE!$F$2,Nombres!$C$3:$D$636,57,FALSE)</f>
        <v>Other assets</v>
      </c>
      <c r="B44" s="44">
        <v>102929.1403548</v>
      </c>
      <c r="C44" s="44">
        <v>15358.58276591</v>
      </c>
      <c r="D44" s="44">
        <v>15307.8097385</v>
      </c>
      <c r="E44" s="45">
        <v>14987.669017239996</v>
      </c>
      <c r="F44" s="44">
        <v>14769.27883025</v>
      </c>
      <c r="G44" s="44">
        <v>14040.610875279997</v>
      </c>
      <c r="H44" s="44">
        <v>0</v>
      </c>
      <c r="I44" s="44">
        <v>0</v>
      </c>
    </row>
    <row r="45" spans="1:9" ht="15">
      <c r="A45" s="90" t="str">
        <f>HLOOKUP(INDICE!$F$2,Nombres!$C$3:$D$636,58,FALSE)</f>
        <v>Total assets / Liabilities and equity</v>
      </c>
      <c r="B45" s="51">
        <f aca="true" t="shared" si="7" ref="B45:I45">+B38+B39+B40+B42+B43+B44</f>
        <v>109353.00159728997</v>
      </c>
      <c r="C45" s="51">
        <f t="shared" si="7"/>
        <v>31141.682999280012</v>
      </c>
      <c r="D45" s="51">
        <f t="shared" si="7"/>
        <v>31119.315276099987</v>
      </c>
      <c r="E45" s="79">
        <f t="shared" si="7"/>
        <v>30834.54486067</v>
      </c>
      <c r="F45" s="51">
        <f t="shared" si="7"/>
        <v>29303.115308679997</v>
      </c>
      <c r="G45" s="51">
        <f t="shared" si="7"/>
        <v>26102.574439789998</v>
      </c>
      <c r="H45" s="51">
        <f t="shared" si="7"/>
        <v>0</v>
      </c>
      <c r="I45" s="51">
        <f t="shared" si="7"/>
        <v>0</v>
      </c>
    </row>
    <row r="46" spans="1:9" ht="15">
      <c r="A46" s="87" t="str">
        <f>HLOOKUP(INDICE!$F$2,Nombres!$C$3:$D$636,59,FALSE)</f>
        <v>Financial liabilities held for trading and designated at fair value through profit or loss</v>
      </c>
      <c r="B46" s="44">
        <v>60.11018</v>
      </c>
      <c r="C46" s="44">
        <v>7.505911</v>
      </c>
      <c r="D46" s="44">
        <v>8.221091999999999</v>
      </c>
      <c r="E46" s="45">
        <v>83.911289</v>
      </c>
      <c r="F46" s="44">
        <v>136.73259699999997</v>
      </c>
      <c r="G46" s="44">
        <v>187.53462199999998</v>
      </c>
      <c r="H46" s="44">
        <v>0</v>
      </c>
      <c r="I46" s="44">
        <v>0</v>
      </c>
    </row>
    <row r="47" spans="1:9" ht="15">
      <c r="A47" s="87" t="str">
        <f>HLOOKUP(INDICE!$F$2,Nombres!$C$3:$D$636,60,FALSE)</f>
        <v>Deposits from central banks and credit institutions</v>
      </c>
      <c r="B47" s="44">
        <v>858.9708349999999</v>
      </c>
      <c r="C47" s="44">
        <v>829.7628249999999</v>
      </c>
      <c r="D47" s="44">
        <v>846.6208490000001</v>
      </c>
      <c r="E47" s="45">
        <v>825.2378679999999</v>
      </c>
      <c r="F47" s="44">
        <v>762.66485</v>
      </c>
      <c r="G47" s="44">
        <v>778.6539009999999</v>
      </c>
      <c r="H47" s="44">
        <v>0</v>
      </c>
      <c r="I47" s="44">
        <v>0</v>
      </c>
    </row>
    <row r="48" spans="1:9" ht="15">
      <c r="A48" s="87" t="str">
        <f>HLOOKUP(INDICE!$F$2,Nombres!$C$3:$D$636,61,FALSE)</f>
        <v>Deposits from customers</v>
      </c>
      <c r="B48" s="44">
        <v>176.72810500000003</v>
      </c>
      <c r="C48" s="44">
        <v>172.892991</v>
      </c>
      <c r="D48" s="44">
        <v>179.817772</v>
      </c>
      <c r="E48" s="45">
        <v>175.186462</v>
      </c>
      <c r="F48" s="44">
        <v>181.94271200000003</v>
      </c>
      <c r="G48" s="44">
        <v>191.028443</v>
      </c>
      <c r="H48" s="44">
        <v>0</v>
      </c>
      <c r="I48" s="44">
        <v>0</v>
      </c>
    </row>
    <row r="49" spans="1:9" ht="15">
      <c r="A49" s="43" t="str">
        <f>HLOOKUP(INDICE!$F$2,Nombres!$C$3:$D$636,62,FALSE)</f>
        <v>Debt certificates</v>
      </c>
      <c r="B49" s="44">
        <v>3383.1166194999996</v>
      </c>
      <c r="C49" s="44">
        <v>1882.2815563500014</v>
      </c>
      <c r="D49" s="44">
        <v>1602.5345271900005</v>
      </c>
      <c r="E49" s="45">
        <v>1556.3347012199997</v>
      </c>
      <c r="F49" s="44">
        <v>946.7578466500006</v>
      </c>
      <c r="G49" s="44">
        <v>-530.5565864599987</v>
      </c>
      <c r="H49" s="44">
        <v>0</v>
      </c>
      <c r="I49" s="44">
        <v>0</v>
      </c>
    </row>
    <row r="50" spans="1:9" ht="15">
      <c r="A50" s="87" t="str">
        <f>HLOOKUP(INDICE!$F$2,Nombres!$C$3:$D$636,122,FALSE)</f>
        <v>Inter-area positions</v>
      </c>
      <c r="B50" s="44">
        <v>495.9309749699896</v>
      </c>
      <c r="C50" s="44">
        <v>6842.252097389999</v>
      </c>
      <c r="D50" s="44">
        <v>7279.647209580005</v>
      </c>
      <c r="E50" s="45">
        <v>7758.0316279200015</v>
      </c>
      <c r="F50" s="44">
        <v>9620.769197000001</v>
      </c>
      <c r="G50" s="44">
        <v>12047.442375209997</v>
      </c>
      <c r="H50" s="44">
        <v>0</v>
      </c>
      <c r="I50" s="44">
        <v>0</v>
      </c>
    </row>
    <row r="51" spans="1:9" ht="15">
      <c r="A51" s="43" t="str">
        <f>HLOOKUP(INDICE!$F$2,Nombres!$C$3:$D$636,63,FALSE)</f>
        <v>Other liabilities</v>
      </c>
      <c r="B51" s="44">
        <f aca="true" t="shared" si="8" ref="B51:I51">+B45-B46-B47-B48-B49-B50-B53-B52</f>
        <v>87417.90448341999</v>
      </c>
      <c r="C51" s="44">
        <f t="shared" si="8"/>
        <v>5871.239806230009</v>
      </c>
      <c r="D51" s="44">
        <f t="shared" si="8"/>
        <v>6101.589289949992</v>
      </c>
      <c r="E51" s="45">
        <f t="shared" si="8"/>
        <v>6932.245405690006</v>
      </c>
      <c r="F51" s="44">
        <f t="shared" si="8"/>
        <v>6929.690586259992</v>
      </c>
      <c r="G51" s="44">
        <f t="shared" si="8"/>
        <v>5014.571567630002</v>
      </c>
      <c r="H51" s="44">
        <f t="shared" si="8"/>
        <v>0</v>
      </c>
      <c r="I51" s="44">
        <f t="shared" si="8"/>
        <v>0</v>
      </c>
    </row>
    <row r="52" spans="1:9" ht="15">
      <c r="A52" s="43" t="str">
        <f>HLOOKUP(INDICE!$F$2,Nombres!$C$3:$D$636,282,FALSE)</f>
        <v>Regulatory capital allocated</v>
      </c>
      <c r="B52" s="44">
        <f>-España!B47-Mexico!B45-Turquia!B45-AdS!B45-'Resto de Negocios'!B45</f>
        <v>-33751.051601600004</v>
      </c>
      <c r="C52" s="44">
        <f>-España!C47-Mexico!C45-Turquia!C45-AdS!C45-'Resto de Negocios'!C45</f>
        <v>-34408.42119170001</v>
      </c>
      <c r="D52" s="44">
        <f>-España!D47-Mexico!D45-Turquia!D45-AdS!D45-'Resto de Negocios'!D45</f>
        <v>-35466.03845661</v>
      </c>
      <c r="E52" s="45">
        <f>-España!E47-Mexico!E45-Turquia!E45-AdS!E45-'Resto de Negocios'!E45</f>
        <v>-35256.52048911</v>
      </c>
      <c r="F52" s="44">
        <f>-España!F47-Mexico!F45-Turquia!F45-AdS!F45-'Resto de Negocios'!F45</f>
        <v>-37900.644049639996</v>
      </c>
      <c r="G52" s="44">
        <f>-España!G47-Mexico!G45-Turquia!G45-AdS!G45-'Resto de Negocios'!G45</f>
        <v>-40379.05744986</v>
      </c>
      <c r="H52" s="44">
        <f>-España!H47-Mexico!H45-Turquia!H45-AdS!H45-'Resto de Negocios'!H45</f>
        <v>0</v>
      </c>
      <c r="I52" s="44">
        <f>-España!I47-Mexico!I45-Turquia!I45-AdS!I45-'Resto de Negocios'!I45</f>
        <v>0</v>
      </c>
    </row>
    <row r="53" spans="1:9" ht="15">
      <c r="A53" s="87" t="str">
        <f>HLOOKUP(INDICE!$F$2,Nombres!$C$3:$D$636,150,FALSE)</f>
        <v>Total equity</v>
      </c>
      <c r="B53" s="44">
        <v>50711.292001</v>
      </c>
      <c r="C53" s="44">
        <v>49944.16900401001</v>
      </c>
      <c r="D53" s="44">
        <v>50566.92299298999</v>
      </c>
      <c r="E53" s="45">
        <v>48760.11799594999</v>
      </c>
      <c r="F53" s="44">
        <v>48625.20156941</v>
      </c>
      <c r="G53" s="44">
        <v>48792.95756727</v>
      </c>
      <c r="H53" s="44">
        <v>0</v>
      </c>
      <c r="I53" s="44">
        <v>0</v>
      </c>
    </row>
    <row r="54" spans="1:9" ht="15">
      <c r="A54" s="43"/>
      <c r="B54" s="58"/>
      <c r="C54" s="58"/>
      <c r="D54" s="58"/>
      <c r="E54" s="58"/>
      <c r="F54" s="58"/>
      <c r="G54" s="58"/>
      <c r="H54" s="58"/>
      <c r="I54" s="58"/>
    </row>
    <row r="55" spans="1:9" ht="15">
      <c r="A55" s="43"/>
      <c r="B55" s="58"/>
      <c r="C55" s="58"/>
      <c r="D55" s="58"/>
      <c r="E55" s="58"/>
      <c r="F55" s="58"/>
      <c r="G55" s="58"/>
      <c r="H55" s="58"/>
      <c r="I55" s="58"/>
    </row>
    <row r="56" spans="1:9" ht="15">
      <c r="A56" s="43"/>
      <c r="B56" s="58"/>
      <c r="C56" s="58"/>
      <c r="D56" s="58"/>
      <c r="E56" s="58"/>
      <c r="F56" s="44"/>
      <c r="G56" s="44"/>
      <c r="H56" s="44"/>
      <c r="I56" s="44"/>
    </row>
    <row r="57" spans="1:9" ht="15">
      <c r="A57" s="43"/>
      <c r="B57" s="30"/>
      <c r="C57" s="278"/>
      <c r="D57" s="30"/>
      <c r="E57" s="30"/>
      <c r="F57" s="69"/>
      <c r="G57" s="44"/>
      <c r="H57" s="44"/>
      <c r="I57" s="44"/>
    </row>
    <row r="58" spans="1:9" ht="15.75">
      <c r="A58" s="43"/>
      <c r="B58" s="30"/>
      <c r="C58" s="53"/>
      <c r="D58" s="53"/>
      <c r="E58" s="53"/>
      <c r="F58" s="53"/>
      <c r="G58" s="53"/>
      <c r="H58" s="53"/>
      <c r="I58" s="53"/>
    </row>
    <row r="59" spans="1:9" ht="15">
      <c r="A59" s="43"/>
      <c r="B59" s="44"/>
      <c r="C59" s="44"/>
      <c r="D59" s="44"/>
      <c r="E59" s="44"/>
      <c r="F59" s="44"/>
      <c r="G59" s="44"/>
      <c r="H59" s="44"/>
      <c r="I59" s="44"/>
    </row>
    <row r="60" spans="1:9" ht="15">
      <c r="A60" s="41"/>
      <c r="B60" s="44"/>
      <c r="C60" s="44"/>
      <c r="D60" s="44"/>
      <c r="E60" s="44"/>
      <c r="F60" s="44"/>
      <c r="G60" s="44"/>
      <c r="H60" s="44"/>
      <c r="I60" s="44"/>
    </row>
    <row r="61" spans="1:9" ht="15">
      <c r="A61" s="43"/>
      <c r="B61" s="44"/>
      <c r="C61" s="44"/>
      <c r="D61" s="44"/>
      <c r="E61" s="44"/>
      <c r="F61" s="44"/>
      <c r="G61" s="44"/>
      <c r="H61" s="44"/>
      <c r="I61" s="44"/>
    </row>
    <row r="62" spans="1:9" ht="15">
      <c r="A62" s="43"/>
      <c r="B62" s="44"/>
      <c r="D62" s="44"/>
      <c r="E62" s="44"/>
      <c r="F62" s="44"/>
      <c r="G62" s="44"/>
      <c r="H62" s="44"/>
      <c r="I62" s="44"/>
    </row>
    <row r="63" spans="1:9" ht="15">
      <c r="A63" s="43"/>
      <c r="B63" s="44"/>
      <c r="D63" s="44"/>
      <c r="E63" s="44"/>
      <c r="F63" s="44"/>
      <c r="G63" s="44"/>
      <c r="H63" s="44"/>
      <c r="I63" s="44"/>
    </row>
    <row r="64" spans="1:9" ht="15">
      <c r="A64" s="62"/>
      <c r="B64" s="58"/>
      <c r="D64" s="58"/>
      <c r="E64" s="58"/>
      <c r="F64" s="44"/>
      <c r="G64" s="44"/>
      <c r="H64" s="44"/>
      <c r="I64" s="44"/>
    </row>
    <row r="65" spans="1:9" ht="15">
      <c r="A65" s="62"/>
      <c r="B65" s="58"/>
      <c r="D65" s="30"/>
      <c r="E65" s="30"/>
      <c r="F65" s="69"/>
      <c r="G65" s="69"/>
      <c r="H65" s="69"/>
      <c r="I65" s="69"/>
    </row>
    <row r="66" spans="1:9" ht="15">
      <c r="A66" s="62"/>
      <c r="B66" s="58"/>
      <c r="D66" s="30"/>
      <c r="E66" s="30"/>
      <c r="F66" s="69"/>
      <c r="G66" s="69"/>
      <c r="H66" s="69"/>
      <c r="I66" s="69"/>
    </row>
    <row r="67" spans="2:9" ht="15">
      <c r="B67" s="54"/>
      <c r="C67" s="54"/>
      <c r="D67" s="54"/>
      <c r="E67" s="73"/>
      <c r="F67" s="93"/>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2:9" ht="15">
      <c r="B71" s="54"/>
      <c r="F71" s="81"/>
      <c r="G71" s="81"/>
      <c r="H71" s="81"/>
      <c r="I71" s="81"/>
    </row>
    <row r="72" spans="2:9" ht="15">
      <c r="B72" s="54"/>
      <c r="F72" s="81"/>
      <c r="G72" s="81"/>
      <c r="H72" s="81"/>
      <c r="I72" s="81"/>
    </row>
    <row r="73" spans="2:9" ht="15">
      <c r="B73" s="54"/>
      <c r="F73" s="81"/>
      <c r="G73" s="81"/>
      <c r="H73" s="81"/>
      <c r="I73" s="81"/>
    </row>
    <row r="74" spans="2:9" ht="15">
      <c r="B74" s="54"/>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09" spans="6:9" ht="15">
      <c r="F109" s="81"/>
      <c r="G109" s="81"/>
      <c r="H109" s="81"/>
      <c r="I109" s="81"/>
    </row>
    <row r="110" spans="6:9" ht="15">
      <c r="F110" s="81"/>
      <c r="G110" s="81"/>
      <c r="H110" s="81"/>
      <c r="I110" s="81"/>
    </row>
    <row r="111" spans="6:9" ht="15">
      <c r="F111" s="81"/>
      <c r="G111" s="81"/>
      <c r="H111" s="81"/>
      <c r="I111" s="81"/>
    </row>
    <row r="112" spans="6:9" ht="15">
      <c r="F112" s="81"/>
      <c r="G112" s="81"/>
      <c r="H112" s="81"/>
      <c r="I112"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67" spans="6:9" ht="15">
      <c r="F167" s="81"/>
      <c r="G167" s="81"/>
      <c r="H167" s="81"/>
      <c r="I167" s="81"/>
    </row>
  </sheetData>
  <sheetProtection/>
  <mergeCells count="4">
    <mergeCell ref="B6:E6"/>
    <mergeCell ref="F6:I6"/>
    <mergeCell ref="A32:I32"/>
    <mergeCell ref="A31:I31"/>
  </mergeCells>
  <conditionalFormatting sqref="B33:I33">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91">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299" t="str">
        <f>HLOOKUP(INDICE!$F$2,Nombres!$C$3:$D$636,281,FALSE)</f>
        <v>(*) Excludes  the CIB Business sold to PNC.</v>
      </c>
      <c r="B2" s="299"/>
      <c r="C2" s="299"/>
      <c r="D2" s="299"/>
      <c r="E2" s="299"/>
      <c r="F2" s="299"/>
      <c r="G2" s="299"/>
      <c r="H2" s="299"/>
      <c r="I2" s="299"/>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381.30943282</v>
      </c>
      <c r="C8" s="41">
        <v>370.53462382999993</v>
      </c>
      <c r="D8" s="41">
        <v>403.90839172000005</v>
      </c>
      <c r="E8" s="42">
        <v>419.9916559100001</v>
      </c>
      <c r="F8" s="50">
        <v>462.85520399999996</v>
      </c>
      <c r="G8" s="50">
        <v>482.36041845</v>
      </c>
      <c r="H8" s="50">
        <v>0</v>
      </c>
      <c r="I8" s="50">
        <v>0</v>
      </c>
    </row>
    <row r="9" spans="1:9" ht="15">
      <c r="A9" s="43" t="str">
        <f>HLOOKUP(INDICE!$F$2,Nombres!$C$3:$D$636,34,FALSE)</f>
        <v>Net fees and commissions</v>
      </c>
      <c r="B9" s="44">
        <v>192.20489363000002</v>
      </c>
      <c r="C9" s="44">
        <v>194.29421501000002</v>
      </c>
      <c r="D9" s="44">
        <v>196.41632854000005</v>
      </c>
      <c r="E9" s="45">
        <v>210.80869652</v>
      </c>
      <c r="F9" s="44">
        <v>197.82502889</v>
      </c>
      <c r="G9" s="44">
        <v>236.5641594</v>
      </c>
      <c r="H9" s="44">
        <v>0</v>
      </c>
      <c r="I9" s="44">
        <v>0</v>
      </c>
    </row>
    <row r="10" spans="1:9" ht="15">
      <c r="A10" s="43" t="str">
        <f>HLOOKUP(INDICE!$F$2,Nombres!$C$3:$D$636,35,FALSE)</f>
        <v>Net trading income</v>
      </c>
      <c r="B10" s="44">
        <v>272.72820229999996</v>
      </c>
      <c r="C10" s="44">
        <v>227.23399016999997</v>
      </c>
      <c r="D10" s="44">
        <v>135.55511246000003</v>
      </c>
      <c r="E10" s="45">
        <v>269.87177841000005</v>
      </c>
      <c r="F10" s="44">
        <v>359.73806740000003</v>
      </c>
      <c r="G10" s="44">
        <v>293.77012088</v>
      </c>
      <c r="H10" s="44">
        <v>0</v>
      </c>
      <c r="I10" s="44">
        <v>0</v>
      </c>
    </row>
    <row r="11" spans="1:9" ht="15">
      <c r="A11" s="43" t="str">
        <f>HLOOKUP(INDICE!$F$2,Nombres!$C$3:$D$636,36,FALSE)</f>
        <v>Other operating income and expenses</v>
      </c>
      <c r="B11" s="44">
        <v>-10.85766648</v>
      </c>
      <c r="C11" s="44">
        <v>-6.87800135</v>
      </c>
      <c r="D11" s="44">
        <v>-10.40183264</v>
      </c>
      <c r="E11" s="45">
        <v>-11.782524420000001</v>
      </c>
      <c r="F11" s="44">
        <v>-7.927588610000001</v>
      </c>
      <c r="G11" s="44">
        <v>-7.6074272</v>
      </c>
      <c r="H11" s="44">
        <v>0</v>
      </c>
      <c r="I11" s="44">
        <v>0</v>
      </c>
    </row>
    <row r="12" spans="1:9" ht="15">
      <c r="A12" s="41" t="str">
        <f>HLOOKUP(INDICE!$F$2,Nombres!$C$3:$D$636,37,FALSE)</f>
        <v>Gross income</v>
      </c>
      <c r="B12" s="41">
        <f>+SUM(B8:B11)</f>
        <v>835.38486227</v>
      </c>
      <c r="C12" s="41">
        <f aca="true" t="shared" si="0" ref="C12:I12">+SUM(C8:C11)</f>
        <v>785.1848276599999</v>
      </c>
      <c r="D12" s="41">
        <f t="shared" si="0"/>
        <v>725.4780000800001</v>
      </c>
      <c r="E12" s="42">
        <f t="shared" si="0"/>
        <v>888.8896064200002</v>
      </c>
      <c r="F12" s="50">
        <f t="shared" si="0"/>
        <v>1012.4907116799999</v>
      </c>
      <c r="G12" s="50">
        <f t="shared" si="0"/>
        <v>1005.0872715300001</v>
      </c>
      <c r="H12" s="50">
        <f t="shared" si="0"/>
        <v>0</v>
      </c>
      <c r="I12" s="50">
        <f t="shared" si="0"/>
        <v>0</v>
      </c>
    </row>
    <row r="13" spans="1:9" ht="15">
      <c r="A13" s="43" t="str">
        <f>HLOOKUP(INDICE!$F$2,Nombres!$C$3:$D$636,38,FALSE)</f>
        <v>Operating expenses</v>
      </c>
      <c r="B13" s="44">
        <v>-234.50765034</v>
      </c>
      <c r="C13" s="44">
        <v>-237.98023368</v>
      </c>
      <c r="D13" s="44">
        <v>-238.12408507000004</v>
      </c>
      <c r="E13" s="45">
        <v>-288.07963643</v>
      </c>
      <c r="F13" s="44">
        <v>-258.38360564</v>
      </c>
      <c r="G13" s="44">
        <v>-266.80932994000005</v>
      </c>
      <c r="H13" s="44">
        <v>0</v>
      </c>
      <c r="I13" s="44">
        <v>0</v>
      </c>
    </row>
    <row r="14" spans="1:9" ht="15">
      <c r="A14" s="43" t="str">
        <f>HLOOKUP(INDICE!$F$2,Nombres!$C$3:$D$636,39,FALSE)</f>
        <v>  Administration expenses</v>
      </c>
      <c r="B14" s="44">
        <v>-207.50125348</v>
      </c>
      <c r="C14" s="44">
        <v>-210.90075214</v>
      </c>
      <c r="D14" s="44">
        <v>-210.81253869000005</v>
      </c>
      <c r="E14" s="45">
        <v>-261.98104011</v>
      </c>
      <c r="F14" s="44">
        <v>-232.84397177000002</v>
      </c>
      <c r="G14" s="44">
        <v>-240.11475741</v>
      </c>
      <c r="H14" s="44">
        <v>0</v>
      </c>
      <c r="I14" s="44">
        <v>0</v>
      </c>
    </row>
    <row r="15" spans="1:9" ht="15">
      <c r="A15" s="46" t="str">
        <f>HLOOKUP(INDICE!$F$2,Nombres!$C$3:$D$636,40,FALSE)</f>
        <v>  Personnel expenses</v>
      </c>
      <c r="B15" s="44">
        <v>-106.11608858</v>
      </c>
      <c r="C15" s="44">
        <v>-106.18785743000001</v>
      </c>
      <c r="D15" s="44">
        <v>-111.42252795000002</v>
      </c>
      <c r="E15" s="45">
        <v>-150.41261318</v>
      </c>
      <c r="F15" s="44">
        <v>-118.92000071</v>
      </c>
      <c r="G15" s="44">
        <v>-117.56538282999999</v>
      </c>
      <c r="H15" s="44">
        <v>0</v>
      </c>
      <c r="I15" s="44">
        <v>0</v>
      </c>
    </row>
    <row r="16" spans="1:9" ht="15">
      <c r="A16" s="46" t="str">
        <f>HLOOKUP(INDICE!$F$2,Nombres!$C$3:$D$636,41,FALSE)</f>
        <v>  General and administrative expenses</v>
      </c>
      <c r="B16" s="44">
        <v>-101.38516489999998</v>
      </c>
      <c r="C16" s="44">
        <v>-104.71289471</v>
      </c>
      <c r="D16" s="44">
        <v>-99.39001074000004</v>
      </c>
      <c r="E16" s="45">
        <v>-111.56842692999999</v>
      </c>
      <c r="F16" s="44">
        <v>-113.92397106000001</v>
      </c>
      <c r="G16" s="44">
        <v>-122.54937458000003</v>
      </c>
      <c r="H16" s="44">
        <v>0</v>
      </c>
      <c r="I16" s="44">
        <v>0</v>
      </c>
    </row>
    <row r="17" spans="1:9" ht="15">
      <c r="A17" s="43" t="str">
        <f>HLOOKUP(INDICE!$F$2,Nombres!$C$3:$D$636,42,FALSE)</f>
        <v>  Depreciation</v>
      </c>
      <c r="B17" s="44">
        <v>-27.006396860000002</v>
      </c>
      <c r="C17" s="44">
        <v>-27.079481539999996</v>
      </c>
      <c r="D17" s="44">
        <v>-27.31154638</v>
      </c>
      <c r="E17" s="45">
        <v>-26.098596319999995</v>
      </c>
      <c r="F17" s="44">
        <v>-25.53963387</v>
      </c>
      <c r="G17" s="44">
        <v>-26.694572530000006</v>
      </c>
      <c r="H17" s="44">
        <v>0</v>
      </c>
      <c r="I17" s="44">
        <v>0</v>
      </c>
    </row>
    <row r="18" spans="1:9" ht="15">
      <c r="A18" s="41" t="str">
        <f>HLOOKUP(INDICE!$F$2,Nombres!$C$3:$D$636,43,FALSE)</f>
        <v>Operating income</v>
      </c>
      <c r="B18" s="41">
        <f>+B12+B13</f>
        <v>600.8772119299999</v>
      </c>
      <c r="C18" s="41">
        <f aca="true" t="shared" si="1" ref="C18:I18">+C12+C13</f>
        <v>547.2045939799999</v>
      </c>
      <c r="D18" s="41">
        <f t="shared" si="1"/>
        <v>487.3539150100001</v>
      </c>
      <c r="E18" s="42">
        <f t="shared" si="1"/>
        <v>600.8099699900001</v>
      </c>
      <c r="F18" s="50">
        <f t="shared" si="1"/>
        <v>754.10710604</v>
      </c>
      <c r="G18" s="50">
        <f t="shared" si="1"/>
        <v>738.27794159</v>
      </c>
      <c r="H18" s="50">
        <f t="shared" si="1"/>
        <v>0</v>
      </c>
      <c r="I18" s="50">
        <f t="shared" si="1"/>
        <v>0</v>
      </c>
    </row>
    <row r="19" spans="1:9" ht="15">
      <c r="A19" s="43" t="str">
        <f>HLOOKUP(INDICE!$F$2,Nombres!$C$3:$D$636,44,FALSE)</f>
        <v>Impaiment on financial assets not measured at fair value through profit or loss</v>
      </c>
      <c r="B19" s="44">
        <v>-42.86934394000001</v>
      </c>
      <c r="C19" s="44">
        <v>-10.941993759999987</v>
      </c>
      <c r="D19" s="44">
        <v>40.84088840999997</v>
      </c>
      <c r="E19" s="45">
        <v>-55.69445961999998</v>
      </c>
      <c r="F19" s="44">
        <v>-20.488427249999994</v>
      </c>
      <c r="G19" s="44">
        <v>25.198967769999996</v>
      </c>
      <c r="H19" s="44">
        <v>0</v>
      </c>
      <c r="I19" s="44">
        <v>0</v>
      </c>
    </row>
    <row r="20" spans="1:9" ht="15">
      <c r="A20" s="43" t="str">
        <f>HLOOKUP(INDICE!$F$2,Nombres!$C$3:$D$636,45,FALSE)</f>
        <v>Provisions or reversal of provisions and other results</v>
      </c>
      <c r="B20" s="44">
        <v>-22.131654360000002</v>
      </c>
      <c r="C20" s="44">
        <v>5.6919044700000025</v>
      </c>
      <c r="D20" s="44">
        <v>16.4108476</v>
      </c>
      <c r="E20" s="45">
        <v>-11.680644600000004</v>
      </c>
      <c r="F20" s="44">
        <v>18.65117579</v>
      </c>
      <c r="G20" s="44">
        <v>-9.44813636</v>
      </c>
      <c r="H20" s="44">
        <v>0</v>
      </c>
      <c r="I20" s="44">
        <v>0</v>
      </c>
    </row>
    <row r="21" spans="1:9" ht="15">
      <c r="A21" s="41" t="str">
        <f>HLOOKUP(INDICE!$F$2,Nombres!$C$3:$D$636,46,FALSE)</f>
        <v>Profit/(loss) before tax</v>
      </c>
      <c r="B21" s="41">
        <f>+B18+B19+B20</f>
        <v>535.8762136299999</v>
      </c>
      <c r="C21" s="41">
        <f aca="true" t="shared" si="2" ref="C21:I21">+C18+C19+C20</f>
        <v>541.95450469</v>
      </c>
      <c r="D21" s="41">
        <f t="shared" si="2"/>
        <v>544.6056510200001</v>
      </c>
      <c r="E21" s="42">
        <f t="shared" si="2"/>
        <v>533.4348657700001</v>
      </c>
      <c r="F21" s="50">
        <f t="shared" si="2"/>
        <v>752.26985458</v>
      </c>
      <c r="G21" s="50">
        <f t="shared" si="2"/>
        <v>754.0287729999999</v>
      </c>
      <c r="H21" s="50">
        <f t="shared" si="2"/>
        <v>0</v>
      </c>
      <c r="I21" s="50">
        <f t="shared" si="2"/>
        <v>0</v>
      </c>
    </row>
    <row r="22" spans="1:9" ht="15">
      <c r="A22" s="43" t="str">
        <f>HLOOKUP(INDICE!$F$2,Nombres!$C$3:$D$636,47,FALSE)</f>
        <v>Income tax</v>
      </c>
      <c r="B22" s="44">
        <v>-140.51039845000003</v>
      </c>
      <c r="C22" s="44">
        <v>-160.45496279000002</v>
      </c>
      <c r="D22" s="44">
        <v>-153.29763511</v>
      </c>
      <c r="E22" s="45">
        <v>-135.01085758</v>
      </c>
      <c r="F22" s="44">
        <v>-212.27958854000005</v>
      </c>
      <c r="G22" s="44">
        <v>-211.47903029999998</v>
      </c>
      <c r="H22" s="44">
        <v>0</v>
      </c>
      <c r="I22" s="44">
        <v>0</v>
      </c>
    </row>
    <row r="23" spans="1:9" ht="15">
      <c r="A23" s="41" t="str">
        <f>HLOOKUP(INDICE!$F$2,Nombres!$C$3:$D$636,48,FALSE)</f>
        <v>Profit/(loss) for the year</v>
      </c>
      <c r="B23" s="41">
        <f>+B21+B22</f>
        <v>395.3658151799999</v>
      </c>
      <c r="C23" s="41">
        <f aca="true" t="shared" si="3" ref="C23:I23">+C21+C22</f>
        <v>381.4995419</v>
      </c>
      <c r="D23" s="41">
        <f t="shared" si="3"/>
        <v>391.3080159100001</v>
      </c>
      <c r="E23" s="42">
        <f t="shared" si="3"/>
        <v>398.4240081900001</v>
      </c>
      <c r="F23" s="50">
        <f t="shared" si="3"/>
        <v>539.9902660399999</v>
      </c>
      <c r="G23" s="50">
        <f t="shared" si="3"/>
        <v>542.5497426999999</v>
      </c>
      <c r="H23" s="50">
        <f t="shared" si="3"/>
        <v>0</v>
      </c>
      <c r="I23" s="50">
        <f t="shared" si="3"/>
        <v>0</v>
      </c>
    </row>
    <row r="24" spans="1:9" ht="15">
      <c r="A24" s="43" t="str">
        <f>HLOOKUP(INDICE!$F$2,Nombres!$C$3:$D$636,49,FALSE)</f>
        <v>Non-controlling interests</v>
      </c>
      <c r="B24" s="44">
        <v>-76.23864476</v>
      </c>
      <c r="C24" s="44">
        <v>-66.44225313</v>
      </c>
      <c r="D24" s="44">
        <v>-77.1920655</v>
      </c>
      <c r="E24" s="45">
        <v>-106.67073974000002</v>
      </c>
      <c r="F24" s="44">
        <v>-99.81530437999999</v>
      </c>
      <c r="G24" s="44">
        <v>-78.74361823999999</v>
      </c>
      <c r="H24" s="44">
        <v>0</v>
      </c>
      <c r="I24" s="44">
        <v>0</v>
      </c>
    </row>
    <row r="25" spans="1:9" ht="15">
      <c r="A25" s="47" t="str">
        <f>HLOOKUP(INDICE!$F$2,Nombres!$C$3:$D$636,50,FALSE)</f>
        <v>Net attributable profit</v>
      </c>
      <c r="B25" s="47">
        <f>+B23+B24</f>
        <v>319.1271704199999</v>
      </c>
      <c r="C25" s="47">
        <f aca="true" t="shared" si="4" ref="C25:I25">+C23+C24</f>
        <v>315.05728877</v>
      </c>
      <c r="D25" s="47">
        <f t="shared" si="4"/>
        <v>314.1159504100001</v>
      </c>
      <c r="E25" s="47">
        <f t="shared" si="4"/>
        <v>291.75326845000006</v>
      </c>
      <c r="F25" s="51">
        <f t="shared" si="4"/>
        <v>440.17496165999995</v>
      </c>
      <c r="G25" s="51">
        <f t="shared" si="4"/>
        <v>463.8061244599999</v>
      </c>
      <c r="H25" s="51">
        <f t="shared" si="4"/>
        <v>0</v>
      </c>
      <c r="I25" s="51">
        <f t="shared" si="4"/>
        <v>0</v>
      </c>
    </row>
    <row r="26" spans="1:9" ht="15">
      <c r="A26" s="287"/>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3" ht="15">
      <c r="A31" s="43" t="str">
        <f>HLOOKUP(INDICE!$F$2,Nombres!$C$3:$D$636,52,FALSE)</f>
        <v>Cash, cash balances at central banks and other demand deposits</v>
      </c>
      <c r="B31" s="44">
        <v>4756.907981450004</v>
      </c>
      <c r="C31" s="44">
        <v>4748.889295589999</v>
      </c>
      <c r="D31" s="44">
        <v>5118.1363494299985</v>
      </c>
      <c r="E31" s="45">
        <v>5125.256835370001</v>
      </c>
      <c r="F31" s="44">
        <v>6333.955833989999</v>
      </c>
      <c r="G31" s="44">
        <v>8194.673499019998</v>
      </c>
      <c r="H31" s="44">
        <v>0</v>
      </c>
      <c r="I31" s="44">
        <v>0</v>
      </c>
      <c r="L31" s="54"/>
      <c r="M31" s="54"/>
    </row>
    <row r="32" spans="1:13" ht="15">
      <c r="A32" s="43" t="str">
        <f>HLOOKUP(INDICE!$F$2,Nombres!$C$3:$D$636,53,FALSE)</f>
        <v>Financial assets designated at fair value </v>
      </c>
      <c r="B32" s="58">
        <v>102467.68854402</v>
      </c>
      <c r="C32" s="58">
        <v>107855.91808451003</v>
      </c>
      <c r="D32" s="58">
        <v>111931.94124331002</v>
      </c>
      <c r="E32" s="64">
        <v>131710.73868866</v>
      </c>
      <c r="F32" s="44">
        <v>121981.77695218001</v>
      </c>
      <c r="G32" s="44">
        <v>127392.39282094</v>
      </c>
      <c r="H32" s="44">
        <v>0</v>
      </c>
      <c r="I32" s="44">
        <v>0</v>
      </c>
      <c r="L32" s="54"/>
      <c r="M32" s="54"/>
    </row>
    <row r="33" spans="1:13" ht="15">
      <c r="A33" s="43" t="str">
        <f>HLOOKUP(INDICE!$F$2,Nombres!$C$3:$D$636,54,FALSE)</f>
        <v>Financial assets at amortized cost</v>
      </c>
      <c r="B33" s="44">
        <v>68969.52906472</v>
      </c>
      <c r="C33" s="44">
        <v>68486.4781597</v>
      </c>
      <c r="D33" s="44">
        <v>68979.34209984001</v>
      </c>
      <c r="E33" s="45">
        <v>72363.16147175</v>
      </c>
      <c r="F33" s="44">
        <v>80210.69467848</v>
      </c>
      <c r="G33" s="44">
        <v>84299.83718864</v>
      </c>
      <c r="H33" s="44">
        <v>0</v>
      </c>
      <c r="I33" s="44">
        <v>0</v>
      </c>
      <c r="L33" s="54"/>
      <c r="M33" s="54"/>
    </row>
    <row r="34" spans="1:13" ht="15">
      <c r="A34" s="43" t="str">
        <f>HLOOKUP(INDICE!$F$2,Nombres!$C$3:$D$636,55,FALSE)</f>
        <v>    of which loans and advances to customers</v>
      </c>
      <c r="B34" s="44">
        <v>58026.63823676</v>
      </c>
      <c r="C34" s="44">
        <v>57870.13750652</v>
      </c>
      <c r="D34" s="44">
        <v>58400.68174325</v>
      </c>
      <c r="E34" s="45">
        <v>62042.499257760006</v>
      </c>
      <c r="F34" s="44">
        <v>70184.88136120001</v>
      </c>
      <c r="G34" s="44">
        <v>72966.28573626</v>
      </c>
      <c r="H34" s="44">
        <v>0</v>
      </c>
      <c r="I34" s="44">
        <v>0</v>
      </c>
      <c r="L34" s="54"/>
      <c r="M34" s="54"/>
    </row>
    <row r="35" spans="1:13" ht="15">
      <c r="A35" s="43" t="str">
        <f>HLOOKUP(INDICE!$F$2,Nombres!$C$3:$D$636,121,FALSE)</f>
        <v>Inter-area positions</v>
      </c>
      <c r="B35" s="44">
        <v>0</v>
      </c>
      <c r="C35" s="44">
        <v>0</v>
      </c>
      <c r="D35" s="44">
        <v>0</v>
      </c>
      <c r="E35" s="45">
        <v>0</v>
      </c>
      <c r="F35" s="44">
        <v>0</v>
      </c>
      <c r="G35" s="44">
        <v>0</v>
      </c>
      <c r="H35" s="44">
        <v>0</v>
      </c>
      <c r="I35" s="44">
        <v>0</v>
      </c>
      <c r="L35" s="54"/>
      <c r="M35" s="54"/>
    </row>
    <row r="36" spans="1:13" ht="15">
      <c r="A36" s="43" t="str">
        <f>HLOOKUP(INDICE!$F$2,Nombres!$C$3:$D$636,56,FALSE)</f>
        <v>Tangible assets</v>
      </c>
      <c r="B36" s="44">
        <v>45.1876791</v>
      </c>
      <c r="C36" s="44">
        <v>42.16608227</v>
      </c>
      <c r="D36" s="44">
        <v>39.262886699999996</v>
      </c>
      <c r="E36" s="45">
        <v>42.97531898</v>
      </c>
      <c r="F36" s="44">
        <v>53.5468733</v>
      </c>
      <c r="G36" s="44">
        <v>51.3168347</v>
      </c>
      <c r="H36" s="44">
        <v>0</v>
      </c>
      <c r="I36" s="44">
        <v>0</v>
      </c>
      <c r="L36" s="54"/>
      <c r="M36" s="54"/>
    </row>
    <row r="37" spans="1:13" ht="15">
      <c r="A37" s="43" t="str">
        <f>HLOOKUP(INDICE!$F$2,Nombres!$C$3:$D$636,57,FALSE)</f>
        <v>Other assets</v>
      </c>
      <c r="B37" s="58">
        <f>+B38-B36-B33-B32-B31-B35</f>
        <v>1221.6207880100374</v>
      </c>
      <c r="C37" s="58">
        <f aca="true" t="shared" si="5" ref="C37:I37">+C38-C36-C33-C32-C31-C35</f>
        <v>2355.04481922999</v>
      </c>
      <c r="D37" s="58">
        <f t="shared" si="5"/>
        <v>1725.9821304300021</v>
      </c>
      <c r="E37" s="64">
        <f t="shared" si="5"/>
        <v>109.90630291001071</v>
      </c>
      <c r="F37" s="58">
        <f t="shared" si="5"/>
        <v>1061.2934738000158</v>
      </c>
      <c r="G37" s="58">
        <f t="shared" si="5"/>
        <v>2000.7447091799913</v>
      </c>
      <c r="H37" s="58">
        <f t="shared" si="5"/>
        <v>0</v>
      </c>
      <c r="I37" s="58">
        <f t="shared" si="5"/>
        <v>0</v>
      </c>
      <c r="L37" s="54"/>
      <c r="M37" s="54"/>
    </row>
    <row r="38" spans="1:13" ht="15">
      <c r="A38" s="47" t="str">
        <f>HLOOKUP(INDICE!$F$2,Nombres!$C$3:$D$636,58,FALSE)</f>
        <v>Total assets / Liabilities and equity</v>
      </c>
      <c r="B38" s="47">
        <v>177460.93405730004</v>
      </c>
      <c r="C38" s="47">
        <v>183488.49644130003</v>
      </c>
      <c r="D38" s="47">
        <v>187794.66470971002</v>
      </c>
      <c r="E38" s="70">
        <v>209352.03861767</v>
      </c>
      <c r="F38" s="51">
        <v>209641.26781175</v>
      </c>
      <c r="G38" s="51">
        <v>221938.96505248</v>
      </c>
      <c r="H38" s="51">
        <v>0</v>
      </c>
      <c r="I38" s="51">
        <v>0</v>
      </c>
      <c r="L38" s="54"/>
      <c r="M38" s="54"/>
    </row>
    <row r="39" spans="1:13" ht="15">
      <c r="A39" s="43" t="str">
        <f>HLOOKUP(INDICE!$F$2,Nombres!$C$3:$D$636,59,FALSE)</f>
        <v>Financial liabilities held for trading and designated at fair value through profit or loss</v>
      </c>
      <c r="B39" s="58">
        <v>81075.84844107002</v>
      </c>
      <c r="C39" s="58">
        <v>82208.51664821</v>
      </c>
      <c r="D39" s="58">
        <v>83088.08032127</v>
      </c>
      <c r="E39" s="64">
        <v>95283.13941246</v>
      </c>
      <c r="F39" s="44">
        <v>92173.41449375001</v>
      </c>
      <c r="G39" s="44">
        <v>104489.15465049002</v>
      </c>
      <c r="H39" s="44">
        <v>0</v>
      </c>
      <c r="I39" s="44">
        <v>0</v>
      </c>
      <c r="L39" s="54"/>
      <c r="M39" s="54"/>
    </row>
    <row r="40" spans="1:13" ht="15">
      <c r="A40" s="43" t="str">
        <f>HLOOKUP(INDICE!$F$2,Nombres!$C$3:$D$636,60,FALSE)</f>
        <v>Deposits from central banks and credit institutions</v>
      </c>
      <c r="B40" s="58">
        <v>14230.343513389998</v>
      </c>
      <c r="C40" s="58">
        <v>14878.94608085</v>
      </c>
      <c r="D40" s="58">
        <v>15307.926067229997</v>
      </c>
      <c r="E40" s="64">
        <v>12883.517656659998</v>
      </c>
      <c r="F40" s="44">
        <v>16254.94732625</v>
      </c>
      <c r="G40" s="44">
        <v>21020.248880389998</v>
      </c>
      <c r="H40" s="44">
        <v>0</v>
      </c>
      <c r="I40" s="44">
        <v>0</v>
      </c>
      <c r="L40" s="54"/>
      <c r="M40" s="54"/>
    </row>
    <row r="41" spans="1:13" ht="15.75" customHeight="1">
      <c r="A41" s="43" t="str">
        <f>HLOOKUP(INDICE!$F$2,Nombres!$C$3:$D$636,61,FALSE)</f>
        <v>Deposits from customers</v>
      </c>
      <c r="B41" s="58">
        <v>36489.33001814</v>
      </c>
      <c r="C41" s="58">
        <v>37169.56320787</v>
      </c>
      <c r="D41" s="58">
        <v>36686.46877222</v>
      </c>
      <c r="E41" s="64">
        <v>38359.8209804</v>
      </c>
      <c r="F41" s="44">
        <v>38572.392747369995</v>
      </c>
      <c r="G41" s="44">
        <v>40542.38192001</v>
      </c>
      <c r="H41" s="44">
        <v>0</v>
      </c>
      <c r="I41" s="44">
        <v>0</v>
      </c>
      <c r="L41" s="54"/>
      <c r="M41" s="54"/>
    </row>
    <row r="42" spans="1:13" ht="15">
      <c r="A42" s="43" t="str">
        <f>HLOOKUP(INDICE!$F$2,Nombres!$C$3:$D$636,62,FALSE)</f>
        <v>Debt certificates</v>
      </c>
      <c r="B42" s="44">
        <v>2194.24470509</v>
      </c>
      <c r="C42" s="44">
        <v>2713.23074017</v>
      </c>
      <c r="D42" s="44">
        <v>3132.3048752499994</v>
      </c>
      <c r="E42" s="45">
        <v>5746.02746363</v>
      </c>
      <c r="F42" s="44">
        <v>4278.92715128</v>
      </c>
      <c r="G42" s="44">
        <v>5004.723124300001</v>
      </c>
      <c r="H42" s="44">
        <v>0</v>
      </c>
      <c r="I42" s="44">
        <v>0</v>
      </c>
      <c r="L42" s="54"/>
      <c r="M42" s="54"/>
    </row>
    <row r="43" spans="1:13" ht="15">
      <c r="A43" s="43" t="str">
        <f>HLOOKUP(INDICE!$F$2,Nombres!$C$3:$D$636,122,FALSE)</f>
        <v>Inter-area positions</v>
      </c>
      <c r="B43" s="44">
        <v>33175.89800549745</v>
      </c>
      <c r="C43" s="44">
        <v>33861.31383329441</v>
      </c>
      <c r="D43" s="44">
        <v>37146.19986256198</v>
      </c>
      <c r="E43" s="45">
        <v>44195.53935445562</v>
      </c>
      <c r="F43" s="44">
        <v>45440.4048979904</v>
      </c>
      <c r="G43" s="44">
        <v>35438.32602614719</v>
      </c>
      <c r="H43" s="44">
        <v>0</v>
      </c>
      <c r="I43" s="44">
        <v>0</v>
      </c>
      <c r="L43" s="54"/>
      <c r="M43" s="54"/>
    </row>
    <row r="44" spans="1:13" ht="15">
      <c r="A44" s="43" t="str">
        <f>HLOOKUP(INDICE!$F$2,Nombres!$C$3:$D$636,63,FALSE)</f>
        <v>Other liabilities</v>
      </c>
      <c r="B44" s="44">
        <f aca="true" t="shared" si="6" ref="B44:I44">+B38-B39-B40-B41-B42-B45-B43</f>
        <v>1565.3687436449109</v>
      </c>
      <c r="C44" s="44">
        <f t="shared" si="6"/>
        <v>2806.2746584129127</v>
      </c>
      <c r="D44" s="44">
        <f t="shared" si="6"/>
        <v>2519.8738726927913</v>
      </c>
      <c r="E44" s="45">
        <f t="shared" si="6"/>
        <v>2900.5941456762303</v>
      </c>
      <c r="F44" s="44">
        <f t="shared" si="6"/>
        <v>2614.9123381688114</v>
      </c>
      <c r="G44" s="44">
        <f t="shared" si="6"/>
        <v>4183.25884781799</v>
      </c>
      <c r="H44" s="44">
        <f t="shared" si="6"/>
        <v>0</v>
      </c>
      <c r="I44" s="44">
        <f t="shared" si="6"/>
        <v>0</v>
      </c>
      <c r="L44" s="54"/>
      <c r="M44" s="54"/>
    </row>
    <row r="45" spans="1:13" ht="15">
      <c r="A45" s="43" t="str">
        <f>HLOOKUP(INDICE!$F$2,Nombres!$C$3:$D$636,282,FALSE)</f>
        <v>Regulatory capital allocated</v>
      </c>
      <c r="B45" s="44">
        <v>8729.900630467651</v>
      </c>
      <c r="C45" s="44">
        <v>9850.6512724927</v>
      </c>
      <c r="D45" s="44">
        <v>9913.810938485252</v>
      </c>
      <c r="E45" s="45">
        <v>9983.399604388153</v>
      </c>
      <c r="F45" s="44">
        <v>10306.268856940798</v>
      </c>
      <c r="G45" s="44">
        <v>11260.8716033248</v>
      </c>
      <c r="H45" s="44">
        <v>0</v>
      </c>
      <c r="I45" s="44">
        <v>0</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Relevant business indicators</v>
      </c>
      <c r="B48" s="34"/>
      <c r="C48" s="34"/>
      <c r="D48" s="34"/>
      <c r="E48" s="34"/>
      <c r="F48" s="80"/>
      <c r="G48" s="80"/>
      <c r="H48" s="80"/>
      <c r="I48" s="80"/>
    </row>
    <row r="49" spans="1:9" ht="15">
      <c r="A49" s="35" t="str">
        <f>HLOOKUP(INDICE!$F$2,Nombres!$C$3:$D$636,32,FALSE)</f>
        <v>(Million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ustomHeight="1">
      <c r="A51" s="43" t="str">
        <f>HLOOKUP(INDICE!$F$2,Nombres!$C$3:$D$636,66,FALSE)</f>
        <v>Loans and advances to customers (gross) (*)</v>
      </c>
      <c r="B51" s="44">
        <v>58932.06356524</v>
      </c>
      <c r="C51" s="44">
        <v>58822.29361016</v>
      </c>
      <c r="D51" s="44">
        <v>59120.4147644</v>
      </c>
      <c r="E51" s="45">
        <v>62896.06160924</v>
      </c>
      <c r="F51" s="76">
        <v>70929.41591351999</v>
      </c>
      <c r="G51" s="76">
        <v>73777.19767849999</v>
      </c>
      <c r="H51" s="76">
        <v>0</v>
      </c>
      <c r="I51" s="76">
        <v>0</v>
      </c>
    </row>
    <row r="52" spans="1:9" ht="15">
      <c r="A52" s="43" t="str">
        <f>HLOOKUP(INDICE!$F$2,Nombres!$C$3:$D$636,67,FALSE)</f>
        <v>Customer deposits under management (*)</v>
      </c>
      <c r="B52" s="44">
        <v>35881.37108473</v>
      </c>
      <c r="C52" s="44">
        <v>36524.3060845</v>
      </c>
      <c r="D52" s="44">
        <v>36036.59698627</v>
      </c>
      <c r="E52" s="45">
        <v>37445.110905760004</v>
      </c>
      <c r="F52" s="44">
        <v>38010.77453535001</v>
      </c>
      <c r="G52" s="44">
        <v>39976.654460180005</v>
      </c>
      <c r="H52" s="44">
        <v>0</v>
      </c>
      <c r="I52" s="44">
        <v>0</v>
      </c>
    </row>
    <row r="53" spans="1:9" ht="15">
      <c r="A53" s="43" t="str">
        <f>HLOOKUP(INDICE!$F$2,Nombres!$C$3:$D$636,68,FALSE)</f>
        <v>Investment funds and managed portfolios</v>
      </c>
      <c r="B53" s="44">
        <v>1062.4762971</v>
      </c>
      <c r="C53" s="44">
        <v>1055.6925817400002</v>
      </c>
      <c r="D53" s="44">
        <v>1122.5360347900003</v>
      </c>
      <c r="E53" s="45">
        <v>1209.5401303499998</v>
      </c>
      <c r="F53" s="44">
        <v>1364.1225290099999</v>
      </c>
      <c r="G53" s="44">
        <v>1268.3651473</v>
      </c>
      <c r="H53" s="44">
        <v>0</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92.72548207999999</v>
      </c>
      <c r="C55" s="44">
        <v>116.31582259</v>
      </c>
      <c r="D55" s="44">
        <v>112.85494168</v>
      </c>
      <c r="E55" s="45">
        <v>104.17368884999999</v>
      </c>
      <c r="F55" s="44">
        <v>135.55139111</v>
      </c>
      <c r="G55" s="44">
        <v>355.16733027</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362.7747216356582</v>
      </c>
      <c r="C64" s="41">
        <v>353.0331632924415</v>
      </c>
      <c r="D64" s="41">
        <v>387.3743997900456</v>
      </c>
      <c r="E64" s="42">
        <v>406.94061614642504</v>
      </c>
      <c r="F64" s="50">
        <v>465.51033486707126</v>
      </c>
      <c r="G64" s="50">
        <v>479.7052875829287</v>
      </c>
      <c r="H64" s="50">
        <v>0</v>
      </c>
      <c r="I64" s="50">
        <v>0</v>
      </c>
    </row>
    <row r="65" spans="1:9" ht="15">
      <c r="A65" s="43" t="str">
        <f>HLOOKUP(INDICE!$F$2,Nombres!$C$3:$D$636,34,FALSE)</f>
        <v>Net fees and commissions</v>
      </c>
      <c r="B65" s="44">
        <v>179.46464220399506</v>
      </c>
      <c r="C65" s="44">
        <v>186.22934194147393</v>
      </c>
      <c r="D65" s="44">
        <v>194.8361370700197</v>
      </c>
      <c r="E65" s="45">
        <v>210.59577226009023</v>
      </c>
      <c r="F65" s="44">
        <v>199.38534867790509</v>
      </c>
      <c r="G65" s="44">
        <v>235.0038396120949</v>
      </c>
      <c r="H65" s="44">
        <v>0</v>
      </c>
      <c r="I65" s="44">
        <v>0</v>
      </c>
    </row>
    <row r="66" spans="1:9" ht="15">
      <c r="A66" s="43" t="str">
        <f>HLOOKUP(INDICE!$F$2,Nombres!$C$3:$D$636,35,FALSE)</f>
        <v>Net trading income</v>
      </c>
      <c r="B66" s="44">
        <v>250.61837030628453</v>
      </c>
      <c r="C66" s="44">
        <v>226.88593125148662</v>
      </c>
      <c r="D66" s="44">
        <v>130.57406700276547</v>
      </c>
      <c r="E66" s="45">
        <v>217.09378508055045</v>
      </c>
      <c r="F66" s="44">
        <v>356.4151217250485</v>
      </c>
      <c r="G66" s="44">
        <v>297.0930665549514</v>
      </c>
      <c r="H66" s="44">
        <v>0</v>
      </c>
      <c r="I66" s="44">
        <v>0</v>
      </c>
    </row>
    <row r="67" spans="1:9" ht="15">
      <c r="A67" s="43" t="str">
        <f>HLOOKUP(INDICE!$F$2,Nombres!$C$3:$D$636,36,FALSE)</f>
        <v>Other operating income and expenses</v>
      </c>
      <c r="B67" s="44">
        <v>-10.945860720305932</v>
      </c>
      <c r="C67" s="44">
        <v>-7.599581709082962</v>
      </c>
      <c r="D67" s="44">
        <v>-10.631971819415352</v>
      </c>
      <c r="E67" s="45">
        <v>-11.663457658802198</v>
      </c>
      <c r="F67" s="44">
        <v>-7.950018594178248</v>
      </c>
      <c r="G67" s="44">
        <v>-7.584997215821752</v>
      </c>
      <c r="H67" s="44">
        <v>0</v>
      </c>
      <c r="I67" s="44">
        <v>0</v>
      </c>
    </row>
    <row r="68" spans="1:9" ht="15">
      <c r="A68" s="41" t="str">
        <f>HLOOKUP(INDICE!$F$2,Nombres!$C$3:$D$636,37,FALSE)</f>
        <v>Gross income</v>
      </c>
      <c r="B68" s="41">
        <f>+SUM(B64:B67)</f>
        <v>781.9118734256318</v>
      </c>
      <c r="C68" s="41">
        <f aca="true" t="shared" si="9" ref="C68:I68">+SUM(C64:C67)</f>
        <v>758.5488547763191</v>
      </c>
      <c r="D68" s="41">
        <f t="shared" si="9"/>
        <v>702.1526320434155</v>
      </c>
      <c r="E68" s="42">
        <f t="shared" si="9"/>
        <v>822.9667158282635</v>
      </c>
      <c r="F68" s="50">
        <f t="shared" si="9"/>
        <v>1013.3607866758466</v>
      </c>
      <c r="G68" s="50">
        <f t="shared" si="9"/>
        <v>1004.2171965341532</v>
      </c>
      <c r="H68" s="50">
        <f t="shared" si="9"/>
        <v>0</v>
      </c>
      <c r="I68" s="50">
        <f t="shared" si="9"/>
        <v>0</v>
      </c>
    </row>
    <row r="69" spans="1:9" ht="15">
      <c r="A69" s="43" t="str">
        <f>HLOOKUP(INDICE!$F$2,Nombres!$C$3:$D$636,38,FALSE)</f>
        <v>Operating expenses</v>
      </c>
      <c r="B69" s="44">
        <v>-234.85507285336087</v>
      </c>
      <c r="C69" s="44">
        <v>-240.9569211953629</v>
      </c>
      <c r="D69" s="44">
        <v>-236.5402338976166</v>
      </c>
      <c r="E69" s="45">
        <v>-289.63491176008506</v>
      </c>
      <c r="F69" s="44">
        <v>-260.84905657723243</v>
      </c>
      <c r="G69" s="44">
        <v>-264.3438790027676</v>
      </c>
      <c r="H69" s="44">
        <v>0</v>
      </c>
      <c r="I69" s="44">
        <v>0</v>
      </c>
    </row>
    <row r="70" spans="1:9" ht="15">
      <c r="A70" s="43" t="str">
        <f>HLOOKUP(INDICE!$F$2,Nombres!$C$3:$D$636,39,FALSE)</f>
        <v>  Administration expenses</v>
      </c>
      <c r="B70" s="44">
        <v>-207.59299049666976</v>
      </c>
      <c r="C70" s="44">
        <v>-213.57398477768456</v>
      </c>
      <c r="D70" s="44">
        <v>-209.05897154401754</v>
      </c>
      <c r="E70" s="45">
        <v>-263.3037327525825</v>
      </c>
      <c r="F70" s="44">
        <v>-235.13909209809893</v>
      </c>
      <c r="G70" s="44">
        <v>-237.81963708190108</v>
      </c>
      <c r="H70" s="44">
        <v>0</v>
      </c>
      <c r="I70" s="44">
        <v>0</v>
      </c>
    </row>
    <row r="71" spans="1:9" ht="15">
      <c r="A71" s="46" t="str">
        <f>HLOOKUP(INDICE!$F$2,Nombres!$C$3:$D$636,40,FALSE)</f>
        <v>  Personnel expenses</v>
      </c>
      <c r="B71" s="44">
        <v>-106.52879708745124</v>
      </c>
      <c r="C71" s="44">
        <v>-107.62420807882793</v>
      </c>
      <c r="D71" s="44">
        <v>-111.48058728454146</v>
      </c>
      <c r="E71" s="45">
        <v>-152.11749737258992</v>
      </c>
      <c r="F71" s="44">
        <v>-120.17319375392044</v>
      </c>
      <c r="G71" s="44">
        <v>-116.31218978607957</v>
      </c>
      <c r="H71" s="44">
        <v>0</v>
      </c>
      <c r="I71" s="44">
        <v>0</v>
      </c>
    </row>
    <row r="72" spans="1:9" ht="15">
      <c r="A72" s="46" t="str">
        <f>HLOOKUP(INDICE!$F$2,Nombres!$C$3:$D$636,41,FALSE)</f>
        <v>  General and administrative expenses</v>
      </c>
      <c r="B72" s="44">
        <v>-101.06419340921857</v>
      </c>
      <c r="C72" s="44">
        <v>-105.94977669885662</v>
      </c>
      <c r="D72" s="44">
        <v>-97.57838425947611</v>
      </c>
      <c r="E72" s="45">
        <v>-111.1862353799926</v>
      </c>
      <c r="F72" s="44">
        <v>-114.96589834417851</v>
      </c>
      <c r="G72" s="44">
        <v>-121.50744729582149</v>
      </c>
      <c r="H72" s="44">
        <v>0</v>
      </c>
      <c r="I72" s="44">
        <v>0</v>
      </c>
    </row>
    <row r="73" spans="1:9" ht="15">
      <c r="A73" s="43" t="str">
        <f>HLOOKUP(INDICE!$F$2,Nombres!$C$3:$D$636,42,FALSE)</f>
        <v>  Depreciation</v>
      </c>
      <c r="B73" s="44">
        <v>-27.26208235669102</v>
      </c>
      <c r="C73" s="44">
        <v>-27.38293641767833</v>
      </c>
      <c r="D73" s="44">
        <v>-27.481262353599035</v>
      </c>
      <c r="E73" s="45">
        <v>-26.33117900750254</v>
      </c>
      <c r="F73" s="44">
        <v>-25.70996447913343</v>
      </c>
      <c r="G73" s="44">
        <v>-26.52424192086657</v>
      </c>
      <c r="H73" s="44">
        <v>0</v>
      </c>
      <c r="I73" s="44">
        <v>0</v>
      </c>
    </row>
    <row r="74" spans="1:9" ht="15">
      <c r="A74" s="41" t="str">
        <f>HLOOKUP(INDICE!$F$2,Nombres!$C$3:$D$636,43,FALSE)</f>
        <v>Operating income</v>
      </c>
      <c r="B74" s="41">
        <f>+B68+B69</f>
        <v>547.056800572271</v>
      </c>
      <c r="C74" s="41">
        <f aca="true" t="shared" si="10" ref="C74:I74">+C68+C69</f>
        <v>517.5919335809563</v>
      </c>
      <c r="D74" s="41">
        <f t="shared" si="10"/>
        <v>465.61239814579886</v>
      </c>
      <c r="E74" s="42">
        <f t="shared" si="10"/>
        <v>533.3318040681785</v>
      </c>
      <c r="F74" s="50">
        <f t="shared" si="10"/>
        <v>752.5117300986142</v>
      </c>
      <c r="G74" s="50">
        <f t="shared" si="10"/>
        <v>739.8733175313856</v>
      </c>
      <c r="H74" s="50">
        <f t="shared" si="10"/>
        <v>0</v>
      </c>
      <c r="I74" s="50">
        <f t="shared" si="10"/>
        <v>0</v>
      </c>
    </row>
    <row r="75" spans="1:9" ht="15">
      <c r="A75" s="43" t="str">
        <f>HLOOKUP(INDICE!$F$2,Nombres!$C$3:$D$636,44,FALSE)</f>
        <v>Impaiment on financial assets not measured at fair value through profit or loss</v>
      </c>
      <c r="B75" s="44">
        <v>-30.097908668000553</v>
      </c>
      <c r="C75" s="44">
        <v>-1.1515698920329203</v>
      </c>
      <c r="D75" s="44">
        <v>20.08294885030348</v>
      </c>
      <c r="E75" s="45">
        <v>-40.62665858571037</v>
      </c>
      <c r="F75" s="44">
        <v>-20.355275439134875</v>
      </c>
      <c r="G75" s="44">
        <v>25.06581595913488</v>
      </c>
      <c r="H75" s="44">
        <v>0</v>
      </c>
      <c r="I75" s="44">
        <v>0</v>
      </c>
    </row>
    <row r="76" spans="1:9" ht="15">
      <c r="A76" s="43" t="str">
        <f>HLOOKUP(INDICE!$F$2,Nombres!$C$3:$D$636,45,FALSE)</f>
        <v>Provisions or reversal of provisions and other results</v>
      </c>
      <c r="B76" s="44">
        <v>-23.141644717797536</v>
      </c>
      <c r="C76" s="44">
        <v>7.483255179912927</v>
      </c>
      <c r="D76" s="44">
        <v>16.148614377791137</v>
      </c>
      <c r="E76" s="45">
        <v>-12.672926366810035</v>
      </c>
      <c r="F76" s="44">
        <v>19.453298957549883</v>
      </c>
      <c r="G76" s="44">
        <v>-10.250259527549883</v>
      </c>
      <c r="H76" s="44">
        <v>0</v>
      </c>
      <c r="I76" s="44">
        <v>0</v>
      </c>
    </row>
    <row r="77" spans="1:9" ht="15">
      <c r="A77" s="41" t="str">
        <f>HLOOKUP(INDICE!$F$2,Nombres!$C$3:$D$636,46,FALSE)</f>
        <v>Profit/(loss) before tax</v>
      </c>
      <c r="B77" s="41">
        <f>+B74+B75+B76</f>
        <v>493.8172471864729</v>
      </c>
      <c r="C77" s="41">
        <f aca="true" t="shared" si="11" ref="C77:I77">+C74+C75+C76</f>
        <v>523.9236188688362</v>
      </c>
      <c r="D77" s="41">
        <f t="shared" si="11"/>
        <v>501.8439613738935</v>
      </c>
      <c r="E77" s="42">
        <f t="shared" si="11"/>
        <v>480.03221911565805</v>
      </c>
      <c r="F77" s="50">
        <f t="shared" si="11"/>
        <v>751.6097536170292</v>
      </c>
      <c r="G77" s="50">
        <f t="shared" si="11"/>
        <v>754.6888739629705</v>
      </c>
      <c r="H77" s="50">
        <f t="shared" si="11"/>
        <v>0</v>
      </c>
      <c r="I77" s="50">
        <f t="shared" si="11"/>
        <v>0</v>
      </c>
    </row>
    <row r="78" spans="1:9" ht="15">
      <c r="A78" s="43" t="str">
        <f>HLOOKUP(INDICE!$F$2,Nombres!$C$3:$D$636,47,FALSE)</f>
        <v>Income tax</v>
      </c>
      <c r="B78" s="44">
        <v>-131.43100874608658</v>
      </c>
      <c r="C78" s="44">
        <v>-155.40876259698285</v>
      </c>
      <c r="D78" s="44">
        <v>-143.36106763652438</v>
      </c>
      <c r="E78" s="45">
        <v>-121.12538886260836</v>
      </c>
      <c r="F78" s="44">
        <v>-212.29186842450227</v>
      </c>
      <c r="G78" s="44">
        <v>-211.46675041549776</v>
      </c>
      <c r="H78" s="44">
        <v>0</v>
      </c>
      <c r="I78" s="44">
        <v>0</v>
      </c>
    </row>
    <row r="79" spans="1:9" ht="15">
      <c r="A79" s="41" t="str">
        <f>HLOOKUP(INDICE!$F$2,Nombres!$C$3:$D$636,48,FALSE)</f>
        <v>Profit/(loss) for the year</v>
      </c>
      <c r="B79" s="41">
        <f>+B77+B78</f>
        <v>362.38623844038636</v>
      </c>
      <c r="C79" s="41">
        <f aca="true" t="shared" si="12" ref="C79:I79">+C77+C78</f>
        <v>368.5148562718534</v>
      </c>
      <c r="D79" s="41">
        <f t="shared" si="12"/>
        <v>358.48289373736907</v>
      </c>
      <c r="E79" s="42">
        <f t="shared" si="12"/>
        <v>358.9068302530497</v>
      </c>
      <c r="F79" s="50">
        <f t="shared" si="12"/>
        <v>539.317885192527</v>
      </c>
      <c r="G79" s="50">
        <f t="shared" si="12"/>
        <v>543.2221235474728</v>
      </c>
      <c r="H79" s="50">
        <f t="shared" si="12"/>
        <v>0</v>
      </c>
      <c r="I79" s="50">
        <f t="shared" si="12"/>
        <v>0</v>
      </c>
    </row>
    <row r="80" spans="1:9" ht="15">
      <c r="A80" s="43" t="str">
        <f>HLOOKUP(INDICE!$F$2,Nombres!$C$3:$D$636,49,FALSE)</f>
        <v>Non-controlling interests</v>
      </c>
      <c r="B80" s="44">
        <v>-54.965394724833956</v>
      </c>
      <c r="C80" s="44">
        <v>-53.57429439348087</v>
      </c>
      <c r="D80" s="44">
        <v>-57.51207067062622</v>
      </c>
      <c r="E80" s="45">
        <v>-84.15479417958008</v>
      </c>
      <c r="F80" s="44">
        <v>-96.35324416117962</v>
      </c>
      <c r="G80" s="44">
        <v>-82.20567845882037</v>
      </c>
      <c r="H80" s="44">
        <v>0</v>
      </c>
      <c r="I80" s="44">
        <v>0</v>
      </c>
    </row>
    <row r="81" spans="1:9" ht="15">
      <c r="A81" s="47" t="str">
        <f>HLOOKUP(INDICE!$F$2,Nombres!$C$3:$D$636,50,FALSE)</f>
        <v>Net attributable profit</v>
      </c>
      <c r="B81" s="47">
        <f>+B79+B80</f>
        <v>307.4208437155524</v>
      </c>
      <c r="C81" s="47">
        <f aca="true" t="shared" si="13" ref="C81:I81">+C79+C80</f>
        <v>314.9405618783725</v>
      </c>
      <c r="D81" s="47">
        <f t="shared" si="13"/>
        <v>300.97082306674287</v>
      </c>
      <c r="E81" s="47">
        <f t="shared" si="13"/>
        <v>274.75203607346964</v>
      </c>
      <c r="F81" s="51">
        <f t="shared" si="13"/>
        <v>442.96464103134736</v>
      </c>
      <c r="G81" s="51">
        <f t="shared" si="13"/>
        <v>461.01644508865246</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5420.83910642782</v>
      </c>
      <c r="C87" s="44">
        <v>5350.513970726342</v>
      </c>
      <c r="D87" s="44">
        <v>5652.7714072480185</v>
      </c>
      <c r="E87" s="45">
        <v>5525.3942687603485</v>
      </c>
      <c r="F87" s="44">
        <v>6618.895078327939</v>
      </c>
      <c r="G87" s="44">
        <v>8194.673499019998</v>
      </c>
      <c r="H87" s="44">
        <v>0</v>
      </c>
      <c r="I87" s="44">
        <v>0</v>
      </c>
    </row>
    <row r="88" spans="1:9" ht="15">
      <c r="A88" s="43" t="str">
        <f>HLOOKUP(INDICE!$F$2,Nombres!$C$3:$D$636,53,FALSE)</f>
        <v>Financial assets designated at fair value </v>
      </c>
      <c r="B88" s="58">
        <v>104298.703307879</v>
      </c>
      <c r="C88" s="58">
        <v>109746.63707672617</v>
      </c>
      <c r="D88" s="58">
        <v>113759.00914557847</v>
      </c>
      <c r="E88" s="64">
        <v>133674.8900755774</v>
      </c>
      <c r="F88" s="44">
        <v>123066.00702637197</v>
      </c>
      <c r="G88" s="44">
        <v>127392.39282094</v>
      </c>
      <c r="H88" s="44">
        <v>0</v>
      </c>
      <c r="I88" s="44">
        <v>0</v>
      </c>
    </row>
    <row r="89" spans="1:9" ht="15">
      <c r="A89" s="43" t="str">
        <f>HLOOKUP(INDICE!$F$2,Nombres!$C$3:$D$636,54,FALSE)</f>
        <v>Financial assets at amortized cost</v>
      </c>
      <c r="B89" s="44">
        <v>68025.52790537981</v>
      </c>
      <c r="C89" s="44">
        <v>67836.377000039</v>
      </c>
      <c r="D89" s="44">
        <v>68312.68687586043</v>
      </c>
      <c r="E89" s="45">
        <v>73776.49114703474</v>
      </c>
      <c r="F89" s="44">
        <v>81068.48860042702</v>
      </c>
      <c r="G89" s="44">
        <v>84299.83718864</v>
      </c>
      <c r="H89" s="44">
        <v>0</v>
      </c>
      <c r="I89" s="44">
        <v>0</v>
      </c>
    </row>
    <row r="90" spans="1:9" ht="15">
      <c r="A90" s="43" t="str">
        <f>HLOOKUP(INDICE!$F$2,Nombres!$C$3:$D$636,55,FALSE)</f>
        <v>    of which loans and advances to customers</v>
      </c>
      <c r="B90" s="44">
        <v>56896.26069656824</v>
      </c>
      <c r="C90" s="44">
        <v>57031.04282025972</v>
      </c>
      <c r="D90" s="44">
        <v>57538.2072446481</v>
      </c>
      <c r="E90" s="45">
        <v>63346.625505246324</v>
      </c>
      <c r="F90" s="44">
        <v>70965.1337005196</v>
      </c>
      <c r="G90" s="44">
        <v>72966.28573626</v>
      </c>
      <c r="H90" s="44">
        <v>0</v>
      </c>
      <c r="I90" s="44">
        <v>0</v>
      </c>
    </row>
    <row r="91" spans="1:9" ht="15">
      <c r="A91" s="43" t="str">
        <f>HLOOKUP(INDICE!$F$2,Nombres!$C$3:$D$636,121,FALSE)</f>
        <v>Inter-area positions</v>
      </c>
      <c r="B91" s="44">
        <v>0</v>
      </c>
      <c r="C91" s="44">
        <v>0</v>
      </c>
      <c r="D91" s="44">
        <v>0</v>
      </c>
      <c r="E91" s="45">
        <v>0</v>
      </c>
      <c r="F91" s="44">
        <v>0</v>
      </c>
      <c r="G91" s="44">
        <v>0</v>
      </c>
      <c r="H91" s="44">
        <v>0</v>
      </c>
      <c r="I91" s="44">
        <v>0</v>
      </c>
    </row>
    <row r="92" spans="1:9" ht="15">
      <c r="A92" s="43" t="str">
        <f>HLOOKUP(INDICE!$F$2,Nombres!$C$3:$D$636,56,FALSE)</f>
        <v>Tangible assets</v>
      </c>
      <c r="B92" s="44">
        <v>46.09617735974467</v>
      </c>
      <c r="C92" s="44">
        <v>43.00347871272109</v>
      </c>
      <c r="D92" s="44">
        <v>39.87243891198486</v>
      </c>
      <c r="E92" s="45">
        <v>44.31705154543115</v>
      </c>
      <c r="F92" s="44">
        <v>54.342675447858774</v>
      </c>
      <c r="G92" s="44">
        <v>51.3168347</v>
      </c>
      <c r="H92" s="44">
        <v>0</v>
      </c>
      <c r="I92" s="44">
        <v>0</v>
      </c>
    </row>
    <row r="93" spans="1:9" ht="15">
      <c r="A93" s="43" t="str">
        <f>HLOOKUP(INDICE!$F$2,Nombres!$C$3:$D$636,57,FALSE)</f>
        <v>Other assets</v>
      </c>
      <c r="B93" s="58">
        <f>+B94-B92-B89-B88-B87-B91</f>
        <v>1267.3581791145025</v>
      </c>
      <c r="C93" s="58">
        <f aca="true" t="shared" si="15" ref="C93:I93">+C94-C92-C89-C88-C87-C91</f>
        <v>2588.126767809752</v>
      </c>
      <c r="D93" s="58">
        <f t="shared" si="15"/>
        <v>1985.7953803456594</v>
      </c>
      <c r="E93" s="64">
        <f t="shared" si="15"/>
        <v>87.30536894388933</v>
      </c>
      <c r="F93" s="58">
        <f t="shared" si="15"/>
        <v>1074.0424578479042</v>
      </c>
      <c r="G93" s="58">
        <f t="shared" si="15"/>
        <v>2000.7447091799913</v>
      </c>
      <c r="H93" s="58">
        <f t="shared" si="15"/>
        <v>0</v>
      </c>
      <c r="I93" s="58">
        <f t="shared" si="15"/>
        <v>0</v>
      </c>
    </row>
    <row r="94" spans="1:9" ht="15">
      <c r="A94" s="47" t="str">
        <f>HLOOKUP(INDICE!$F$2,Nombres!$C$3:$D$636,58,FALSE)</f>
        <v>Total assets / Liabilities and equity</v>
      </c>
      <c r="B94" s="47">
        <v>179058.5246761609</v>
      </c>
      <c r="C94" s="47">
        <v>185564.658294014</v>
      </c>
      <c r="D94" s="47">
        <v>189750.13524794456</v>
      </c>
      <c r="E94" s="70">
        <v>213108.3979118618</v>
      </c>
      <c r="F94" s="51">
        <v>211881.7758384227</v>
      </c>
      <c r="G94" s="51">
        <v>221938.96505248</v>
      </c>
      <c r="H94" s="51">
        <v>0</v>
      </c>
      <c r="I94" s="51">
        <v>0</v>
      </c>
    </row>
    <row r="95" spans="1:9" ht="15">
      <c r="A95" s="43" t="str">
        <f>HLOOKUP(INDICE!$F$2,Nombres!$C$3:$D$636,59,FALSE)</f>
        <v>Financial liabilities held for trading and designated at fair value through profit or loss</v>
      </c>
      <c r="B95" s="58">
        <v>82884.17478739892</v>
      </c>
      <c r="C95" s="58">
        <v>83965.8887455356</v>
      </c>
      <c r="D95" s="58">
        <v>84776.82430911185</v>
      </c>
      <c r="E95" s="64">
        <v>96662.03959207881</v>
      </c>
      <c r="F95" s="44">
        <v>93092.04173959953</v>
      </c>
      <c r="G95" s="44">
        <v>104489.15465049002</v>
      </c>
      <c r="H95" s="44">
        <v>0</v>
      </c>
      <c r="I95" s="44">
        <v>0</v>
      </c>
    </row>
    <row r="96" spans="1:9" ht="15">
      <c r="A96" s="43" t="str">
        <f>HLOOKUP(INDICE!$F$2,Nombres!$C$3:$D$636,60,FALSE)</f>
        <v>Deposits from central banks and credit institutions</v>
      </c>
      <c r="B96" s="58">
        <v>14408.618738817313</v>
      </c>
      <c r="C96" s="58">
        <v>15104.409389848235</v>
      </c>
      <c r="D96" s="58">
        <v>15572.704840673465</v>
      </c>
      <c r="E96" s="64">
        <v>13057.273522064628</v>
      </c>
      <c r="F96" s="44">
        <v>16345.224255428931</v>
      </c>
      <c r="G96" s="44">
        <v>21020.248880389998</v>
      </c>
      <c r="H96" s="44">
        <v>0</v>
      </c>
      <c r="I96" s="44">
        <v>0</v>
      </c>
    </row>
    <row r="97" spans="1:9" ht="15">
      <c r="A97" s="43" t="str">
        <f>HLOOKUP(INDICE!$F$2,Nombres!$C$3:$D$636,61,FALSE)</f>
        <v>Deposits from customers</v>
      </c>
      <c r="B97" s="58">
        <v>37034.56317746629</v>
      </c>
      <c r="C97" s="58">
        <v>37784.2257942135</v>
      </c>
      <c r="D97" s="58">
        <v>37633.83558194292</v>
      </c>
      <c r="E97" s="64">
        <v>39570.16812330499</v>
      </c>
      <c r="F97" s="44">
        <v>39096.14312041795</v>
      </c>
      <c r="G97" s="44">
        <v>40542.38192001</v>
      </c>
      <c r="H97" s="44">
        <v>0</v>
      </c>
      <c r="I97" s="44">
        <v>0</v>
      </c>
    </row>
    <row r="98" spans="1:9" ht="15">
      <c r="A98" s="43" t="str">
        <f>HLOOKUP(INDICE!$F$2,Nombres!$C$3:$D$636,62,FALSE)</f>
        <v>Debt certificates</v>
      </c>
      <c r="B98" s="44">
        <v>2186.5027862570955</v>
      </c>
      <c r="C98" s="44">
        <v>2774.9564073473657</v>
      </c>
      <c r="D98" s="44">
        <v>3211.353090819468</v>
      </c>
      <c r="E98" s="45">
        <v>6024.545686404623</v>
      </c>
      <c r="F98" s="44">
        <v>4329.088326307384</v>
      </c>
      <c r="G98" s="44">
        <v>5004.723124300001</v>
      </c>
      <c r="H98" s="44">
        <v>0</v>
      </c>
      <c r="I98" s="44">
        <v>0</v>
      </c>
    </row>
    <row r="99" spans="1:9" ht="15">
      <c r="A99" s="43" t="str">
        <f>HLOOKUP(INDICE!$F$2,Nombres!$C$3:$D$636,122,FALSE)</f>
        <v>Inter-area positions</v>
      </c>
      <c r="B99" s="44">
        <v>32037.852724792232</v>
      </c>
      <c r="C99" s="44">
        <v>32801.97065584337</v>
      </c>
      <c r="D99" s="44">
        <v>35767.785701927576</v>
      </c>
      <c r="E99" s="45">
        <v>44605.53559713462</v>
      </c>
      <c r="F99" s="44">
        <v>45984.50949993223</v>
      </c>
      <c r="G99" s="44">
        <v>35438.32602614719</v>
      </c>
      <c r="H99" s="44">
        <v>0</v>
      </c>
      <c r="I99" s="44">
        <v>0</v>
      </c>
    </row>
    <row r="100" spans="1:9" ht="15">
      <c r="A100" s="43" t="str">
        <f>HLOOKUP(INDICE!$F$2,Nombres!$C$3:$D$636,63,FALSE)</f>
        <v>Other liabilities</v>
      </c>
      <c r="B100" s="44">
        <f aca="true" t="shared" si="16" ref="B100:I100">+B94-B95-B96-B97-B98-B101-B99</f>
        <v>1947.9129486162055</v>
      </c>
      <c r="C100" s="44">
        <f t="shared" si="16"/>
        <v>3315.51587771879</v>
      </c>
      <c r="D100" s="44">
        <f t="shared" si="16"/>
        <v>2982.5289461206266</v>
      </c>
      <c r="E100" s="45">
        <f t="shared" si="16"/>
        <v>2890.1271485245525</v>
      </c>
      <c r="F100" s="44">
        <f t="shared" si="16"/>
        <v>2559.6153002142164</v>
      </c>
      <c r="G100" s="44">
        <f t="shared" si="16"/>
        <v>4183.25884781799</v>
      </c>
      <c r="H100" s="44">
        <f t="shared" si="16"/>
        <v>0</v>
      </c>
      <c r="I100" s="44">
        <f t="shared" si="16"/>
        <v>0</v>
      </c>
    </row>
    <row r="101" spans="1:9" ht="15">
      <c r="A101" s="43" t="str">
        <f>HLOOKUP(INDICE!$F$2,Nombres!$C$3:$D$636,282,FALSE)</f>
        <v>Regulatory capital allocated</v>
      </c>
      <c r="B101" s="44">
        <v>8558.899512812832</v>
      </c>
      <c r="C101" s="44">
        <v>9817.691423507127</v>
      </c>
      <c r="D101" s="44">
        <v>9805.102777348658</v>
      </c>
      <c r="E101" s="45">
        <v>10298.708242349576</v>
      </c>
      <c r="F101" s="44">
        <v>10475.153596522461</v>
      </c>
      <c r="G101" s="44">
        <v>11260.8716033248</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57546.931886660146</v>
      </c>
      <c r="C107" s="44">
        <v>57752.947826684096</v>
      </c>
      <c r="D107" s="44">
        <v>57993.05891580682</v>
      </c>
      <c r="E107" s="45">
        <v>64150.03023927394</v>
      </c>
      <c r="F107" s="44">
        <v>71678.99469863813</v>
      </c>
      <c r="G107" s="44">
        <v>73777.19767849999</v>
      </c>
      <c r="H107" s="44">
        <v>0</v>
      </c>
      <c r="I107" s="44">
        <v>0</v>
      </c>
    </row>
    <row r="108" spans="1:9" ht="15">
      <c r="A108" s="43" t="str">
        <f>HLOOKUP(INDICE!$F$2,Nombres!$C$3:$D$636,67,FALSE)</f>
        <v>Customer deposits under management (*)</v>
      </c>
      <c r="B108" s="44">
        <v>36424.5357037514</v>
      </c>
      <c r="C108" s="44">
        <v>37135.98718710065</v>
      </c>
      <c r="D108" s="44">
        <v>36982.97759313021</v>
      </c>
      <c r="E108" s="45">
        <v>38645.81137617767</v>
      </c>
      <c r="F108" s="44">
        <v>38535.626856411094</v>
      </c>
      <c r="G108" s="44">
        <v>39976.654460180005</v>
      </c>
      <c r="H108" s="44">
        <v>0</v>
      </c>
      <c r="I108" s="44">
        <v>0</v>
      </c>
    </row>
    <row r="109" spans="1:9" ht="15">
      <c r="A109" s="43" t="str">
        <f>HLOOKUP(INDICE!$F$2,Nombres!$C$3:$D$636,68,FALSE)</f>
        <v>Investment funds and managed portfolios</v>
      </c>
      <c r="B109" s="44">
        <v>999.7739147173036</v>
      </c>
      <c r="C109" s="44">
        <v>1035.498336685273</v>
      </c>
      <c r="D109" s="44">
        <v>1087.0824384956425</v>
      </c>
      <c r="E109" s="45">
        <v>1181.4814855379236</v>
      </c>
      <c r="F109" s="44">
        <v>1327.0835440455573</v>
      </c>
      <c r="G109" s="44">
        <v>1268.3651473</v>
      </c>
      <c r="H109" s="44">
        <v>0</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106.37725823175161</v>
      </c>
      <c r="C111" s="44">
        <v>130.8208313896307</v>
      </c>
      <c r="D111" s="44">
        <v>127.81929344506736</v>
      </c>
      <c r="E111" s="45">
        <v>115.00493796360374</v>
      </c>
      <c r="F111" s="44">
        <v>142.83326711068696</v>
      </c>
      <c r="G111" s="44">
        <v>355.16733027</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5">
    <mergeCell ref="B6:E6"/>
    <mergeCell ref="B62:E62"/>
    <mergeCell ref="F6:I6"/>
    <mergeCell ref="F62:I62"/>
    <mergeCell ref="A2:I2"/>
  </mergeCells>
  <conditionalFormatting sqref="C82:I82">
    <cfRule type="cellIs" priority="3" dxfId="127" operator="notBetween">
      <formula>0.5</formula>
      <formula>-0.5</formula>
    </cfRule>
  </conditionalFormatting>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6" customWidth="1"/>
    <col min="2" max="7" width="10.00390625" style="96" customWidth="1"/>
    <col min="8" max="9" width="10.00390625" style="96" hidden="1" customWidth="1"/>
    <col min="10" max="255" width="12.57421875" style="96" customWidth="1"/>
  </cols>
  <sheetData>
    <row r="1" spans="1:9" ht="18">
      <c r="A1" s="94" t="str">
        <f>HLOOKUP(INDICE!$F$2,Nombres!$C$3:$D$636,82,FALSE)</f>
        <v>Efficiency (*)</v>
      </c>
      <c r="B1" s="95"/>
      <c r="C1" s="95"/>
      <c r="D1" s="95"/>
      <c r="E1" s="95"/>
      <c r="F1" s="95"/>
      <c r="G1" s="95"/>
      <c r="H1" s="95"/>
      <c r="I1" s="95"/>
    </row>
    <row r="2" spans="1:9" ht="15">
      <c r="A2" s="97" t="str">
        <f>HLOOKUP(INDICE!$F$2,Nombres!$C$3:$D$636,84,FALSE)</f>
        <v>(Percentage)</v>
      </c>
      <c r="B2" s="98"/>
      <c r="C2" s="98"/>
      <c r="D2" s="98"/>
      <c r="E2" s="98"/>
      <c r="F2" s="98"/>
      <c r="G2" s="98"/>
      <c r="H2" s="98"/>
      <c r="I2" s="98"/>
    </row>
    <row r="3" spans="1:9" ht="15.75">
      <c r="A3" s="99"/>
      <c r="B3" s="100">
        <f>+España!B32</f>
        <v>44286</v>
      </c>
      <c r="C3" s="100">
        <f>+España!C32</f>
        <v>44377</v>
      </c>
      <c r="D3" s="100">
        <f>+España!D32</f>
        <v>44469</v>
      </c>
      <c r="E3" s="100">
        <f>+España!E32</f>
        <v>44561</v>
      </c>
      <c r="F3" s="100">
        <f>+España!F32</f>
        <v>44651</v>
      </c>
      <c r="G3" s="100">
        <f>+España!G32</f>
        <v>44742</v>
      </c>
      <c r="H3" s="100">
        <f>+España!H32</f>
        <v>44834</v>
      </c>
      <c r="I3" s="100">
        <f>+España!I32</f>
        <v>44926</v>
      </c>
    </row>
    <row r="4" spans="1:9" ht="15">
      <c r="A4" s="98"/>
      <c r="B4" s="101"/>
      <c r="C4" s="101"/>
      <c r="D4" s="101"/>
      <c r="E4" s="102"/>
      <c r="F4" s="101"/>
      <c r="G4" s="101"/>
      <c r="H4" s="98"/>
      <c r="I4" s="98"/>
    </row>
    <row r="5" spans="1:255" ht="15">
      <c r="A5" s="103" t="str">
        <f>HLOOKUP(INDICE!$F$2,Nombres!$C$3:$D$636,276,FALSE)</f>
        <v>BBVA Group  (**)</v>
      </c>
      <c r="B5" s="104">
        <v>44.70282177747371</v>
      </c>
      <c r="C5" s="104">
        <v>44.8198340018982</v>
      </c>
      <c r="D5" s="104">
        <v>44.74692214424432</v>
      </c>
      <c r="E5" s="105">
        <v>45.237717626841466</v>
      </c>
      <c r="F5" s="246">
        <v>44.757337003279865</v>
      </c>
      <c r="G5" s="246">
        <v>43.908583948995016</v>
      </c>
      <c r="H5" s="246">
        <v>0</v>
      </c>
      <c r="I5" s="246">
        <v>0</v>
      </c>
      <c r="J5" s="107"/>
      <c r="K5" s="10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8"/>
      <c r="B6" s="108"/>
      <c r="C6" s="108"/>
      <c r="D6" s="108"/>
      <c r="E6" s="109"/>
      <c r="F6" s="108"/>
      <c r="G6" s="108"/>
      <c r="H6" s="108"/>
      <c r="I6" s="108"/>
      <c r="J6" s="110"/>
      <c r="K6" s="110"/>
      <c r="L6" s="110"/>
    </row>
    <row r="7" spans="1:255" ht="15">
      <c r="A7" s="59" t="str">
        <f>HLOOKUP(INDICE!$F$2,Nombres!$C$3:$D$636,7,FALSE)</f>
        <v>Spain</v>
      </c>
      <c r="B7" s="111">
        <v>46.29686186789716</v>
      </c>
      <c r="C7" s="111">
        <v>49.610545055058516</v>
      </c>
      <c r="D7" s="111">
        <v>49.94602078565011</v>
      </c>
      <c r="E7" s="112">
        <v>51.66024950129674</v>
      </c>
      <c r="F7" s="113">
        <v>42.89619288152256</v>
      </c>
      <c r="G7" s="113">
        <v>46.72999085392387</v>
      </c>
      <c r="H7" s="113">
        <v>0</v>
      </c>
      <c r="I7" s="113">
        <v>0</v>
      </c>
      <c r="J7" s="107"/>
      <c r="K7" s="10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8"/>
      <c r="B8" s="108"/>
      <c r="C8" s="108"/>
      <c r="D8" s="108"/>
      <c r="E8" s="109"/>
      <c r="F8" s="108"/>
      <c r="G8" s="108"/>
      <c r="H8" s="108"/>
      <c r="I8" s="108"/>
      <c r="J8" s="114"/>
      <c r="K8" s="110"/>
      <c r="L8" s="110"/>
    </row>
    <row r="9" spans="1:255" ht="15">
      <c r="A9" s="59" t="str">
        <f>HLOOKUP(INDICE!$F$2,Nombres!$C$3:$D$636,11,FALSE)</f>
        <v>Mexico</v>
      </c>
      <c r="B9" s="111">
        <v>35.67332364307007</v>
      </c>
      <c r="C9" s="111">
        <v>35.48096651152269</v>
      </c>
      <c r="D9" s="111">
        <v>35.37181969176801</v>
      </c>
      <c r="E9" s="112">
        <v>35.27801790638577</v>
      </c>
      <c r="F9" s="113">
        <v>33.69668964793765</v>
      </c>
      <c r="G9" s="113">
        <v>32.15133225298348</v>
      </c>
      <c r="H9" s="113">
        <v>0</v>
      </c>
      <c r="I9" s="113">
        <v>0</v>
      </c>
      <c r="J9" s="114"/>
      <c r="K9" s="110"/>
      <c r="L9" s="110"/>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8"/>
      <c r="B10" s="108"/>
      <c r="C10" s="108"/>
      <c r="D10" s="108"/>
      <c r="E10" s="109"/>
      <c r="F10" s="108"/>
      <c r="G10" s="108"/>
      <c r="H10" s="108"/>
      <c r="I10" s="108"/>
      <c r="J10" s="114"/>
      <c r="K10" s="110"/>
      <c r="L10" s="110"/>
    </row>
    <row r="11" spans="1:13" ht="15">
      <c r="A11" s="59" t="str">
        <f>HLOOKUP(INDICE!$F$2,Nombres!$C$3:$D$636,12,FALSE)</f>
        <v>Turkey </v>
      </c>
      <c r="B11" s="111">
        <v>31.807678874989477</v>
      </c>
      <c r="C11" s="111">
        <v>31.773085069771444</v>
      </c>
      <c r="D11" s="111">
        <v>30.450084486741613</v>
      </c>
      <c r="E11" s="112">
        <v>29.505856929400064</v>
      </c>
      <c r="F11" s="113">
        <v>47.52741799139958</v>
      </c>
      <c r="G11" s="113">
        <v>37.2355437723112</v>
      </c>
      <c r="H11" s="113">
        <v>0</v>
      </c>
      <c r="I11" s="113">
        <v>0</v>
      </c>
      <c r="J11" s="107"/>
      <c r="K11" s="107"/>
      <c r="L11"/>
      <c r="M11"/>
    </row>
    <row r="12" spans="1:12" ht="15">
      <c r="A12" s="98"/>
      <c r="B12" s="108"/>
      <c r="C12" s="108"/>
      <c r="D12" s="108"/>
      <c r="E12" s="109"/>
      <c r="F12" s="108"/>
      <c r="G12" s="108"/>
      <c r="H12" s="108"/>
      <c r="I12" s="108"/>
      <c r="J12" s="110"/>
      <c r="K12" s="110"/>
      <c r="L12" s="110"/>
    </row>
    <row r="13" spans="1:255" ht="15">
      <c r="A13" s="59" t="str">
        <f>HLOOKUP(INDICE!$F$2,Nombres!$C$3:$D$636,13,FALSE)</f>
        <v>South America</v>
      </c>
      <c r="B13" s="111">
        <v>47.95661784450792</v>
      </c>
      <c r="C13" s="111">
        <v>46.854720723353154</v>
      </c>
      <c r="D13" s="111">
        <v>47.50811086435149</v>
      </c>
      <c r="E13" s="112">
        <v>48.15041312496789</v>
      </c>
      <c r="F13" s="113">
        <v>46.82329393789156</v>
      </c>
      <c r="G13" s="113">
        <v>46.74558913883573</v>
      </c>
      <c r="H13" s="113">
        <v>0</v>
      </c>
      <c r="I13" s="113">
        <v>0</v>
      </c>
      <c r="J13" s="107"/>
      <c r="K13" s="10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8"/>
      <c r="B14" s="108"/>
      <c r="C14" s="108"/>
      <c r="D14" s="108"/>
      <c r="E14" s="109"/>
      <c r="F14" s="108"/>
      <c r="G14" s="108"/>
      <c r="H14" s="108"/>
      <c r="I14" s="108"/>
      <c r="J14" s="110"/>
      <c r="K14" s="110"/>
      <c r="L14" s="110"/>
    </row>
    <row r="15" spans="1:255" ht="15">
      <c r="A15" s="59" t="str">
        <f>HLOOKUP(INDICE!$F$2,Nombres!$C$3:$D$636,263,FALSE)</f>
        <v>Rest of Business</v>
      </c>
      <c r="B15" s="111">
        <v>49.98525104503651</v>
      </c>
      <c r="C15" s="111">
        <v>53.99189323586378</v>
      </c>
      <c r="D15" s="111">
        <v>54.08142278033714</v>
      </c>
      <c r="E15" s="112">
        <v>58.35443415051953</v>
      </c>
      <c r="F15" s="113">
        <v>56.85743879530505</v>
      </c>
      <c r="G15" s="113">
        <v>60.89455491417086</v>
      </c>
      <c r="H15" s="113">
        <v>0</v>
      </c>
      <c r="I15" s="11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8"/>
      <c r="B16" s="115"/>
      <c r="C16" s="115"/>
      <c r="D16" s="115"/>
      <c r="E16" s="115"/>
      <c r="F16" s="115"/>
      <c r="G16" s="115"/>
      <c r="H16" s="98"/>
      <c r="I16" s="270"/>
      <c r="J16" s="110"/>
      <c r="K16" s="110"/>
      <c r="L16" s="110"/>
    </row>
    <row r="17" spans="1:12" ht="15">
      <c r="A17" s="116" t="str">
        <f>HLOOKUP(INDICE!$F$2,Nombres!$C$3:$D$636,83,FALSE)</f>
        <v>(*) Operating expenses / Gross income. Including depreciation</v>
      </c>
      <c r="B17" s="98"/>
      <c r="C17" s="98"/>
      <c r="D17" s="98"/>
      <c r="E17" s="98"/>
      <c r="F17" s="98"/>
      <c r="G17" s="98"/>
      <c r="H17" s="98"/>
      <c r="I17" s="270"/>
      <c r="J17" s="110"/>
      <c r="K17" s="110"/>
      <c r="L17" s="110"/>
    </row>
    <row r="18" spans="1:12" ht="15">
      <c r="A18" s="117"/>
      <c r="B18" s="117"/>
      <c r="C18" s="117"/>
      <c r="D18" s="117"/>
      <c r="E18" s="117"/>
      <c r="F18" s="117"/>
      <c r="G18" s="117"/>
      <c r="H18" s="117"/>
      <c r="I18" s="271"/>
      <c r="J18" s="110"/>
      <c r="K18" s="110"/>
      <c r="L18" s="110"/>
    </row>
    <row r="19" spans="1:9" ht="15">
      <c r="A19" s="116" t="str">
        <f>HLOOKUP(INDICE!$F$2,Nombres!$C$3:$D$636,277,FALSE)</f>
        <v>(**) BBVA Group excludes  the US Business sold to PNC.</v>
      </c>
      <c r="B19" s="117"/>
      <c r="C19" s="117"/>
      <c r="D19" s="117"/>
      <c r="E19" s="117"/>
      <c r="F19" s="117"/>
      <c r="G19" s="117"/>
      <c r="H19" s="117"/>
      <c r="I19" s="117"/>
    </row>
    <row r="998" ht="15">
      <c r="A998" s="96" t="s">
        <v>392</v>
      </c>
    </row>
  </sheetData>
  <sheetProtection/>
  <conditionalFormatting sqref="C82:I82">
    <cfRule type="cellIs" priority="3" dxfId="127" operator="notBetween">
      <formula>0.5</formula>
      <formula>-0.5</formula>
    </cfRule>
  </conditionalFormatting>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9">
      <selection activeCell="A1" sqref="A1"/>
    </sheetView>
  </sheetViews>
  <sheetFormatPr defaultColWidth="12.57421875" defaultRowHeight="15"/>
  <cols>
    <col min="1" max="1" width="45.7109375" style="154" customWidth="1"/>
    <col min="2" max="6" width="10.8515625" style="96" customWidth="1" collapsed="1"/>
    <col min="7" max="7" width="10.8515625" style="96" customWidth="1"/>
    <col min="8" max="9" width="10.8515625" style="119" hidden="1" customWidth="1"/>
    <col min="10" max="11" width="9.57421875" style="119" customWidth="1"/>
    <col min="12" max="255" width="12.57421875" style="119" customWidth="1"/>
  </cols>
  <sheetData>
    <row r="1" spans="1:9" ht="19.5">
      <c r="A1" s="94" t="str">
        <f>HLOOKUP(INDICE!$F$2,Nombres!$C$3:$D$636,85,FALSE)</f>
        <v>NPL ratio</v>
      </c>
      <c r="B1" s="118"/>
      <c r="C1" s="118"/>
      <c r="D1" s="118"/>
      <c r="E1" s="118"/>
      <c r="F1" s="118"/>
      <c r="G1" s="95"/>
      <c r="H1" s="95"/>
      <c r="I1" s="95"/>
    </row>
    <row r="2" spans="1:9" ht="15">
      <c r="A2" s="97" t="str">
        <f>HLOOKUP(INDICE!$F$2,Nombres!$C$3:$D$636,84,FALSE)</f>
        <v>(Percentage)</v>
      </c>
      <c r="B2" s="98"/>
      <c r="C2" s="98"/>
      <c r="D2" s="98"/>
      <c r="E2" s="98"/>
      <c r="F2" s="98"/>
      <c r="G2" s="98"/>
      <c r="H2" s="98"/>
      <c r="I2" s="98"/>
    </row>
    <row r="3" spans="1:9" ht="15.75">
      <c r="A3" s="98"/>
      <c r="B3" s="120">
        <f>+España!B$32</f>
        <v>44286</v>
      </c>
      <c r="C3" s="120">
        <f>+España!C$32</f>
        <v>44377</v>
      </c>
      <c r="D3" s="120">
        <f>+España!D$32</f>
        <v>44469</v>
      </c>
      <c r="E3" s="120">
        <f>+España!E$32</f>
        <v>44561</v>
      </c>
      <c r="F3" s="120">
        <f>+España!F$32</f>
        <v>44651</v>
      </c>
      <c r="G3" s="120">
        <f>+España!G$32</f>
        <v>44742</v>
      </c>
      <c r="H3" s="120">
        <f>+España!H$32</f>
        <v>44834</v>
      </c>
      <c r="I3" s="120">
        <f>+España!I$32</f>
        <v>44926</v>
      </c>
    </row>
    <row r="4" spans="1:9" ht="15">
      <c r="A4" s="98"/>
      <c r="B4" s="101"/>
      <c r="C4" s="101"/>
      <c r="D4" s="98"/>
      <c r="E4" s="121"/>
      <c r="F4" s="101"/>
      <c r="G4" s="101"/>
      <c r="H4" s="98"/>
      <c r="I4" s="98"/>
    </row>
    <row r="5" spans="1:255" ht="15">
      <c r="A5" s="103" t="str">
        <f>HLOOKUP(INDICE!$F$2,Nombres!$C$3:$D$636,275,FALSE)</f>
        <v>BBVA Group  (*)</v>
      </c>
      <c r="B5" s="104">
        <v>4.27422612423203</v>
      </c>
      <c r="C5" s="104">
        <v>4.232742966059368</v>
      </c>
      <c r="D5" s="104">
        <v>3.9987137735190568</v>
      </c>
      <c r="E5" s="105">
        <v>4.107089575358145</v>
      </c>
      <c r="F5" s="104">
        <v>3.9492831438618925</v>
      </c>
      <c r="G5" s="106">
        <v>3.743050297461989</v>
      </c>
      <c r="H5" s="106">
        <v>0</v>
      </c>
      <c r="I5" s="106">
        <v>0</v>
      </c>
      <c r="J5" s="122"/>
      <c r="K5" s="12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8"/>
      <c r="B6" s="108"/>
      <c r="C6" s="108"/>
      <c r="D6" s="108"/>
      <c r="E6" s="109"/>
      <c r="F6" s="108"/>
      <c r="G6" s="108"/>
      <c r="H6" s="108"/>
      <c r="I6" s="108"/>
      <c r="J6" s="122"/>
      <c r="K6" s="123"/>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row>
    <row r="7" spans="1:255" ht="15">
      <c r="A7" s="59" t="str">
        <f>HLOOKUP(INDICE!$F$2,Nombres!$C$3:$D$636,7,FALSE)</f>
        <v>Spain</v>
      </c>
      <c r="B7" s="111">
        <v>4.380902270503293</v>
      </c>
      <c r="C7" s="111">
        <v>4.16968343597887</v>
      </c>
      <c r="D7" s="111">
        <v>4.088178500614938</v>
      </c>
      <c r="E7" s="112">
        <v>4.220438485317629</v>
      </c>
      <c r="F7" s="111">
        <v>4.176313750938057</v>
      </c>
      <c r="G7" s="113">
        <v>4.036433443599574</v>
      </c>
      <c r="H7" s="113">
        <v>0</v>
      </c>
      <c r="I7" s="113">
        <v>0</v>
      </c>
      <c r="J7" s="122"/>
      <c r="K7" s="12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8"/>
      <c r="B8" s="108"/>
      <c r="C8" s="108"/>
      <c r="D8" s="108"/>
      <c r="E8" s="109"/>
      <c r="F8" s="108"/>
      <c r="G8" s="108"/>
      <c r="H8" s="108"/>
      <c r="I8" s="108"/>
      <c r="J8" s="122"/>
      <c r="K8" s="125"/>
    </row>
    <row r="9" spans="1:255" ht="15">
      <c r="A9" s="59" t="str">
        <f>HLOOKUP(INDICE!$F$2,Nombres!$C$3:$D$636,11,FALSE)</f>
        <v>Mexico</v>
      </c>
      <c r="B9" s="111">
        <v>2.958559833273872</v>
      </c>
      <c r="C9" s="111">
        <v>3.0526317112659664</v>
      </c>
      <c r="D9" s="111">
        <v>2.544928431659197</v>
      </c>
      <c r="E9" s="112">
        <v>3.1706244467500984</v>
      </c>
      <c r="F9" s="111">
        <v>2.955577253896324</v>
      </c>
      <c r="G9" s="113">
        <v>2.811362322672342</v>
      </c>
      <c r="H9" s="113">
        <v>0</v>
      </c>
      <c r="I9" s="113">
        <v>0</v>
      </c>
      <c r="J9" s="122"/>
      <c r="K9" s="125"/>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8"/>
      <c r="B10" s="108"/>
      <c r="C10" s="108"/>
      <c r="D10" s="108"/>
      <c r="E10" s="109"/>
      <c r="F10" s="108"/>
      <c r="G10" s="108"/>
      <c r="H10" s="108"/>
      <c r="I10" s="108"/>
      <c r="J10" s="122"/>
      <c r="K10" s="125"/>
    </row>
    <row r="11" spans="1:13" ht="15">
      <c r="A11" s="59" t="str">
        <f>HLOOKUP(INDICE!$F$2,Nombres!$C$3:$D$636,12,FALSE)</f>
        <v>Turkey </v>
      </c>
      <c r="B11" s="111">
        <v>6.8811670507497285</v>
      </c>
      <c r="C11" s="111">
        <v>7.328713512031089</v>
      </c>
      <c r="D11" s="111">
        <v>6.513944904556201</v>
      </c>
      <c r="E11" s="112">
        <v>7.085073670851205</v>
      </c>
      <c r="F11" s="111">
        <v>6.698800791801732</v>
      </c>
      <c r="G11" s="113">
        <v>5.919127384056334</v>
      </c>
      <c r="H11" s="113">
        <v>0</v>
      </c>
      <c r="I11" s="113">
        <v>0</v>
      </c>
      <c r="J11" s="122"/>
      <c r="K11"/>
      <c r="L11"/>
      <c r="M11"/>
    </row>
    <row r="12" spans="1:11" ht="15">
      <c r="A12" s="98"/>
      <c r="B12" s="108"/>
      <c r="C12" s="108"/>
      <c r="D12" s="108"/>
      <c r="E12" s="109"/>
      <c r="F12" s="108"/>
      <c r="G12" s="108"/>
      <c r="H12" s="108"/>
      <c r="I12" s="108"/>
      <c r="J12" s="122"/>
      <c r="K12" s="125"/>
    </row>
    <row r="13" spans="1:255" ht="15">
      <c r="A13" s="59" t="str">
        <f>HLOOKUP(INDICE!$F$2,Nombres!$C$3:$D$636,13,FALSE)</f>
        <v>South America</v>
      </c>
      <c r="B13" s="111">
        <v>4.611002342353146</v>
      </c>
      <c r="C13" s="111">
        <v>4.6586989564769326</v>
      </c>
      <c r="D13" s="111">
        <v>4.528299665215804</v>
      </c>
      <c r="E13" s="112">
        <v>4.466333578410599</v>
      </c>
      <c r="F13" s="111">
        <v>4.287585256763574</v>
      </c>
      <c r="G13" s="113">
        <v>4.161009028783344</v>
      </c>
      <c r="H13" s="113">
        <v>0</v>
      </c>
      <c r="I13" s="113">
        <v>0</v>
      </c>
      <c r="J13" s="122"/>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8"/>
      <c r="B14" s="126"/>
      <c r="C14" s="126"/>
      <c r="D14" s="126"/>
      <c r="E14" s="127"/>
      <c r="F14" s="126"/>
      <c r="G14" s="242"/>
      <c r="H14" s="242"/>
      <c r="I14" s="242"/>
      <c r="J14" s="122"/>
      <c r="K14" s="125"/>
      <c r="L14" s="124"/>
      <c r="M14" s="124"/>
    </row>
    <row r="15" spans="1:255" ht="15">
      <c r="A15" s="59" t="str">
        <f>HLOOKUP(INDICE!$F$2,Nombres!$C$3:$D$636,263,FALSE)</f>
        <v>Rest of Business</v>
      </c>
      <c r="B15" s="111">
        <v>0.99138920565066</v>
      </c>
      <c r="C15" s="111">
        <v>0.9901574954356509</v>
      </c>
      <c r="D15" s="111">
        <v>0.9058887137172632</v>
      </c>
      <c r="E15" s="112">
        <v>0.6799395783259952</v>
      </c>
      <c r="F15" s="111">
        <v>0.5653319413051815</v>
      </c>
      <c r="G15" s="113">
        <v>0.548759796545279</v>
      </c>
      <c r="H15" s="113">
        <v>0</v>
      </c>
      <c r="I15" s="11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8"/>
      <c r="B16" s="126"/>
      <c r="C16" s="126"/>
      <c r="D16" s="129"/>
      <c r="E16" s="129"/>
      <c r="F16" s="126"/>
      <c r="G16" s="126"/>
      <c r="H16" s="129"/>
      <c r="I16" s="129"/>
      <c r="J16" s="125"/>
      <c r="K16" s="125"/>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row>
    <row r="17" spans="1:11" ht="15">
      <c r="A17" s="98"/>
      <c r="B17" s="126"/>
      <c r="C17" s="126"/>
      <c r="D17" s="129"/>
      <c r="E17" s="129"/>
      <c r="F17" s="126"/>
      <c r="G17" s="126"/>
      <c r="H17" s="129"/>
      <c r="I17" s="129"/>
      <c r="J17" s="125"/>
      <c r="K17" s="125"/>
    </row>
    <row r="18" spans="1:255" ht="18">
      <c r="A18" s="94" t="str">
        <f>HLOOKUP(INDICE!$F$2,Nombres!$C$3:$D$636,86,FALSE)</f>
        <v>NPL coverage ratio</v>
      </c>
      <c r="B18" s="130"/>
      <c r="C18" s="130"/>
      <c r="D18" s="131"/>
      <c r="E18" s="131"/>
      <c r="F18" s="130"/>
      <c r="G18" s="130"/>
      <c r="H18" s="131"/>
      <c r="I18" s="131"/>
      <c r="J18" s="125"/>
      <c r="K18" s="125"/>
      <c r="L18" s="132"/>
      <c r="M18" s="132"/>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row>
    <row r="19" spans="1:11" ht="15">
      <c r="A19" s="97" t="str">
        <f>HLOOKUP(INDICE!$F$2,Nombres!$C$3:$D$636,84,FALSE)</f>
        <v>(Percentage)</v>
      </c>
      <c r="B19" s="115"/>
      <c r="C19" s="115"/>
      <c r="D19" s="129"/>
      <c r="E19" s="129"/>
      <c r="F19" s="115"/>
      <c r="G19" s="115"/>
      <c r="H19" s="129"/>
      <c r="I19" s="129"/>
      <c r="J19" s="125"/>
      <c r="K19" s="125"/>
    </row>
    <row r="20" spans="1:255" ht="15.75">
      <c r="A20" s="98"/>
      <c r="B20" s="120">
        <f>+B$3</f>
        <v>44286</v>
      </c>
      <c r="C20" s="120">
        <f aca="true" t="shared" si="0" ref="C20:I20">+C$3</f>
        <v>44377</v>
      </c>
      <c r="D20" s="120">
        <f t="shared" si="0"/>
        <v>44469</v>
      </c>
      <c r="E20" s="120">
        <f t="shared" si="0"/>
        <v>44561</v>
      </c>
      <c r="F20" s="120">
        <f t="shared" si="0"/>
        <v>44651</v>
      </c>
      <c r="G20" s="120">
        <f t="shared" si="0"/>
        <v>44742</v>
      </c>
      <c r="H20" s="120">
        <f t="shared" si="0"/>
        <v>44834</v>
      </c>
      <c r="I20" s="120">
        <f t="shared" si="0"/>
        <v>44926</v>
      </c>
      <c r="J20" s="125"/>
      <c r="K20" s="125"/>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row>
    <row r="21" spans="1:11" ht="15">
      <c r="A21" s="98"/>
      <c r="B21" s="133"/>
      <c r="C21" s="133"/>
      <c r="D21" s="129"/>
      <c r="E21" s="129"/>
      <c r="F21" s="133"/>
      <c r="G21" s="133"/>
      <c r="H21" s="129"/>
      <c r="I21" s="129"/>
      <c r="J21" s="125"/>
      <c r="K21" s="125"/>
    </row>
    <row r="22" spans="1:13" ht="15">
      <c r="A22" s="103" t="str">
        <f>HLOOKUP(INDICE!$F$2,Nombres!$C$3:$D$636,275,FALSE)</f>
        <v>BBVA Group  (*)</v>
      </c>
      <c r="B22" s="134">
        <v>80.77851569113308</v>
      </c>
      <c r="C22" s="134">
        <v>76.75835787445213</v>
      </c>
      <c r="D22" s="134">
        <v>80.02618491458286</v>
      </c>
      <c r="E22" s="135">
        <v>74.6968160531888</v>
      </c>
      <c r="F22" s="134">
        <v>75.90959260574569</v>
      </c>
      <c r="G22" s="243">
        <v>78.44317836158264</v>
      </c>
      <c r="H22" s="243">
        <v>0</v>
      </c>
      <c r="I22" s="243">
        <v>0</v>
      </c>
      <c r="J22" s="136"/>
      <c r="K22"/>
      <c r="L22"/>
      <c r="M22"/>
    </row>
    <row r="23" spans="1:13" ht="15">
      <c r="A23" s="98"/>
      <c r="B23" s="137"/>
      <c r="C23" s="137"/>
      <c r="D23" s="137"/>
      <c r="E23" s="138"/>
      <c r="F23" s="137"/>
      <c r="G23" s="137"/>
      <c r="H23" s="137"/>
      <c r="I23" s="137"/>
      <c r="J23" s="136"/>
      <c r="K23" s="125"/>
      <c r="L23" s="124"/>
      <c r="M23" s="124"/>
    </row>
    <row r="24" spans="1:255" ht="15">
      <c r="A24" s="59" t="str">
        <f>HLOOKUP(INDICE!$F$2,Nombres!$C$3:$D$636,7,FALSE)</f>
        <v>Spain</v>
      </c>
      <c r="B24" s="139">
        <v>66.3841270862289</v>
      </c>
      <c r="C24" s="139">
        <v>64.34893598275687</v>
      </c>
      <c r="D24" s="139">
        <v>65.47185615916179</v>
      </c>
      <c r="E24" s="140">
        <v>61.68326008630195</v>
      </c>
      <c r="F24" s="139">
        <v>61.43107080176502</v>
      </c>
      <c r="G24" s="244">
        <v>61.47458773765031</v>
      </c>
      <c r="H24" s="244">
        <v>0</v>
      </c>
      <c r="I24" s="244">
        <v>0</v>
      </c>
      <c r="J24" s="136"/>
      <c r="K24" s="14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8"/>
      <c r="B25" s="137"/>
      <c r="C25" s="137"/>
      <c r="D25" s="137"/>
      <c r="E25" s="138"/>
      <c r="F25" s="137"/>
      <c r="G25" s="137"/>
      <c r="H25" s="137"/>
      <c r="I25" s="137"/>
      <c r="J25" s="136"/>
      <c r="K25" s="125"/>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row>
    <row r="26" spans="1:255" ht="15">
      <c r="A26" s="59" t="str">
        <f>HLOOKUP(INDICE!$F$2,Nombres!$C$3:$D$636,11,FALSE)</f>
        <v>Mexico</v>
      </c>
      <c r="B26" s="139">
        <v>128.89708113150996</v>
      </c>
      <c r="C26" s="139">
        <v>117.77392341256967</v>
      </c>
      <c r="D26" s="139">
        <v>131.01964036253145</v>
      </c>
      <c r="E26" s="140">
        <v>106.1816014558723</v>
      </c>
      <c r="F26" s="139">
        <v>115.32998289409578</v>
      </c>
      <c r="G26" s="244">
        <v>118.86552892861486</v>
      </c>
      <c r="H26" s="244">
        <v>0</v>
      </c>
      <c r="I26" s="244">
        <v>0</v>
      </c>
      <c r="J26" s="13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8"/>
      <c r="B27" s="137"/>
      <c r="C27" s="137"/>
      <c r="D27" s="137"/>
      <c r="E27" s="138"/>
      <c r="F27" s="137"/>
      <c r="G27" s="137"/>
      <c r="H27" s="137"/>
      <c r="I27" s="137"/>
      <c r="J27" s="136"/>
      <c r="K27"/>
      <c r="L27"/>
      <c r="M27"/>
    </row>
    <row r="28" spans="1:255" ht="15">
      <c r="A28" s="59" t="str">
        <f>HLOOKUP(INDICE!$F$2,Nombres!$C$3:$D$636,12,FALSE)</f>
        <v>Turkey </v>
      </c>
      <c r="B28" s="139">
        <v>78.01133138864287</v>
      </c>
      <c r="C28" s="139">
        <v>69.21982164884652</v>
      </c>
      <c r="D28" s="139">
        <v>77.84596768260919</v>
      </c>
      <c r="E28" s="140">
        <v>74.73210430726786</v>
      </c>
      <c r="F28" s="139">
        <v>74.76965437494731</v>
      </c>
      <c r="G28" s="244">
        <v>82.60315255904412</v>
      </c>
      <c r="H28" s="244">
        <v>0</v>
      </c>
      <c r="I28" s="244">
        <v>0</v>
      </c>
      <c r="J28" s="136"/>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8"/>
      <c r="B29" s="137"/>
      <c r="C29" s="137"/>
      <c r="D29" s="137"/>
      <c r="E29" s="138"/>
      <c r="F29" s="137"/>
      <c r="G29" s="137"/>
      <c r="H29" s="137"/>
      <c r="I29" s="137"/>
      <c r="J29" s="136"/>
      <c r="K29" s="125"/>
    </row>
    <row r="30" spans="1:255" ht="15">
      <c r="A30" s="59" t="str">
        <f>HLOOKUP(INDICE!$F$2,Nombres!$C$3:$D$636,13,FALSE)</f>
        <v>South America</v>
      </c>
      <c r="B30" s="139">
        <v>109.14212896783424</v>
      </c>
      <c r="C30" s="139">
        <v>108.25779753594978</v>
      </c>
      <c r="D30" s="139">
        <v>108.29188948692838</v>
      </c>
      <c r="E30" s="140">
        <v>98.86004240086193</v>
      </c>
      <c r="F30" s="139">
        <v>99.13889189453238</v>
      </c>
      <c r="G30" s="244">
        <v>99.95403110476879</v>
      </c>
      <c r="H30" s="244">
        <v>0</v>
      </c>
      <c r="I30" s="244">
        <v>0</v>
      </c>
      <c r="J30" s="136"/>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8"/>
      <c r="B31" s="142"/>
      <c r="C31" s="142"/>
      <c r="D31" s="142"/>
      <c r="E31" s="143"/>
      <c r="F31" s="142"/>
      <c r="G31" s="245"/>
      <c r="H31" s="245"/>
      <c r="I31" s="245"/>
      <c r="J31" s="136"/>
      <c r="K31" s="125"/>
      <c r="L31" s="124"/>
      <c r="M31" s="124"/>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 of Business</v>
      </c>
      <c r="B32" s="139">
        <v>100.61760816585308</v>
      </c>
      <c r="C32" s="139">
        <v>95.46031980166646</v>
      </c>
      <c r="D32" s="139">
        <v>97.89675149867956</v>
      </c>
      <c r="E32" s="140">
        <v>115.80473169016041</v>
      </c>
      <c r="F32" s="139">
        <v>116.20250793137077</v>
      </c>
      <c r="G32" s="244">
        <v>120.38337582944483</v>
      </c>
      <c r="H32" s="244">
        <v>0</v>
      </c>
      <c r="I32" s="244">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8"/>
      <c r="B33" s="144"/>
      <c r="C33" s="144"/>
      <c r="D33" s="129"/>
      <c r="E33" s="129"/>
      <c r="F33" s="144"/>
      <c r="G33" s="144"/>
      <c r="H33" s="129"/>
      <c r="I33" s="129"/>
      <c r="J33" s="125"/>
      <c r="K33" s="125"/>
      <c r="L33" s="124"/>
      <c r="M33" s="124"/>
    </row>
    <row r="34" spans="1:255" ht="15">
      <c r="A34" s="98"/>
      <c r="B34" s="144"/>
      <c r="C34" s="144"/>
      <c r="D34" s="129"/>
      <c r="E34" s="129"/>
      <c r="F34" s="144"/>
      <c r="G34" s="144"/>
      <c r="H34" s="129"/>
      <c r="I34" s="129"/>
      <c r="J34" s="125"/>
      <c r="K34" s="125"/>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4" t="str">
        <f>HLOOKUP(INDICE!$F$2,Nombres!$C$3:$D$636,87,FALSE)</f>
        <v>Cost of risk YTD</v>
      </c>
      <c r="B35" s="130"/>
      <c r="C35" s="130"/>
      <c r="D35" s="131"/>
      <c r="E35" s="131"/>
      <c r="F35" s="130"/>
      <c r="G35" s="130"/>
      <c r="H35" s="131"/>
      <c r="I35" s="131"/>
      <c r="J35" s="125"/>
      <c r="K35" s="125"/>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row>
    <row r="36" spans="1:11" ht="15">
      <c r="A36" s="97" t="str">
        <f>HLOOKUP(INDICE!$F$2,Nombres!$C$3:$D$636,84,FALSE)</f>
        <v>(Percentage)</v>
      </c>
      <c r="B36" s="144"/>
      <c r="C36" s="144"/>
      <c r="D36" s="129"/>
      <c r="E36" s="129"/>
      <c r="F36" s="144"/>
      <c r="G36" s="144"/>
      <c r="H36" s="129"/>
      <c r="I36" s="129"/>
      <c r="J36" s="125"/>
      <c r="K36" s="125"/>
    </row>
    <row r="37" spans="1:255" ht="15.75">
      <c r="A37" s="98"/>
      <c r="B37" s="120">
        <f>+B$3</f>
        <v>44286</v>
      </c>
      <c r="C37" s="120">
        <f aca="true" t="shared" si="1" ref="C37:I37">+C$3</f>
        <v>44377</v>
      </c>
      <c r="D37" s="120">
        <f t="shared" si="1"/>
        <v>44469</v>
      </c>
      <c r="E37" s="120">
        <f t="shared" si="1"/>
        <v>44561</v>
      </c>
      <c r="F37" s="120">
        <f t="shared" si="1"/>
        <v>44651</v>
      </c>
      <c r="G37" s="120">
        <f t="shared" si="1"/>
        <v>44742</v>
      </c>
      <c r="H37" s="120">
        <f t="shared" si="1"/>
        <v>44834</v>
      </c>
      <c r="I37" s="120">
        <f t="shared" si="1"/>
        <v>44926</v>
      </c>
      <c r="J37" s="125"/>
      <c r="K37" s="125"/>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row>
    <row r="38" spans="1:11" ht="15">
      <c r="A38" s="98"/>
      <c r="B38" s="133"/>
      <c r="C38" s="133"/>
      <c r="D38" s="129"/>
      <c r="E38" s="129"/>
      <c r="F38" s="133"/>
      <c r="G38" s="133"/>
      <c r="H38" s="129"/>
      <c r="I38" s="129"/>
      <c r="J38" s="125"/>
      <c r="K38" s="125"/>
    </row>
    <row r="39" spans="1:13" ht="15">
      <c r="A39" s="103" t="str">
        <f>HLOOKUP(INDICE!$F$2,Nombres!$C$3:$D$636,275,FALSE)</f>
        <v>BBVA Group  (*)</v>
      </c>
      <c r="B39" s="145">
        <v>1.173090618069368</v>
      </c>
      <c r="C39" s="145">
        <v>1.0014400841330078</v>
      </c>
      <c r="D39" s="145">
        <v>0.9163961296285004</v>
      </c>
      <c r="E39" s="146">
        <v>0.9310695316393152</v>
      </c>
      <c r="F39" s="145">
        <v>0.8145182342447328</v>
      </c>
      <c r="G39" s="145">
        <v>0.8059654043077781</v>
      </c>
      <c r="H39" s="246">
        <v>0</v>
      </c>
      <c r="I39" s="246">
        <v>0</v>
      </c>
      <c r="J39" s="107"/>
      <c r="K39"/>
      <c r="L39"/>
      <c r="M39"/>
    </row>
    <row r="40" spans="1:13" ht="15">
      <c r="A40" s="98"/>
      <c r="B40" s="147"/>
      <c r="C40" s="147"/>
      <c r="D40" s="147"/>
      <c r="E40" s="148"/>
      <c r="F40" s="147"/>
      <c r="G40" s="147"/>
      <c r="H40" s="147"/>
      <c r="I40" s="147"/>
      <c r="J40" s="125"/>
      <c r="K40" s="125"/>
      <c r="L40" s="124"/>
      <c r="M40" s="124"/>
    </row>
    <row r="41" spans="1:13" ht="15">
      <c r="A41" s="59" t="str">
        <f>HLOOKUP(INDICE!$F$2,Nombres!$C$3:$D$636,7,FALSE)</f>
        <v>Spain</v>
      </c>
      <c r="B41" s="149">
        <v>0.44644168473303464</v>
      </c>
      <c r="C41" s="149">
        <v>0.4145101490226199</v>
      </c>
      <c r="D41" s="149">
        <v>0.3233561998948687</v>
      </c>
      <c r="E41" s="150">
        <v>0.29762126920719995</v>
      </c>
      <c r="F41" s="149">
        <v>0.1664413985262337</v>
      </c>
      <c r="G41" s="247">
        <v>0.20056410130935318</v>
      </c>
      <c r="H41" s="247">
        <v>0</v>
      </c>
      <c r="I41" s="247">
        <v>0</v>
      </c>
      <c r="J41" s="107"/>
      <c r="K41"/>
      <c r="L41"/>
      <c r="M41"/>
    </row>
    <row r="42" spans="1:13" ht="15">
      <c r="A42" s="98"/>
      <c r="B42" s="147"/>
      <c r="C42" s="147"/>
      <c r="D42" s="147"/>
      <c r="E42" s="148"/>
      <c r="F42" s="147"/>
      <c r="G42" s="147"/>
      <c r="H42" s="147"/>
      <c r="I42" s="147"/>
      <c r="J42" s="107"/>
      <c r="K42"/>
      <c r="L42"/>
      <c r="M42"/>
    </row>
    <row r="43" spans="1:255" ht="15">
      <c r="A43" s="59" t="str">
        <f>HLOOKUP(INDICE!$F$2,Nombres!$C$3:$D$636,11,FALSE)</f>
        <v>Mexico</v>
      </c>
      <c r="B43" s="149">
        <v>3.5535721044635267</v>
      </c>
      <c r="C43" s="149">
        <v>2.8335225953658982</v>
      </c>
      <c r="D43" s="149">
        <v>2.6978843393028074</v>
      </c>
      <c r="E43" s="150">
        <v>2.6717550543842155</v>
      </c>
      <c r="F43" s="149">
        <v>2.835222652884783</v>
      </c>
      <c r="G43" s="247">
        <v>2.5700427857299766</v>
      </c>
      <c r="H43" s="247">
        <v>0</v>
      </c>
      <c r="I43" s="247">
        <v>0</v>
      </c>
      <c r="J43" s="10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8"/>
      <c r="B44" s="147"/>
      <c r="C44" s="147"/>
      <c r="D44" s="147"/>
      <c r="E44" s="148"/>
      <c r="F44" s="147"/>
      <c r="G44" s="147"/>
      <c r="H44" s="147"/>
      <c r="I44" s="147"/>
      <c r="J44" s="125"/>
      <c r="K44" s="125"/>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row>
    <row r="45" spans="1:255" ht="15">
      <c r="A45" s="59" t="str">
        <f>HLOOKUP(INDICE!$F$2,Nombres!$C$3:$D$636,12,FALSE)</f>
        <v>Turkey </v>
      </c>
      <c r="B45" s="149">
        <v>1.3446936546426136</v>
      </c>
      <c r="C45" s="149">
        <v>0.9737620758969258</v>
      </c>
      <c r="D45" s="149">
        <v>0.8755645034712647</v>
      </c>
      <c r="E45" s="150">
        <v>1.3282143658971564</v>
      </c>
      <c r="F45" s="149">
        <v>0.9923298524529925</v>
      </c>
      <c r="G45" s="247">
        <v>0.8826030774853713</v>
      </c>
      <c r="H45" s="247">
        <v>0</v>
      </c>
      <c r="I45" s="247">
        <v>0</v>
      </c>
      <c r="J45" s="107"/>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8"/>
      <c r="B46" s="147"/>
      <c r="C46" s="147"/>
      <c r="D46" s="147"/>
      <c r="E46" s="148"/>
      <c r="F46" s="147"/>
      <c r="G46" s="147"/>
      <c r="H46" s="147"/>
      <c r="I46" s="147"/>
      <c r="J46" s="125"/>
      <c r="K46" s="125"/>
    </row>
    <row r="47" spans="1:255" ht="15">
      <c r="A47" s="59" t="str">
        <f>HLOOKUP(INDICE!$F$2,Nombres!$C$3:$D$636,13,FALSE)</f>
        <v>South America</v>
      </c>
      <c r="B47" s="149">
        <v>1.8091344969893883</v>
      </c>
      <c r="C47" s="149">
        <v>1.928438254504768</v>
      </c>
      <c r="D47" s="149">
        <v>1.8729891230519553</v>
      </c>
      <c r="E47" s="150">
        <v>1.6530823816118405</v>
      </c>
      <c r="F47" s="149">
        <v>1.1705978901872152</v>
      </c>
      <c r="G47" s="247">
        <v>1.2432029035020893</v>
      </c>
      <c r="H47" s="247">
        <v>0</v>
      </c>
      <c r="I47" s="247">
        <v>0</v>
      </c>
      <c r="J47" s="10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8"/>
      <c r="B48" s="151"/>
      <c r="C48" s="151"/>
      <c r="D48" s="151"/>
      <c r="E48" s="152"/>
      <c r="F48" s="151"/>
      <c r="G48" s="248"/>
      <c r="H48" s="248"/>
      <c r="I48" s="248"/>
      <c r="J48" s="125"/>
      <c r="K48" s="125"/>
      <c r="L48" s="124"/>
      <c r="M48" s="12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 of Business</v>
      </c>
      <c r="B49" s="149">
        <v>-0.030020736011597684</v>
      </c>
      <c r="C49" s="149">
        <v>-0.12700043037823272</v>
      </c>
      <c r="D49" s="149">
        <v>-0.10708198820167114</v>
      </c>
      <c r="E49" s="150">
        <v>-0.10779579613874153</v>
      </c>
      <c r="F49" s="149">
        <v>-0.10382136162482422</v>
      </c>
      <c r="G49" s="247">
        <v>0.000887280529842365</v>
      </c>
      <c r="H49" s="247">
        <v>0</v>
      </c>
      <c r="I49" s="247">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8"/>
      <c r="B50" s="98"/>
      <c r="C50" s="144"/>
      <c r="D50" s="144"/>
      <c r="E50" s="144"/>
      <c r="F50" s="98"/>
      <c r="G50" s="249"/>
      <c r="H50" s="249"/>
      <c r="I50" s="249"/>
    </row>
    <row r="51" spans="1:255" ht="15">
      <c r="A51" s="116" t="str">
        <f>HLOOKUP(INDICE!$F$2,Nombres!$C$3:$D$636,278,FALSE)</f>
        <v>(*) BBVA Group excludes  the US Business sold to PNC.</v>
      </c>
      <c r="B51" s="98"/>
      <c r="C51" s="98"/>
      <c r="D51" s="98"/>
      <c r="E51" s="98"/>
      <c r="F51" s="98"/>
      <c r="G51" s="98"/>
      <c r="H51" s="98"/>
      <c r="I51" s="98"/>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8"/>
      <c r="B52" s="98"/>
      <c r="C52" s="98"/>
      <c r="D52" s="98"/>
      <c r="E52" s="98"/>
      <c r="F52" s="98"/>
      <c r="G52" s="98"/>
      <c r="H52" s="98"/>
      <c r="I52" s="98"/>
    </row>
    <row r="53" spans="1:255" ht="15">
      <c r="A53" s="153"/>
      <c r="B53" s="117"/>
      <c r="C53" s="117"/>
      <c r="D53" s="117"/>
      <c r="E53" s="117"/>
      <c r="F53" s="117"/>
      <c r="G53" s="117"/>
      <c r="H53" s="153"/>
      <c r="I53" s="1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row>
    <row r="994" ht="15">
      <c r="A994" s="154" t="s">
        <v>392</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7" width="11.421875" style="0" customWidth="1"/>
    <col min="8" max="9" width="11.421875" style="0" hidden="1" customWidth="1"/>
    <col min="10" max="10" width="11.421875" style="0" customWidth="1"/>
    <col min="11" max="12" width="14.7109375" style="0" bestFit="1" customWidth="1"/>
  </cols>
  <sheetData>
    <row r="1" spans="1:9" ht="18">
      <c r="A1" s="94" t="str">
        <f>HLOOKUP(INDICE!$F$2,Nombres!$C$3:$D$636,88,FALSE)</f>
        <v>Risk-weighted assets. Breakdown by business areas and main countries</v>
      </c>
      <c r="B1" s="155"/>
      <c r="C1" s="155"/>
      <c r="D1" s="156"/>
      <c r="E1" s="156"/>
      <c r="F1" s="156"/>
      <c r="G1" s="156"/>
      <c r="H1" s="156"/>
      <c r="I1" s="156"/>
    </row>
    <row r="2" spans="1:9" ht="15">
      <c r="A2" s="163" t="str">
        <f>HLOOKUP(INDICE!$F$2,Nombres!$C$3:$D$636,32,FALSE)</f>
        <v>(Million euros)</v>
      </c>
      <c r="B2" s="58"/>
      <c r="C2" s="58"/>
      <c r="D2" s="195"/>
      <c r="E2" s="195"/>
      <c r="F2" s="195"/>
      <c r="G2" s="195"/>
      <c r="H2" s="195"/>
      <c r="I2" s="195"/>
    </row>
    <row r="3" spans="1:9" ht="15">
      <c r="A3" s="196"/>
      <c r="B3" s="58"/>
      <c r="C3" s="58"/>
      <c r="D3" s="159"/>
      <c r="E3" s="159"/>
      <c r="F3" s="159"/>
      <c r="G3" s="159"/>
      <c r="H3" s="159"/>
      <c r="I3" s="159"/>
    </row>
    <row r="4" spans="1:9" ht="15.75" customHeight="1">
      <c r="A4" s="197"/>
      <c r="B4" s="303" t="str">
        <f>HLOOKUP(INDICE!$F$2,Nombres!$C$3:$D$636,222,FALSE)</f>
        <v>CRD IV fully loaded</v>
      </c>
      <c r="C4" s="303"/>
      <c r="D4" s="303"/>
      <c r="E4" s="303"/>
      <c r="F4" s="303"/>
      <c r="G4" s="303"/>
      <c r="H4" s="303"/>
      <c r="I4" s="303"/>
    </row>
    <row r="5" spans="1:11" ht="15.75">
      <c r="A5" s="197"/>
      <c r="B5" s="198">
        <f>+España!B32</f>
        <v>44286</v>
      </c>
      <c r="C5" s="198">
        <f>+España!C32</f>
        <v>44377</v>
      </c>
      <c r="D5" s="198">
        <f>+España!D32</f>
        <v>44469</v>
      </c>
      <c r="E5" s="198">
        <f>+España!E32</f>
        <v>44561</v>
      </c>
      <c r="F5" s="198">
        <f>+España!F32</f>
        <v>44651</v>
      </c>
      <c r="G5" s="198">
        <f>+España!G32</f>
        <v>44742</v>
      </c>
      <c r="H5" s="198">
        <f>+España!H32</f>
        <v>44834</v>
      </c>
      <c r="I5" s="198">
        <f>+España!I32</f>
        <v>44926</v>
      </c>
      <c r="K5" s="199"/>
    </row>
    <row r="6" spans="1:12" ht="15">
      <c r="A6" s="103" t="str">
        <f>HLOOKUP(INDICE!$F$2,Nombres!$C$3:$D$636,3,FALSE)</f>
        <v>BBVA Group</v>
      </c>
      <c r="B6" s="200">
        <v>354433.37399999</v>
      </c>
      <c r="C6" s="200">
        <v>305543.34494778</v>
      </c>
      <c r="D6" s="200">
        <v>302547.527935481</v>
      </c>
      <c r="E6" s="200">
        <v>307335.24099</v>
      </c>
      <c r="F6" s="200">
        <v>316131</v>
      </c>
      <c r="G6" s="200">
        <v>330589.0326408901</v>
      </c>
      <c r="H6" s="200">
        <v>0</v>
      </c>
      <c r="I6" s="200">
        <v>0</v>
      </c>
      <c r="K6" s="201"/>
      <c r="L6" s="202"/>
    </row>
    <row r="7" spans="1:12" ht="15">
      <c r="A7" s="59" t="str">
        <f>HLOOKUP(INDICE!$F$2,Nombres!$C$3:$D$636,7,FALSE)</f>
        <v>Spain</v>
      </c>
      <c r="B7" s="44">
        <v>107872.02321967999</v>
      </c>
      <c r="C7" s="44">
        <v>111975.13196427</v>
      </c>
      <c r="D7" s="44">
        <v>108749.97331843001</v>
      </c>
      <c r="E7" s="44">
        <v>113797.44527904</v>
      </c>
      <c r="F7" s="44">
        <v>109623.29636667999</v>
      </c>
      <c r="G7" s="44">
        <v>109820.62409539</v>
      </c>
      <c r="H7" s="44">
        <v>0</v>
      </c>
      <c r="I7" s="44">
        <v>0</v>
      </c>
      <c r="K7" s="201"/>
      <c r="L7" s="202"/>
    </row>
    <row r="8" spans="1:12" ht="15">
      <c r="A8" s="59" t="str">
        <f>HLOOKUP(INDICE!$F$2,Nombres!$C$3:$D$636,11,FALSE)</f>
        <v>Mexico</v>
      </c>
      <c r="B8" s="44">
        <v>61980.77996205</v>
      </c>
      <c r="C8" s="44">
        <v>62395.633376269994</v>
      </c>
      <c r="D8" s="44">
        <v>61240.10900000001</v>
      </c>
      <c r="E8" s="44">
        <v>64572.994997839996</v>
      </c>
      <c r="F8" s="44">
        <v>67626.26018723001</v>
      </c>
      <c r="G8" s="44">
        <v>73868.81118761</v>
      </c>
      <c r="H8" s="44">
        <v>0</v>
      </c>
      <c r="I8" s="44">
        <v>0</v>
      </c>
      <c r="K8" s="201"/>
      <c r="L8" s="202"/>
    </row>
    <row r="9" spans="1:12" ht="15">
      <c r="A9" s="59" t="str">
        <f>HLOOKUP(INDICE!$F$2,Nombres!$C$3:$D$636,12,FALSE)</f>
        <v>Turkey </v>
      </c>
      <c r="B9" s="44">
        <v>53251.74</v>
      </c>
      <c r="C9" s="44">
        <v>53554.30000000001</v>
      </c>
      <c r="D9" s="44">
        <v>55233.178</v>
      </c>
      <c r="E9" s="44">
        <v>49718.483983800004</v>
      </c>
      <c r="F9" s="44">
        <v>49589.47993845</v>
      </c>
      <c r="G9" s="44">
        <v>51055.00159606</v>
      </c>
      <c r="H9" s="44">
        <v>0</v>
      </c>
      <c r="I9" s="44">
        <v>0</v>
      </c>
      <c r="K9" s="201"/>
      <c r="L9" s="202"/>
    </row>
    <row r="10" spans="1:12" ht="15">
      <c r="A10" s="59" t="str">
        <f>HLOOKUP(INDICE!$F$2,Nombres!$C$3:$D$636,13,FALSE)</f>
        <v>South America</v>
      </c>
      <c r="B10" s="44">
        <f aca="true" t="shared" si="0" ref="B10:I10">+B11+B12+B13+B14+B15</f>
        <v>38947.77803282</v>
      </c>
      <c r="C10" s="44">
        <f t="shared" si="0"/>
        <v>39113.19486358</v>
      </c>
      <c r="D10" s="44">
        <f t="shared" si="0"/>
        <v>40870.448252999995</v>
      </c>
      <c r="E10" s="44">
        <f t="shared" si="0"/>
        <v>43334.14399471</v>
      </c>
      <c r="F10" s="44">
        <f t="shared" si="0"/>
        <v>46330.37929296999</v>
      </c>
      <c r="G10" s="44">
        <f t="shared" si="0"/>
        <v>49641.27427763</v>
      </c>
      <c r="H10" s="44">
        <f t="shared" si="0"/>
        <v>0</v>
      </c>
      <c r="I10" s="44">
        <f t="shared" si="0"/>
        <v>0</v>
      </c>
      <c r="K10" s="201"/>
      <c r="L10" s="202"/>
    </row>
    <row r="11" spans="1:12" ht="15">
      <c r="A11" s="203" t="str">
        <f>HLOOKUP(INDICE!$F$2,Nombres!$C$3:$D$636,14,FALSE)</f>
        <v>Argentina</v>
      </c>
      <c r="B11" s="44">
        <v>5727.42467177</v>
      </c>
      <c r="C11" s="44">
        <v>5548.0146043</v>
      </c>
      <c r="D11" s="44">
        <v>6180.594252999999</v>
      </c>
      <c r="E11" s="44">
        <v>6775.30599561</v>
      </c>
      <c r="F11" s="44">
        <v>6766.69729061</v>
      </c>
      <c r="G11" s="44">
        <v>7343.945000000001</v>
      </c>
      <c r="H11" s="44">
        <v>0</v>
      </c>
      <c r="I11" s="44">
        <v>0</v>
      </c>
      <c r="K11" s="201"/>
      <c r="L11" s="202"/>
    </row>
    <row r="12" spans="1:12" ht="15">
      <c r="A12" s="203" t="str">
        <f>HLOOKUP(INDICE!$F$2,Nombres!$C$3:$D$636,15,FALSE)</f>
        <v>Chile</v>
      </c>
      <c r="B12" s="44">
        <v>1577.494</v>
      </c>
      <c r="C12" s="44">
        <v>1700.4819999999995</v>
      </c>
      <c r="D12" s="44">
        <v>1602.6979999999999</v>
      </c>
      <c r="E12" s="44">
        <v>1635.52199571</v>
      </c>
      <c r="F12" s="44">
        <v>1888.1159999999998</v>
      </c>
      <c r="G12" s="44">
        <v>1939.034</v>
      </c>
      <c r="H12" s="44">
        <v>0</v>
      </c>
      <c r="I12" s="44">
        <v>0</v>
      </c>
      <c r="K12" s="201"/>
      <c r="L12" s="202"/>
    </row>
    <row r="13" spans="1:12" ht="15">
      <c r="A13" s="203" t="str">
        <f>HLOOKUP(INDICE!$F$2,Nombres!$C$3:$D$636,16,FALSE)</f>
        <v>Colombia</v>
      </c>
      <c r="B13" s="44">
        <v>12609.25952864</v>
      </c>
      <c r="C13" s="44">
        <v>12951.161905739998</v>
      </c>
      <c r="D13" s="44">
        <v>13376.350999999999</v>
      </c>
      <c r="E13" s="44">
        <v>14262.200003910002</v>
      </c>
      <c r="F13" s="44">
        <v>15853.155228539998</v>
      </c>
      <c r="G13" s="44">
        <v>16834.32</v>
      </c>
      <c r="H13" s="44">
        <v>0</v>
      </c>
      <c r="I13" s="44">
        <v>0</v>
      </c>
      <c r="K13" s="201"/>
      <c r="L13" s="202"/>
    </row>
    <row r="14" spans="1:12" ht="15">
      <c r="A14" s="203" t="str">
        <f>HLOOKUP(INDICE!$F$2,Nombres!$C$3:$D$636,17,FALSE)</f>
        <v>Peru</v>
      </c>
      <c r="B14" s="44">
        <v>16675.773832410003</v>
      </c>
      <c r="C14" s="44">
        <v>16469.43935354</v>
      </c>
      <c r="D14" s="44">
        <v>17336.05</v>
      </c>
      <c r="E14" s="44">
        <v>18016.47699951</v>
      </c>
      <c r="F14" s="44">
        <v>19003.581019359997</v>
      </c>
      <c r="G14" s="44">
        <v>20344.217531450002</v>
      </c>
      <c r="H14" s="44">
        <v>0</v>
      </c>
      <c r="I14" s="44">
        <v>0</v>
      </c>
      <c r="K14" s="201"/>
      <c r="L14" s="202"/>
    </row>
    <row r="15" spans="1:12" ht="15">
      <c r="A15" s="203" t="str">
        <f>HLOOKUP(INDICE!$F$2,Nombres!$C$3:$D$636,89,FALSE)</f>
        <v>Resto of South América</v>
      </c>
      <c r="B15" s="44">
        <v>2357.826</v>
      </c>
      <c r="C15" s="44">
        <v>2444.0969999999998</v>
      </c>
      <c r="D15" s="44">
        <v>2374.755</v>
      </c>
      <c r="E15" s="44">
        <v>2644.63899997</v>
      </c>
      <c r="F15" s="44">
        <v>2818.82975446</v>
      </c>
      <c r="G15" s="44">
        <v>3179.7577461799992</v>
      </c>
      <c r="H15" s="44">
        <v>0</v>
      </c>
      <c r="I15" s="44">
        <v>0</v>
      </c>
      <c r="K15" s="201"/>
      <c r="L15" s="202"/>
    </row>
    <row r="16" spans="1:12" ht="15">
      <c r="A16" s="289" t="str">
        <f>HLOOKUP(INDICE!$F$2,Nombres!$C$3:$D$636,263,FALSE)</f>
        <v>Rest of Business</v>
      </c>
      <c r="B16" s="44">
        <v>28436.27412497</v>
      </c>
      <c r="C16" s="44">
        <v>28369.32461407</v>
      </c>
      <c r="D16" s="44">
        <v>27041.584696980004</v>
      </c>
      <c r="E16" s="44">
        <v>29280.11150947</v>
      </c>
      <c r="F16" s="44">
        <v>31607.216164469995</v>
      </c>
      <c r="G16" s="44">
        <v>34389.19511199</v>
      </c>
      <c r="H16" s="44">
        <v>0</v>
      </c>
      <c r="I16" s="44">
        <v>0</v>
      </c>
      <c r="K16" s="201"/>
      <c r="L16" s="202"/>
    </row>
    <row r="17" spans="1:12" ht="15">
      <c r="A17" s="59" t="str">
        <f>HLOOKUP(INDICE!$F$2,Nombres!$C$3:$D$636,272,FALSE)</f>
        <v>Corporate Center (1)</v>
      </c>
      <c r="B17" s="44">
        <f>+B6-B7-B8-B9-B11-B12-B13-B14-B15-B16</f>
        <v>63944.77866046998</v>
      </c>
      <c r="C17" s="44">
        <f>+C6-C7-C8-C9-C11-C12-C13-C14-C15-C16</f>
        <v>10135.760129590024</v>
      </c>
      <c r="D17" s="44">
        <f aca="true" t="shared" si="1" ref="D17:I17">+D6-D7-D8-D9-D11-D12-D13-D14-D15-D16</f>
        <v>9412.234667070974</v>
      </c>
      <c r="E17" s="44">
        <f>+E6-E7-E8-E9-E11-E12-E13-E14-E15-E16</f>
        <v>6632.061225140016</v>
      </c>
      <c r="F17" s="44">
        <f t="shared" si="1"/>
        <v>11354.368050199992</v>
      </c>
      <c r="G17" s="44">
        <f t="shared" si="1"/>
        <v>11814.126372210107</v>
      </c>
      <c r="H17" s="44">
        <f t="shared" si="1"/>
        <v>0</v>
      </c>
      <c r="I17" s="44">
        <f t="shared" si="1"/>
        <v>0</v>
      </c>
      <c r="K17" s="201"/>
      <c r="L17" s="202"/>
    </row>
    <row r="18" spans="1:12" ht="15">
      <c r="A18" s="59"/>
      <c r="B18" s="44"/>
      <c r="C18" s="44"/>
      <c r="D18" s="44"/>
      <c r="E18" s="44"/>
      <c r="F18" s="44"/>
      <c r="G18" s="44"/>
      <c r="H18" s="44"/>
      <c r="I18" s="44"/>
      <c r="K18" s="201"/>
      <c r="L18" s="202"/>
    </row>
    <row r="19" spans="1:12" ht="15">
      <c r="A19" s="59"/>
      <c r="B19" s="44"/>
      <c r="C19" s="44"/>
      <c r="D19" s="44"/>
      <c r="E19" s="44"/>
      <c r="F19" s="44"/>
      <c r="G19" s="44"/>
      <c r="H19" s="44"/>
      <c r="I19" s="44"/>
      <c r="K19" s="201"/>
      <c r="L19" s="202"/>
    </row>
    <row r="20" spans="1:12" ht="15">
      <c r="A20" s="59" t="str">
        <f>HLOOKUP(INDICE!$F$2,Nombres!$C$3:$D$636,273,FALSE)</f>
        <v>(1) Includes RWAs from the USA business sold.</v>
      </c>
      <c r="B20" s="44"/>
      <c r="C20" s="44"/>
      <c r="D20" s="44"/>
      <c r="E20" s="44"/>
      <c r="F20" s="44"/>
      <c r="G20" s="44"/>
      <c r="H20" s="44"/>
      <c r="I20" s="44"/>
      <c r="K20" s="201"/>
      <c r="L20" s="202"/>
    </row>
    <row r="21" spans="1:12" ht="15">
      <c r="A21" s="59"/>
      <c r="K21" s="201"/>
      <c r="L21" s="202"/>
    </row>
    <row r="22" spans="1:12" ht="15">
      <c r="A22" s="284"/>
      <c r="B22" s="44"/>
      <c r="C22" s="44"/>
      <c r="D22" s="44"/>
      <c r="E22" s="44"/>
      <c r="F22" s="44"/>
      <c r="G22" s="44"/>
      <c r="H22" s="44"/>
      <c r="I22" s="56"/>
      <c r="K22" s="201"/>
      <c r="L22" s="202"/>
    </row>
    <row r="23" spans="1:12" ht="15">
      <c r="A23" s="284"/>
      <c r="B23" s="290">
        <v>0</v>
      </c>
      <c r="C23" s="290">
        <v>0</v>
      </c>
      <c r="D23" s="290">
        <v>0</v>
      </c>
      <c r="E23" s="290">
        <v>0</v>
      </c>
      <c r="F23" s="290">
        <v>0</v>
      </c>
      <c r="G23" s="290">
        <v>0</v>
      </c>
      <c r="H23" s="290">
        <v>0</v>
      </c>
      <c r="I23" s="290">
        <v>0</v>
      </c>
      <c r="K23" s="201"/>
      <c r="L23" s="202"/>
    </row>
    <row r="24" spans="1:12" ht="15">
      <c r="A24" s="59"/>
      <c r="B24" s="44"/>
      <c r="C24" s="44"/>
      <c r="D24" s="44"/>
      <c r="E24" s="44"/>
      <c r="F24" s="44"/>
      <c r="G24" s="44"/>
      <c r="H24" s="44"/>
      <c r="I24" s="44"/>
      <c r="K24" s="201"/>
      <c r="L24" s="202"/>
    </row>
    <row r="25" spans="1:6" ht="15">
      <c r="A25" s="159"/>
      <c r="B25" s="159"/>
      <c r="C25" s="159"/>
      <c r="D25" s="159"/>
      <c r="E25" s="159"/>
      <c r="F25" s="159"/>
    </row>
    <row r="26" spans="1:6" ht="15">
      <c r="A26" s="256"/>
      <c r="B26" s="204"/>
      <c r="C26" s="204"/>
      <c r="D26" s="204"/>
      <c r="E26" s="204"/>
      <c r="F26" s="204"/>
    </row>
    <row r="27" spans="2:6" ht="15">
      <c r="B27" s="107"/>
      <c r="F27" s="31"/>
    </row>
    <row r="1005" ht="15">
      <c r="A1005" t="s">
        <v>392</v>
      </c>
    </row>
  </sheetData>
  <sheetProtection/>
  <mergeCells count="1">
    <mergeCell ref="B4:I4"/>
  </mergeCells>
  <conditionalFormatting sqref="B23:I23">
    <cfRule type="cellIs" priority="1" dxfId="127" operator="notBetween">
      <formula>0.25</formula>
      <formula>-0.25</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 min="8" max="9" width="0" style="0" hidden="1" customWidth="1"/>
  </cols>
  <sheetData>
    <row r="1" spans="1:41" ht="18">
      <c r="A1" s="250" t="str">
        <f>HLOOKUP(INDICE!$F$2,Nombres!$C$3:$D$636,123,FALSE)</f>
        <v>Branches</v>
      </c>
      <c r="B1" s="155"/>
      <c r="C1" s="155"/>
      <c r="D1" s="156"/>
      <c r="E1" s="156"/>
      <c r="F1" s="156"/>
      <c r="G1" s="156"/>
      <c r="H1" s="156"/>
      <c r="I1" s="156"/>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7"/>
      <c r="B2" s="100">
        <f>+España!B32</f>
        <v>44286</v>
      </c>
      <c r="C2" s="100">
        <f>+España!C32</f>
        <v>44377</v>
      </c>
      <c r="D2" s="100">
        <f>+España!D32</f>
        <v>44469</v>
      </c>
      <c r="E2" s="100">
        <f>+España!E32</f>
        <v>44561</v>
      </c>
      <c r="F2" s="100">
        <f>+España!F32</f>
        <v>44651</v>
      </c>
      <c r="G2" s="100">
        <f>+España!G32</f>
        <v>44742</v>
      </c>
      <c r="H2" s="100">
        <f>+España!H32</f>
        <v>44834</v>
      </c>
      <c r="I2" s="100">
        <f>+España!I32</f>
        <v>44926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51" t="str">
        <f>HLOOKUP(INDICE!$F$2,Nombres!$C$3:$D$636,7,FALSE)</f>
        <v>Spain</v>
      </c>
      <c r="B3" s="41">
        <v>2366</v>
      </c>
      <c r="C3" s="41">
        <v>2366</v>
      </c>
      <c r="D3" s="41">
        <v>2106</v>
      </c>
      <c r="E3" s="41">
        <v>1895</v>
      </c>
      <c r="F3" s="41">
        <v>1886</v>
      </c>
      <c r="G3" s="41">
        <v>1886</v>
      </c>
      <c r="H3" s="41">
        <v>0</v>
      </c>
      <c r="I3" s="41">
        <v>0</v>
      </c>
      <c r="J3" s="54"/>
      <c r="K3" s="31"/>
      <c r="L3" s="117"/>
      <c r="M3" s="117"/>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51" t="str">
        <f>HLOOKUP(INDICE!$F$2,Nombres!$C$3:$D$636,10,FALSE)</f>
        <v>USA</v>
      </c>
      <c r="B4" s="41">
        <v>639</v>
      </c>
      <c r="C4" s="41">
        <v>0</v>
      </c>
      <c r="D4" s="41">
        <v>0</v>
      </c>
      <c r="E4" s="41">
        <v>0</v>
      </c>
      <c r="F4" s="41">
        <v>0</v>
      </c>
      <c r="G4" s="41">
        <v>0</v>
      </c>
      <c r="H4" s="41">
        <v>0</v>
      </c>
      <c r="I4" s="41">
        <v>0</v>
      </c>
      <c r="J4" s="54"/>
      <c r="K4" s="31"/>
      <c r="L4" s="117"/>
      <c r="M4" s="117"/>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51" t="str">
        <f>HLOOKUP(INDICE!$F$2,Nombres!$C$3:$D$636,11,FALSE)</f>
        <v>Mexico</v>
      </c>
      <c r="B5" s="41">
        <v>1728</v>
      </c>
      <c r="C5" s="41">
        <v>1746</v>
      </c>
      <c r="D5" s="41">
        <v>1746</v>
      </c>
      <c r="E5" s="41">
        <v>1716</v>
      </c>
      <c r="F5" s="41">
        <v>1722</v>
      </c>
      <c r="G5" s="41">
        <v>1726</v>
      </c>
      <c r="H5" s="41">
        <v>0</v>
      </c>
      <c r="I5" s="41">
        <v>0</v>
      </c>
      <c r="J5" s="54"/>
      <c r="K5" s="31"/>
      <c r="L5" s="117"/>
      <c r="M5" s="117"/>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51" t="str">
        <f>HLOOKUP(INDICE!$F$2,Nombres!$C$3:$D$636,12,FALSE)</f>
        <v>Turkey </v>
      </c>
      <c r="B6" s="41">
        <v>1021</v>
      </c>
      <c r="C6" s="41">
        <v>1009</v>
      </c>
      <c r="D6" s="41">
        <v>1007</v>
      </c>
      <c r="E6" s="41">
        <v>1006</v>
      </c>
      <c r="F6" s="41">
        <v>1003</v>
      </c>
      <c r="G6" s="41">
        <v>992</v>
      </c>
      <c r="H6" s="41">
        <v>0</v>
      </c>
      <c r="I6" s="41">
        <v>0</v>
      </c>
      <c r="J6" s="54"/>
      <c r="K6" s="31"/>
      <c r="L6" s="117"/>
      <c r="M6" s="117"/>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51" t="str">
        <f>HLOOKUP(INDICE!$F$2,Nombres!$C$3:$D$636,13,FALSE)</f>
        <v>South America</v>
      </c>
      <c r="B7" s="41">
        <v>1470</v>
      </c>
      <c r="C7" s="41">
        <v>1464</v>
      </c>
      <c r="D7" s="41">
        <v>1453</v>
      </c>
      <c r="E7" s="41">
        <v>1434</v>
      </c>
      <c r="F7" s="41">
        <v>1428</v>
      </c>
      <c r="G7" s="41">
        <v>1427</v>
      </c>
      <c r="H7" s="41">
        <v>0</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8" t="str">
        <f>HLOOKUP(INDICE!$F$2,Nombres!$C$3:$D$636,14,FALSE)</f>
        <v>Argentina</v>
      </c>
      <c r="B8" s="252">
        <v>248</v>
      </c>
      <c r="C8" s="252">
        <v>244</v>
      </c>
      <c r="D8" s="252">
        <v>244</v>
      </c>
      <c r="E8" s="252">
        <v>244</v>
      </c>
      <c r="F8" s="252">
        <v>243</v>
      </c>
      <c r="G8" s="252">
        <v>243</v>
      </c>
      <c r="H8" s="252">
        <v>0</v>
      </c>
      <c r="I8" s="252">
        <v>0</v>
      </c>
      <c r="J8" s="54"/>
      <c r="K8" s="31"/>
      <c r="L8" s="117"/>
      <c r="M8" s="117"/>
      <c r="N8" s="265"/>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158" t="str">
        <f>HLOOKUP(INDICE!$F$2,Nombres!$C$3:$D$636,15,FALSE)</f>
        <v>Chile</v>
      </c>
      <c r="B9" s="44">
        <v>17</v>
      </c>
      <c r="C9" s="44">
        <v>17</v>
      </c>
      <c r="D9" s="44">
        <v>17</v>
      </c>
      <c r="E9" s="44">
        <v>11</v>
      </c>
      <c r="F9" s="44">
        <v>10</v>
      </c>
      <c r="G9" s="44">
        <v>11</v>
      </c>
      <c r="H9" s="44">
        <v>0</v>
      </c>
      <c r="I9" s="44">
        <v>0</v>
      </c>
      <c r="J9" s="54"/>
      <c r="K9" s="31"/>
      <c r="L9" s="117"/>
      <c r="M9" s="117"/>
      <c r="N9" s="265"/>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53" t="str">
        <f>HLOOKUP(INDICE!$F$2,Nombres!$C$3:$D$636,16,FALSE)</f>
        <v>Colombia</v>
      </c>
      <c r="B10" s="44">
        <v>522</v>
      </c>
      <c r="C10" s="44">
        <v>520</v>
      </c>
      <c r="D10" s="44">
        <v>518</v>
      </c>
      <c r="E10" s="44">
        <v>517</v>
      </c>
      <c r="F10" s="44">
        <v>517</v>
      </c>
      <c r="G10" s="44">
        <v>517</v>
      </c>
      <c r="H10" s="44">
        <v>0</v>
      </c>
      <c r="I10" s="44">
        <v>0</v>
      </c>
      <c r="J10" s="54"/>
      <c r="K10" s="117"/>
      <c r="L10" s="117"/>
      <c r="M10" s="117"/>
      <c r="N10" s="265"/>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53" t="str">
        <f>HLOOKUP(INDICE!$F$2,Nombres!$C$3:$D$636,17,FALSE)</f>
        <v>Peru</v>
      </c>
      <c r="B11" s="44">
        <v>325</v>
      </c>
      <c r="C11" s="44">
        <v>325</v>
      </c>
      <c r="D11" s="44">
        <v>316</v>
      </c>
      <c r="E11" s="44">
        <v>317</v>
      </c>
      <c r="F11" s="44">
        <v>315</v>
      </c>
      <c r="G11" s="44">
        <v>314</v>
      </c>
      <c r="H11" s="44">
        <v>0</v>
      </c>
      <c r="I11" s="44">
        <v>0</v>
      </c>
      <c r="J11" s="54"/>
      <c r="K11" s="117"/>
      <c r="L11" s="117"/>
      <c r="M11" s="117"/>
      <c r="N11" s="265"/>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53" t="str">
        <f>HLOOKUP(INDICE!$F$2,Nombres!$C$3:$D$636,89,FALSE)</f>
        <v>Resto of South América</v>
      </c>
      <c r="B12" s="44">
        <v>358</v>
      </c>
      <c r="C12" s="44">
        <v>358</v>
      </c>
      <c r="D12" s="44">
        <v>358</v>
      </c>
      <c r="E12" s="44">
        <v>345</v>
      </c>
      <c r="F12" s="44">
        <v>343</v>
      </c>
      <c r="G12" s="44">
        <v>342</v>
      </c>
      <c r="H12" s="44">
        <v>0</v>
      </c>
      <c r="I12" s="44">
        <v>0</v>
      </c>
      <c r="J12" s="54"/>
      <c r="K12" s="117"/>
      <c r="L12" s="117"/>
      <c r="M12" s="117"/>
      <c r="N12" s="265"/>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51" t="str">
        <f>HLOOKUP(INDICE!$F$2,Nombres!$C$3:$D$636,279,FALSE)</f>
        <v>Rest of geographies</v>
      </c>
      <c r="B13" s="41">
        <v>30</v>
      </c>
      <c r="C13" s="41">
        <v>32</v>
      </c>
      <c r="D13" s="41">
        <v>32</v>
      </c>
      <c r="E13" s="41">
        <v>32</v>
      </c>
      <c r="F13" s="41">
        <v>32</v>
      </c>
      <c r="G13" s="41">
        <v>31</v>
      </c>
      <c r="H13" s="41">
        <v>0</v>
      </c>
      <c r="I13" s="41">
        <v>0</v>
      </c>
      <c r="J13" s="54"/>
      <c r="K13" s="117"/>
      <c r="L13" s="117"/>
      <c r="M13" s="117"/>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51" t="s">
        <v>6</v>
      </c>
      <c r="B14" s="41">
        <f aca="true" t="shared" si="0" ref="B14:I14">+SUM(B3:B6,B8:B13)</f>
        <v>7254</v>
      </c>
      <c r="C14" s="41">
        <f t="shared" si="0"/>
        <v>6617</v>
      </c>
      <c r="D14" s="41">
        <f t="shared" si="0"/>
        <v>6344</v>
      </c>
      <c r="E14" s="41">
        <f t="shared" si="0"/>
        <v>6083</v>
      </c>
      <c r="F14" s="41">
        <f t="shared" si="0"/>
        <v>6071</v>
      </c>
      <c r="G14" s="41">
        <f t="shared" si="0"/>
        <v>6062</v>
      </c>
      <c r="H14" s="41">
        <f t="shared" si="0"/>
        <v>0</v>
      </c>
      <c r="I14" s="41">
        <f t="shared" si="0"/>
        <v>0</v>
      </c>
      <c r="J14" s="54"/>
      <c r="K14" s="117"/>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9"/>
      <c r="B15" s="160">
        <v>0</v>
      </c>
      <c r="C15" s="160">
        <v>0</v>
      </c>
      <c r="D15" s="160">
        <v>0</v>
      </c>
      <c r="E15" s="160">
        <v>0</v>
      </c>
      <c r="F15" s="160">
        <v>0</v>
      </c>
      <c r="G15" s="160">
        <v>0</v>
      </c>
      <c r="H15" s="160">
        <v>0</v>
      </c>
      <c r="I15" s="160">
        <v>0</v>
      </c>
      <c r="J15" s="31"/>
      <c r="K15" s="117"/>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59"/>
      <c r="B16" s="160"/>
      <c r="C16" s="160"/>
      <c r="D16" s="160"/>
      <c r="E16" s="160"/>
      <c r="F16" s="160"/>
      <c r="G16" s="160"/>
      <c r="H16" s="160"/>
      <c r="I16" s="160"/>
      <c r="J16" s="31"/>
      <c r="K16" s="117"/>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50" t="str">
        <f>HLOOKUP(INDICE!$F$2,Nombres!$C$3:$D$636,124,FALSE)</f>
        <v>Employees</v>
      </c>
      <c r="B17" s="155"/>
      <c r="C17" s="155"/>
      <c r="D17" s="156"/>
      <c r="E17" s="156"/>
      <c r="F17" s="156"/>
      <c r="G17" s="156"/>
      <c r="H17" s="156"/>
      <c r="I17" s="156"/>
      <c r="J17" s="16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7"/>
      <c r="B18" s="100">
        <f aca="true" t="shared" si="1" ref="B18:I18">+B$2</f>
        <v>44286</v>
      </c>
      <c r="C18" s="100">
        <f t="shared" si="1"/>
        <v>44377</v>
      </c>
      <c r="D18" s="100">
        <f t="shared" si="1"/>
        <v>44469</v>
      </c>
      <c r="E18" s="100">
        <f t="shared" si="1"/>
        <v>44561</v>
      </c>
      <c r="F18" s="100">
        <f t="shared" si="1"/>
        <v>44651</v>
      </c>
      <c r="G18" s="100">
        <f t="shared" si="1"/>
        <v>44742</v>
      </c>
      <c r="H18" s="100">
        <f t="shared" si="1"/>
        <v>44834</v>
      </c>
      <c r="I18" s="100">
        <f t="shared" si="1"/>
        <v>44926</v>
      </c>
      <c r="J18" s="16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51" t="str">
        <f>HLOOKUP(INDICE!$F$2,Nombres!$C$3:$D$636,7,FALSE)</f>
        <v>Spain</v>
      </c>
      <c r="B19" s="41">
        <v>28777</v>
      </c>
      <c r="C19" s="41">
        <v>28673</v>
      </c>
      <c r="D19" s="41">
        <v>27387</v>
      </c>
      <c r="E19" s="41">
        <v>24843</v>
      </c>
      <c r="F19" s="41">
        <v>24797</v>
      </c>
      <c r="G19" s="41">
        <v>24995</v>
      </c>
      <c r="H19" s="41">
        <v>0</v>
      </c>
      <c r="I19" s="41">
        <v>0</v>
      </c>
      <c r="J19" s="117"/>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51" t="str">
        <f>HLOOKUP(INDICE!$F$2,Nombres!$C$3:$D$636,10,FALSE)</f>
        <v>USA</v>
      </c>
      <c r="B20" s="41">
        <v>10532</v>
      </c>
      <c r="C20" s="41">
        <v>0</v>
      </c>
      <c r="D20" s="41">
        <v>0</v>
      </c>
      <c r="E20" s="41">
        <v>0</v>
      </c>
      <c r="F20" s="41">
        <v>0</v>
      </c>
      <c r="G20" s="41">
        <v>0</v>
      </c>
      <c r="H20" s="41">
        <v>0</v>
      </c>
      <c r="I20" s="41">
        <v>0</v>
      </c>
      <c r="J20" s="117"/>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51" t="str">
        <f>HLOOKUP(INDICE!$F$2,Nombres!$C$3:$D$636,11,FALSE)</f>
        <v>Mexico</v>
      </c>
      <c r="B21" s="41">
        <v>37444</v>
      </c>
      <c r="C21" s="41">
        <v>37127</v>
      </c>
      <c r="D21" s="41">
        <v>40183</v>
      </c>
      <c r="E21" s="41">
        <v>40243</v>
      </c>
      <c r="F21" s="41">
        <v>41139</v>
      </c>
      <c r="G21" s="41">
        <v>41477</v>
      </c>
      <c r="H21" s="41">
        <v>0</v>
      </c>
      <c r="I21" s="41">
        <v>0</v>
      </c>
      <c r="J21" s="117"/>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51" t="str">
        <f>HLOOKUP(INDICE!$F$2,Nombres!$C$3:$D$636,12,FALSE)</f>
        <v>Turkey </v>
      </c>
      <c r="B22" s="41">
        <v>21838</v>
      </c>
      <c r="C22" s="41">
        <v>21834</v>
      </c>
      <c r="D22" s="41">
        <v>21651</v>
      </c>
      <c r="E22" s="41">
        <v>21522</v>
      </c>
      <c r="F22" s="41">
        <v>21680</v>
      </c>
      <c r="G22" s="41">
        <v>21917</v>
      </c>
      <c r="H22" s="41">
        <v>0</v>
      </c>
      <c r="I22" s="41">
        <v>0</v>
      </c>
      <c r="J22" s="117"/>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51" t="str">
        <f>HLOOKUP(INDICE!$F$2,Nombres!$C$3:$D$636,13,FALSE)</f>
        <v>South America</v>
      </c>
      <c r="B23" s="41">
        <v>22432</v>
      </c>
      <c r="C23" s="41">
        <v>22418</v>
      </c>
      <c r="D23" s="41">
        <v>22607</v>
      </c>
      <c r="E23" s="41">
        <v>22519</v>
      </c>
      <c r="F23" s="41">
        <v>22472</v>
      </c>
      <c r="G23" s="41">
        <v>22771</v>
      </c>
      <c r="H23" s="41">
        <v>0</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58" t="str">
        <f>HLOOKUP(INDICE!$F$2,Nombres!$C$3:$D$636,14,FALSE)</f>
        <v>Argentina</v>
      </c>
      <c r="B24" s="44">
        <v>6017</v>
      </c>
      <c r="C24" s="44">
        <v>5937</v>
      </c>
      <c r="D24" s="44">
        <v>5887</v>
      </c>
      <c r="E24" s="44">
        <v>5852</v>
      </c>
      <c r="F24" s="44">
        <v>5847</v>
      </c>
      <c r="G24" s="44">
        <v>5815</v>
      </c>
      <c r="H24" s="44">
        <v>0</v>
      </c>
      <c r="I24" s="44">
        <v>0</v>
      </c>
      <c r="J24" s="54"/>
      <c r="K24" s="44"/>
      <c r="L24" s="117"/>
      <c r="M24" s="54"/>
      <c r="N24" s="266"/>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158" t="str">
        <f>HLOOKUP(INDICE!$F$2,Nombres!$C$3:$D$636,15,FALSE)</f>
        <v>Chile</v>
      </c>
      <c r="B25" s="44">
        <v>685</v>
      </c>
      <c r="C25" s="44">
        <v>694</v>
      </c>
      <c r="D25" s="44">
        <v>704</v>
      </c>
      <c r="E25" s="44">
        <v>714</v>
      </c>
      <c r="F25" s="44">
        <v>722</v>
      </c>
      <c r="G25" s="44">
        <v>747</v>
      </c>
      <c r="H25" s="44">
        <v>0</v>
      </c>
      <c r="I25" s="44">
        <v>0</v>
      </c>
      <c r="J25" s="54"/>
      <c r="K25" s="44"/>
      <c r="L25" s="117"/>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53" t="str">
        <f>HLOOKUP(INDICE!$F$2,Nombres!$C$3:$D$636,16,FALSE)</f>
        <v>Colombia</v>
      </c>
      <c r="B26" s="44">
        <v>6482</v>
      </c>
      <c r="C26" s="44">
        <v>6564</v>
      </c>
      <c r="D26" s="44">
        <v>6671</v>
      </c>
      <c r="E26" s="44">
        <v>6741</v>
      </c>
      <c r="F26" s="44">
        <v>6826</v>
      </c>
      <c r="G26" s="44">
        <v>6950</v>
      </c>
      <c r="H26" s="44">
        <v>0</v>
      </c>
      <c r="I26" s="44">
        <v>0</v>
      </c>
      <c r="J26" s="54"/>
      <c r="K26" s="44"/>
      <c r="L26" s="117"/>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53" t="str">
        <f>HLOOKUP(INDICE!$F$2,Nombres!$C$3:$D$636,17,FALSE)</f>
        <v>Peru</v>
      </c>
      <c r="B27" s="44">
        <v>6217</v>
      </c>
      <c r="C27" s="44">
        <v>6266</v>
      </c>
      <c r="D27" s="44">
        <v>6433</v>
      </c>
      <c r="E27" s="44">
        <v>6394</v>
      </c>
      <c r="F27" s="44">
        <v>6290</v>
      </c>
      <c r="G27" s="44">
        <v>6514</v>
      </c>
      <c r="H27" s="44">
        <v>0</v>
      </c>
      <c r="I27" s="44">
        <v>0</v>
      </c>
      <c r="J27" s="54"/>
      <c r="K27" s="44"/>
      <c r="L27" s="117"/>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53" t="str">
        <f>HLOOKUP(INDICE!$F$2,Nombres!$C$3:$D$636,89,FALSE)</f>
        <v>Resto of South América</v>
      </c>
      <c r="B28" s="44">
        <v>3031</v>
      </c>
      <c r="C28" s="44">
        <v>2957</v>
      </c>
      <c r="D28" s="44">
        <v>2912</v>
      </c>
      <c r="E28" s="44">
        <v>2818</v>
      </c>
      <c r="F28" s="44">
        <v>2787</v>
      </c>
      <c r="G28" s="44">
        <v>2745</v>
      </c>
      <c r="H28" s="44">
        <v>0</v>
      </c>
      <c r="I28" s="44">
        <v>0</v>
      </c>
      <c r="J28" s="54"/>
      <c r="K28" s="44"/>
      <c r="L28" s="117"/>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51" t="str">
        <f>HLOOKUP(INDICE!$F$2,Nombres!$C$3:$D$636,279,FALSE)</f>
        <v>Rest of geographies</v>
      </c>
      <c r="B29" s="41">
        <v>998</v>
      </c>
      <c r="C29" s="41">
        <v>1270</v>
      </c>
      <c r="D29" s="41">
        <v>1289</v>
      </c>
      <c r="E29" s="41">
        <v>1305</v>
      </c>
      <c r="F29" s="41">
        <v>1314</v>
      </c>
      <c r="G29" s="41">
        <v>1305</v>
      </c>
      <c r="H29" s="41">
        <v>0</v>
      </c>
      <c r="I29" s="41">
        <v>0</v>
      </c>
      <c r="J29" s="117"/>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51" t="s">
        <v>6</v>
      </c>
      <c r="B30" s="41">
        <f aca="true" t="shared" si="2" ref="B30:I30">+SUM(B19:B22,B24:B29)</f>
        <v>122021</v>
      </c>
      <c r="C30" s="41">
        <f t="shared" si="2"/>
        <v>111322</v>
      </c>
      <c r="D30" s="41">
        <f t="shared" si="2"/>
        <v>113117</v>
      </c>
      <c r="E30" s="41">
        <f t="shared" si="2"/>
        <v>110432</v>
      </c>
      <c r="F30" s="41">
        <f t="shared" si="2"/>
        <v>111402</v>
      </c>
      <c r="G30" s="41">
        <f t="shared" si="2"/>
        <v>112465</v>
      </c>
      <c r="H30" s="41">
        <f t="shared" si="2"/>
        <v>0</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59"/>
      <c r="B31" s="160">
        <v>0</v>
      </c>
      <c r="C31" s="160">
        <v>0</v>
      </c>
      <c r="D31" s="160">
        <v>0</v>
      </c>
      <c r="E31" s="160">
        <v>0</v>
      </c>
      <c r="F31" s="160">
        <v>0</v>
      </c>
      <c r="G31" s="160">
        <v>0</v>
      </c>
      <c r="H31" s="160">
        <v>0</v>
      </c>
      <c r="I31" s="160">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59"/>
      <c r="B32" s="160"/>
      <c r="C32" s="160"/>
      <c r="D32" s="160"/>
      <c r="E32" s="160"/>
      <c r="F32" s="160"/>
      <c r="G32" s="160"/>
      <c r="H32" s="160"/>
      <c r="I32" s="160"/>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50" t="str">
        <f>HLOOKUP(INDICE!$F$2,Nombres!$C$3:$D$636,125,FALSE)</f>
        <v>ATM´s</v>
      </c>
      <c r="B33" s="155"/>
      <c r="C33" s="155"/>
      <c r="D33" s="156"/>
      <c r="E33" s="156"/>
      <c r="F33" s="156"/>
      <c r="G33" s="156"/>
      <c r="H33" s="156"/>
      <c r="I33" s="156"/>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4"/>
      <c r="B34" s="100">
        <f aca="true" t="shared" si="3" ref="B34:I34">+B$2</f>
        <v>44286</v>
      </c>
      <c r="C34" s="100">
        <f t="shared" si="3"/>
        <v>44377</v>
      </c>
      <c r="D34" s="100">
        <f t="shared" si="3"/>
        <v>44469</v>
      </c>
      <c r="E34" s="100">
        <f t="shared" si="3"/>
        <v>44561</v>
      </c>
      <c r="F34" s="100">
        <f t="shared" si="3"/>
        <v>44651</v>
      </c>
      <c r="G34" s="100">
        <f t="shared" si="3"/>
        <v>44742</v>
      </c>
      <c r="H34" s="100">
        <f t="shared" si="3"/>
        <v>44834</v>
      </c>
      <c r="I34" s="100">
        <f t="shared" si="3"/>
        <v>44926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51" t="str">
        <f>HLOOKUP(INDICE!$F$2,Nombres!$C$3:$D$636,7,FALSE)</f>
        <v>Spain</v>
      </c>
      <c r="B35" s="41">
        <v>5557</v>
      </c>
      <c r="C35" s="41">
        <v>5562</v>
      </c>
      <c r="D35" s="41">
        <v>5044</v>
      </c>
      <c r="E35" s="41">
        <v>4871</v>
      </c>
      <c r="F35" s="41">
        <v>4890</v>
      </c>
      <c r="G35" s="41">
        <v>4870</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51" t="str">
        <f>HLOOKUP(INDICE!$F$2,Nombres!$C$3:$D$636,10,FALSE)</f>
        <v>USA</v>
      </c>
      <c r="B36" s="41">
        <v>1371</v>
      </c>
      <c r="C36" s="41">
        <v>0</v>
      </c>
      <c r="D36" s="41">
        <v>0</v>
      </c>
      <c r="E36" s="41">
        <v>0</v>
      </c>
      <c r="F36" s="41">
        <v>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51" t="str">
        <f>HLOOKUP(INDICE!$F$2,Nombres!$C$3:$D$636,11,FALSE)</f>
        <v>Mexico</v>
      </c>
      <c r="B37" s="41">
        <v>12957</v>
      </c>
      <c r="C37" s="41">
        <v>13014</v>
      </c>
      <c r="D37" s="41">
        <v>13139</v>
      </c>
      <c r="E37" s="41">
        <v>13400</v>
      </c>
      <c r="F37" s="41">
        <v>13558</v>
      </c>
      <c r="G37" s="41">
        <v>13672</v>
      </c>
      <c r="H37" s="41">
        <v>0</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51" t="str">
        <f>HLOOKUP(INDICE!$F$2,Nombres!$C$3:$D$636,12,FALSE)</f>
        <v>Turkey </v>
      </c>
      <c r="B38" s="41">
        <v>5532</v>
      </c>
      <c r="C38" s="41">
        <v>5505</v>
      </c>
      <c r="D38" s="41">
        <v>5535</v>
      </c>
      <c r="E38" s="41">
        <v>5611</v>
      </c>
      <c r="F38" s="41">
        <v>5606</v>
      </c>
      <c r="G38" s="41">
        <v>5632</v>
      </c>
      <c r="H38" s="41">
        <v>0</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51" t="str">
        <f>HLOOKUP(INDICE!$F$2,Nombres!$C$3:$D$636,13,FALSE)</f>
        <v>South America</v>
      </c>
      <c r="B39" s="41">
        <v>5307</v>
      </c>
      <c r="C39" s="41">
        <v>5144</v>
      </c>
      <c r="D39" s="41">
        <v>5179</v>
      </c>
      <c r="E39" s="41">
        <v>5243</v>
      </c>
      <c r="F39" s="41">
        <v>5302</v>
      </c>
      <c r="G39" s="41">
        <v>5307</v>
      </c>
      <c r="H39" s="41">
        <v>0</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58" t="str">
        <f>HLOOKUP(INDICE!$F$2,Nombres!$C$3:$D$636,14,FALSE)</f>
        <v>Argentina</v>
      </c>
      <c r="B40" s="44">
        <v>1714</v>
      </c>
      <c r="C40" s="44">
        <v>1703</v>
      </c>
      <c r="D40" s="44">
        <v>1704</v>
      </c>
      <c r="E40" s="44">
        <v>1707</v>
      </c>
      <c r="F40" s="44">
        <v>1708</v>
      </c>
      <c r="G40" s="44">
        <v>1707</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158" t="str">
        <f>HLOOKUP(INDICE!$F$2,Nombres!$C$3:$D$636,15,FALSE)</f>
        <v>Chile</v>
      </c>
      <c r="B41" s="44">
        <v>0</v>
      </c>
      <c r="C41" s="44">
        <v>0</v>
      </c>
      <c r="D41" s="44">
        <v>0</v>
      </c>
      <c r="E41" s="44" t="s">
        <v>521</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53" t="str">
        <f>HLOOKUP(INDICE!$F$2,Nombres!$C$3:$D$636,16,FALSE)</f>
        <v>Colombia</v>
      </c>
      <c r="B42" s="44">
        <v>1326</v>
      </c>
      <c r="C42" s="44">
        <v>1329</v>
      </c>
      <c r="D42" s="44">
        <v>1368</v>
      </c>
      <c r="E42" s="44">
        <v>1415</v>
      </c>
      <c r="F42" s="44">
        <v>1451</v>
      </c>
      <c r="G42" s="44">
        <v>1457</v>
      </c>
      <c r="H42" s="44">
        <v>0</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53" t="str">
        <f>HLOOKUP(INDICE!$F$2,Nombres!$C$3:$D$636,17,FALSE)</f>
        <v>Peru</v>
      </c>
      <c r="B43" s="44">
        <v>1927</v>
      </c>
      <c r="C43" s="44">
        <v>1893</v>
      </c>
      <c r="D43" s="44">
        <v>1889</v>
      </c>
      <c r="E43" s="44">
        <v>1903</v>
      </c>
      <c r="F43" s="44">
        <v>1916</v>
      </c>
      <c r="G43" s="44">
        <v>1916</v>
      </c>
      <c r="H43" s="44">
        <v>0</v>
      </c>
      <c r="I43" s="44">
        <v>0</v>
      </c>
      <c r="J43" s="31"/>
      <c r="K43" s="31"/>
      <c r="L43" s="16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53" t="str">
        <f>HLOOKUP(INDICE!$F$2,Nombres!$C$3:$D$636,89,FALSE)</f>
        <v>Resto of South América</v>
      </c>
      <c r="B44" s="44">
        <v>340</v>
      </c>
      <c r="C44" s="44">
        <v>219</v>
      </c>
      <c r="D44" s="44">
        <v>218</v>
      </c>
      <c r="E44" s="44">
        <v>218</v>
      </c>
      <c r="F44" s="44">
        <v>227</v>
      </c>
      <c r="G44" s="44">
        <v>227</v>
      </c>
      <c r="H44" s="44">
        <v>0</v>
      </c>
      <c r="I44" s="44">
        <v>0</v>
      </c>
      <c r="J44" s="31"/>
      <c r="K44" s="31"/>
      <c r="L44" s="16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51" t="str">
        <f>HLOOKUP(INDICE!$F$2,Nombres!$C$3:$D$636,279,FALSE)</f>
        <v>Rest of geographies</v>
      </c>
      <c r="B45" s="41">
        <v>23</v>
      </c>
      <c r="C45" s="41">
        <v>23</v>
      </c>
      <c r="D45" s="41">
        <v>23</v>
      </c>
      <c r="E45" s="41">
        <v>23</v>
      </c>
      <c r="F45" s="41">
        <v>23</v>
      </c>
      <c r="G45" s="41">
        <v>23</v>
      </c>
      <c r="H45" s="41">
        <v>0</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51" t="s">
        <v>6</v>
      </c>
      <c r="B46" s="41">
        <f aca="true" t="shared" si="4" ref="B46:I46">+SUM(B35:B38,B40:B45)</f>
        <v>30747</v>
      </c>
      <c r="C46" s="41">
        <f t="shared" si="4"/>
        <v>29248</v>
      </c>
      <c r="D46" s="41">
        <f t="shared" si="4"/>
        <v>28920</v>
      </c>
      <c r="E46" s="41">
        <f t="shared" si="4"/>
        <v>29148</v>
      </c>
      <c r="F46" s="41">
        <f t="shared" si="4"/>
        <v>29379</v>
      </c>
      <c r="G46" s="41">
        <f t="shared" si="4"/>
        <v>29504</v>
      </c>
      <c r="H46" s="41">
        <f t="shared" si="4"/>
        <v>0</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8"/>
      <c r="B47" s="160">
        <v>0</v>
      </c>
      <c r="C47" s="160">
        <v>0</v>
      </c>
      <c r="D47" s="160">
        <v>0</v>
      </c>
      <c r="E47" s="160">
        <v>0</v>
      </c>
      <c r="F47" s="160">
        <v>0</v>
      </c>
      <c r="G47" s="160">
        <v>0</v>
      </c>
      <c r="H47" s="160">
        <v>0</v>
      </c>
      <c r="I47" s="160">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54"/>
      <c r="B48" s="98"/>
      <c r="C48" s="98"/>
      <c r="D48" s="98"/>
      <c r="E48" s="98"/>
      <c r="F48" s="98"/>
      <c r="G48" s="98"/>
      <c r="H48" s="98"/>
      <c r="I48" s="98"/>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54"/>
      <c r="B49" s="98"/>
      <c r="C49" s="98"/>
      <c r="D49" s="98"/>
      <c r="E49" s="98"/>
      <c r="F49" s="98"/>
      <c r="G49" s="98"/>
      <c r="H49" s="98"/>
      <c r="I49" s="98"/>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8"/>
      <c r="B50" s="98"/>
      <c r="C50" s="98"/>
      <c r="D50" s="98"/>
      <c r="E50" s="98"/>
      <c r="F50" s="98"/>
      <c r="G50" s="98"/>
      <c r="H50" s="98"/>
      <c r="I50" s="98"/>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8"/>
      <c r="B51" s="98"/>
      <c r="C51" s="98"/>
      <c r="D51" s="98"/>
      <c r="E51" s="98"/>
      <c r="F51" s="98"/>
      <c r="G51" s="98"/>
      <c r="H51" s="98"/>
      <c r="I51" s="98"/>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8"/>
      <c r="B52" s="98"/>
      <c r="C52" s="98"/>
      <c r="D52" s="98"/>
      <c r="E52" s="98"/>
      <c r="F52" s="98"/>
      <c r="G52" s="98"/>
      <c r="H52" s="98"/>
      <c r="I52" s="98"/>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8"/>
      <c r="B53" s="98"/>
      <c r="C53" s="98"/>
      <c r="D53" s="98"/>
      <c r="E53" s="98"/>
      <c r="F53" s="98"/>
      <c r="G53" s="98"/>
      <c r="H53" s="98"/>
      <c r="I53" s="98"/>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8"/>
      <c r="B54" s="98"/>
      <c r="C54" s="98"/>
      <c r="D54" s="98"/>
      <c r="E54" s="98"/>
      <c r="F54" s="98"/>
      <c r="G54" s="98"/>
      <c r="H54" s="98"/>
      <c r="I54" s="98"/>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8"/>
      <c r="B55" s="98"/>
      <c r="C55" s="98"/>
      <c r="D55" s="98"/>
      <c r="E55" s="98"/>
      <c r="F55" s="98"/>
      <c r="G55" s="98"/>
      <c r="H55" s="98"/>
      <c r="I55" s="98"/>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8"/>
      <c r="B56" s="98"/>
      <c r="C56" s="98"/>
      <c r="D56" s="98"/>
      <c r="E56" s="98"/>
      <c r="F56" s="98"/>
      <c r="G56" s="98"/>
      <c r="H56" s="98"/>
      <c r="I56" s="98"/>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8"/>
      <c r="B57" s="98"/>
      <c r="C57" s="98"/>
      <c r="D57" s="98"/>
      <c r="E57" s="98"/>
      <c r="F57" s="98"/>
      <c r="G57" s="98"/>
      <c r="H57" s="98"/>
      <c r="I57" s="98"/>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98"/>
      <c r="B58" s="98"/>
      <c r="C58" s="98"/>
      <c r="D58" s="98"/>
      <c r="E58" s="98"/>
      <c r="F58" s="98"/>
      <c r="G58" s="98"/>
      <c r="H58" s="98"/>
      <c r="I58" s="98"/>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98"/>
      <c r="B59" s="98"/>
      <c r="C59" s="98"/>
      <c r="D59" s="98"/>
      <c r="E59" s="98"/>
      <c r="F59" s="98"/>
      <c r="G59" s="98"/>
      <c r="H59" s="98"/>
      <c r="I59" s="98"/>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98"/>
      <c r="B60" s="98"/>
      <c r="C60" s="98"/>
      <c r="D60" s="98"/>
      <c r="E60" s="98"/>
      <c r="F60" s="98"/>
      <c r="G60" s="98"/>
      <c r="H60" s="98"/>
      <c r="I60" s="98"/>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392</v>
      </c>
    </row>
  </sheetData>
  <sheetProtection/>
  <conditionalFormatting sqref="B15:B16">
    <cfRule type="cellIs" priority="6" dxfId="13" operator="notEqual">
      <formula>0</formula>
    </cfRule>
  </conditionalFormatting>
  <conditionalFormatting sqref="C15:C16">
    <cfRule type="cellIs" priority="5" dxfId="13" operator="notEqual">
      <formula>0</formula>
    </cfRule>
  </conditionalFormatting>
  <conditionalFormatting sqref="D15:D16">
    <cfRule type="cellIs" priority="4" dxfId="13" operator="notEqual">
      <formula>0</formula>
    </cfRule>
  </conditionalFormatting>
  <conditionalFormatting sqref="E15:I16">
    <cfRule type="cellIs" priority="3" dxfId="13" operator="notEqual">
      <formula>0</formula>
    </cfRule>
  </conditionalFormatting>
  <conditionalFormatting sqref="B31:I32">
    <cfRule type="cellIs" priority="2" dxfId="13" operator="notEqual">
      <formula>0</formula>
    </cfRule>
  </conditionalFormatting>
  <conditionalFormatting sqref="B47:I47">
    <cfRule type="cellIs" priority="1" dxfId="13"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B1" sqref="B1"/>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Quarterly series 2021-2022</v>
      </c>
      <c r="D2" s="2"/>
      <c r="E2" s="2"/>
      <c r="F2" s="5">
        <v>8</v>
      </c>
    </row>
    <row r="3" spans="2:5" ht="23.25" customHeight="1">
      <c r="B3" s="2"/>
      <c r="C3" s="3"/>
      <c r="D3" s="2"/>
      <c r="E3" s="2"/>
    </row>
    <row r="4" spans="1:7" ht="23.25" customHeight="1">
      <c r="A4" s="6"/>
      <c r="B4" s="2"/>
      <c r="C4" s="7" t="str">
        <f>HLOOKUP($F$2,Nombres!$C$3:$D$636,3,FALSE)</f>
        <v>BBVA Group</v>
      </c>
      <c r="D4" s="8"/>
      <c r="E4" s="2" t="b">
        <v>0</v>
      </c>
      <c r="G4" s="9"/>
    </row>
    <row r="5" spans="2:7" ht="23.25" customHeight="1">
      <c r="B5" s="2"/>
      <c r="C5" s="10" t="str">
        <f>HLOOKUP($F$2,Nombres!$C$3:$D$636,4,FALSE)</f>
        <v>Consolidated income statement</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Consolidated balance sheet</v>
      </c>
      <c r="D7" s="2"/>
      <c r="E7" s="2"/>
      <c r="G7" s="9"/>
    </row>
    <row r="8" spans="2:7" ht="23.25" customHeight="1">
      <c r="B8" s="11"/>
      <c r="C8" s="7" t="str">
        <f>HLOOKUP($F$2,Nombres!$C$3:$D$636,6,FALSE)</f>
        <v>Business areas</v>
      </c>
      <c r="D8" s="11"/>
      <c r="E8" s="11" t="b">
        <v>0</v>
      </c>
      <c r="F8" s="12"/>
      <c r="G8" s="13"/>
    </row>
    <row r="9" spans="1:7" s="16" customFormat="1" ht="23.25" customHeight="1">
      <c r="A9" s="1"/>
      <c r="B9" s="14"/>
      <c r="C9" s="240" t="str">
        <f>HLOOKUP($F$2,Nombres!$C$3:$D$636,7,FALSE)</f>
        <v>Spain</v>
      </c>
      <c r="D9" s="14"/>
      <c r="E9" s="14" t="b">
        <v>1</v>
      </c>
      <c r="F9" s="1" t="b">
        <f aca="true" t="shared" si="0" ref="F9:F19">OR($E$8,E9)</f>
        <v>1</v>
      </c>
      <c r="G9" s="15"/>
    </row>
    <row r="10" spans="1:7" ht="23.25" customHeight="1">
      <c r="A10" s="17"/>
      <c r="B10" s="2"/>
      <c r="C10" s="10" t="str">
        <f>HLOOKUP($F$2,Nombres!$C$3:$D$636,11,FALSE)</f>
        <v>Mexico</v>
      </c>
      <c r="D10" s="2"/>
      <c r="E10" s="2" t="b">
        <v>1</v>
      </c>
      <c r="F10" s="1" t="b">
        <f t="shared" si="0"/>
        <v>1</v>
      </c>
      <c r="G10" s="9"/>
    </row>
    <row r="11" spans="2:7" ht="23.25" customHeight="1">
      <c r="B11" s="2"/>
      <c r="C11" s="10" t="str">
        <f>HLOOKUP($F$2,Nombres!$C$3:$D$636,12,FALSE)</f>
        <v>Turkey </v>
      </c>
      <c r="D11" s="2"/>
      <c r="E11" s="2" t="b">
        <v>1</v>
      </c>
      <c r="F11" s="1" t="b">
        <f t="shared" si="0"/>
        <v>1</v>
      </c>
      <c r="G11" s="9"/>
    </row>
    <row r="12" spans="1:7" ht="23.25" customHeight="1">
      <c r="A12" s="18"/>
      <c r="B12" s="2"/>
      <c r="C12" s="10" t="str">
        <f>HLOOKUP($F$2,Nombres!$C$3:$D$636,13,FALSE)</f>
        <v>South America</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Peru</v>
      </c>
      <c r="D16" s="22"/>
      <c r="E16" s="2" t="b">
        <v>1</v>
      </c>
      <c r="F16" s="20" t="b">
        <f t="shared" si="0"/>
        <v>1</v>
      </c>
      <c r="G16" s="21"/>
    </row>
    <row r="17" spans="2:7" ht="23.25" customHeight="1">
      <c r="B17" s="2"/>
      <c r="C17" s="10" t="str">
        <f>HLOOKUP($F$2,Nombres!$C$3:$D$636,263,FALSE)</f>
        <v>Rest of Business</v>
      </c>
      <c r="D17" s="22"/>
      <c r="E17" s="2" t="b">
        <v>0</v>
      </c>
      <c r="F17" s="1" t="b">
        <f t="shared" si="0"/>
        <v>0</v>
      </c>
      <c r="G17" s="9"/>
    </row>
    <row r="18" spans="2:7" ht="21.75" customHeight="1">
      <c r="B18" s="2"/>
      <c r="C18" s="10" t="str">
        <f>HLOOKUP($F$2,Nombres!$C$3:$D$636,19,FALSE)</f>
        <v>Corporate Center </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Additional information:</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Annex:</v>
      </c>
      <c r="D22" s="2"/>
      <c r="E22" s="2" t="b">
        <v>0</v>
      </c>
      <c r="F22" s="1" t="b">
        <f>OR($E$8,E22)</f>
        <v>0</v>
      </c>
      <c r="G22" s="9"/>
      <c r="H22" s="1"/>
      <c r="I22" s="1"/>
      <c r="J22" s="1"/>
      <c r="K22" s="1"/>
    </row>
    <row r="23" spans="2:7" ht="23.25" customHeight="1">
      <c r="B23" s="2"/>
      <c r="C23" s="25" t="str">
        <f>HLOOKUP($F$2,Nombres!$C$3:$D$636,23,FALSE)</f>
        <v>Efficiency</v>
      </c>
      <c r="D23" s="22"/>
      <c r="E23" s="2"/>
      <c r="G23" s="9"/>
    </row>
    <row r="24" spans="2:7" ht="23.25" customHeight="1">
      <c r="B24" s="2"/>
      <c r="C24" s="25" t="str">
        <f>HLOOKUP($F$2,Nombres!$C$3:$D$636,24,FALSE)</f>
        <v>NPL, coverage ratios and cost of risk</v>
      </c>
      <c r="D24" s="22"/>
      <c r="E24" s="2"/>
      <c r="G24" s="9"/>
    </row>
    <row r="25" spans="2:7" ht="23.25" customHeight="1">
      <c r="B25" s="2"/>
      <c r="C25" s="25" t="str">
        <f>HLOOKUP($F$2,Nombres!$C$3:$D$636,25,FALSE)</f>
        <v>Branches, employees and atm´s</v>
      </c>
      <c r="D25" s="22"/>
      <c r="E25" s="2"/>
      <c r="G25" s="9"/>
    </row>
    <row r="26" spans="2:7" ht="23.25" customHeight="1">
      <c r="B26" s="2"/>
      <c r="C26" s="25" t="str">
        <f>HLOOKUP($F$2,Nombres!$C$3:$D$636,26,FALSE)</f>
        <v>Exchange rates</v>
      </c>
      <c r="D26" s="14"/>
      <c r="E26" s="2"/>
      <c r="G26" s="9"/>
    </row>
    <row r="27" spans="2:11" ht="22.5" customHeight="1">
      <c r="B27" s="14"/>
      <c r="C27" s="25" t="str">
        <f>HLOOKUP($F$2,Nombres!$C$3:$D$636,27,FALSE)</f>
        <v>Customer Spreads</v>
      </c>
      <c r="D27" s="2"/>
      <c r="E27" s="14" t="b">
        <v>0</v>
      </c>
      <c r="F27" s="1" t="b">
        <f aca="true" t="shared" si="1" ref="F27:F34">OR($E$26,E27)</f>
        <v>0</v>
      </c>
      <c r="G27" s="15"/>
      <c r="H27" s="16"/>
      <c r="I27" s="16"/>
      <c r="J27" s="16"/>
      <c r="K27" s="16"/>
    </row>
    <row r="28" spans="2:11" ht="22.5" customHeight="1">
      <c r="B28" s="26"/>
      <c r="C28" s="25" t="str">
        <f>HLOOKUP($F$2,Nombres!$C$3:$D$636,28,FALSE)</f>
        <v>Risk-weighted assets. Breakdown by business areas and main countries</v>
      </c>
      <c r="D28" s="2"/>
      <c r="E28" s="26" t="b">
        <v>0</v>
      </c>
      <c r="F28" s="24" t="b">
        <f t="shared" si="1"/>
        <v>0</v>
      </c>
      <c r="G28" s="27"/>
      <c r="H28" s="24"/>
      <c r="I28" s="24"/>
      <c r="J28" s="24"/>
      <c r="K28" s="24"/>
    </row>
    <row r="29" spans="2:7" ht="23.25" customHeight="1">
      <c r="B29" s="2"/>
      <c r="C29" s="25" t="str">
        <f>HLOOKUP($F$2,Nombres!$C$3:$D$636,29,FALSE)</f>
        <v>Breakdown of performing loans under management</v>
      </c>
      <c r="D29" s="2"/>
      <c r="E29" s="2" t="b">
        <v>0</v>
      </c>
      <c r="F29" s="1" t="b">
        <f t="shared" si="1"/>
        <v>0</v>
      </c>
      <c r="G29" s="9"/>
    </row>
    <row r="30" spans="2:7" ht="23.25" customHeight="1">
      <c r="B30" s="2"/>
      <c r="C30" s="25" t="str">
        <f>HLOOKUP($F$2,Nombres!$C$3:$D$636,120,FALSE)</f>
        <v>Breakdown of customer funds under management</v>
      </c>
      <c r="D30" s="2"/>
      <c r="E30" s="2" t="b">
        <v>0</v>
      </c>
      <c r="F30" s="1" t="b">
        <f t="shared" si="1"/>
        <v>0</v>
      </c>
      <c r="G30" s="9"/>
    </row>
    <row r="31" spans="2:6" ht="23.25" customHeight="1">
      <c r="B31" s="2"/>
      <c r="C31" s="25" t="str">
        <f>HLOOKUP($F$2,Nombres!$C$3:$D$636,242,FALSE)</f>
        <v>ALCO Portfolio</v>
      </c>
      <c r="D31" s="14"/>
      <c r="E31" s="2" t="b">
        <v>1</v>
      </c>
      <c r="F31" s="1" t="b">
        <f t="shared" si="1"/>
        <v>1</v>
      </c>
    </row>
    <row r="32" spans="2:6" ht="23.25" customHeight="1">
      <c r="B32" s="2"/>
      <c r="C32" s="3"/>
      <c r="D32" s="26"/>
      <c r="E32" s="2" t="b">
        <v>0</v>
      </c>
      <c r="F32" s="1" t="b">
        <f t="shared" si="1"/>
        <v>0</v>
      </c>
    </row>
    <row r="33" spans="2:6" ht="23.25" customHeight="1">
      <c r="B33" s="2"/>
      <c r="C33" s="268"/>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299"/>
      <c r="D37" s="299"/>
      <c r="E37" s="299"/>
      <c r="F37" s="299"/>
      <c r="G37" s="299"/>
      <c r="H37" s="299"/>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1"/>
    </row>
    <row r="1003" ht="23.25" customHeight="1">
      <c r="A1003" s="1" t="s">
        <v>392</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80" customWidth="1"/>
    <col min="2" max="7" width="10.7109375" style="180" customWidth="1"/>
    <col min="8" max="9" width="10.7109375" style="180" hidden="1" customWidth="1"/>
    <col min="10" max="13" width="11.57421875" style="180" customWidth="1"/>
    <col min="14" max="255" width="11.421875" style="180" customWidth="1"/>
  </cols>
  <sheetData>
    <row r="1" spans="1:9" ht="19.5">
      <c r="A1" s="94" t="str">
        <f>HLOOKUP(INDICE!$F$2,Nombres!$C$3:$D$636,171,FALSE)</f>
        <v>Customer Spreads (*)</v>
      </c>
      <c r="B1" s="179"/>
      <c r="C1" s="179"/>
      <c r="D1" s="179"/>
      <c r="E1" s="179"/>
      <c r="F1" s="179"/>
      <c r="G1" s="255"/>
      <c r="H1" s="255"/>
      <c r="I1" s="255"/>
    </row>
    <row r="2" spans="1:9" ht="19.5">
      <c r="A2" s="181" t="str">
        <f>HLOOKUP(INDICE!$F$2,Nombres!$C$3:$D$636,172,FALSE)</f>
        <v>(Percentage)</v>
      </c>
      <c r="B2" s="182"/>
      <c r="C2" s="182"/>
      <c r="D2" s="182"/>
      <c r="E2" s="182"/>
      <c r="F2" s="182"/>
      <c r="G2" s="183"/>
      <c r="H2" s="183"/>
      <c r="I2" s="183"/>
    </row>
    <row r="3" spans="1:9" ht="15.75">
      <c r="A3" s="183"/>
      <c r="B3" s="304">
        <f>+España!B6</f>
        <v>2021</v>
      </c>
      <c r="C3" s="304"/>
      <c r="D3" s="304"/>
      <c r="E3" s="304"/>
      <c r="F3" s="304">
        <f>+España!F6</f>
        <v>2022</v>
      </c>
      <c r="G3" s="304"/>
      <c r="H3" s="304"/>
      <c r="I3" s="304"/>
    </row>
    <row r="4" spans="1:9" ht="15.75">
      <c r="A4" s="144"/>
      <c r="B4" s="184" t="str">
        <f>HLOOKUP(INDICE!$F$2,Nombres!$C$3:$D$636,167,FALSE)</f>
        <v>1Q</v>
      </c>
      <c r="C4" s="184" t="str">
        <f>HLOOKUP(INDICE!$F$2,Nombres!$C$3:$D$636,168,FALSE)</f>
        <v>2Q</v>
      </c>
      <c r="D4" s="184" t="str">
        <f>HLOOKUP(INDICE!$F$2,Nombres!$C$3:$D$636,169,FALSE)</f>
        <v>3Q</v>
      </c>
      <c r="E4" s="184" t="str">
        <f>HLOOKUP(INDICE!$F$2,Nombres!$C$3:$D$636,170,FALSE)</f>
        <v>4Q</v>
      </c>
      <c r="F4" s="184" t="str">
        <f>HLOOKUP(INDICE!$F$2,Nombres!$C$3:$D$636,167,FALSE)</f>
        <v>1Q</v>
      </c>
      <c r="G4" s="184" t="str">
        <f>HLOOKUP(INDICE!$F$2,Nombres!$C$3:$D$636,168,FALSE)</f>
        <v>2Q</v>
      </c>
      <c r="H4" s="184" t="str">
        <f>HLOOKUP(INDICE!$F$2,Nombres!$C$3:$D$636,169,FALSE)</f>
        <v>3Q</v>
      </c>
      <c r="I4" s="184" t="str">
        <f>HLOOKUP(INDICE!$F$2,Nombres!$C$3:$D$636,170,FALSE)</f>
        <v>4Q</v>
      </c>
    </row>
    <row r="5" spans="1:9" ht="15">
      <c r="A5" s="144"/>
      <c r="B5" s="101"/>
      <c r="C5" s="101"/>
      <c r="D5" s="101"/>
      <c r="E5" s="101"/>
      <c r="F5" s="101"/>
      <c r="G5" s="183"/>
      <c r="H5" s="183"/>
      <c r="I5" s="183"/>
    </row>
    <row r="6" spans="1:30" ht="15">
      <c r="A6" s="185" t="str">
        <f>HLOOKUP(INDICE!$F$2,Nombres!$C$3:$D$636,173,FALSE)</f>
        <v>Lending Yield</v>
      </c>
      <c r="B6" s="186">
        <v>0.017671795676112517</v>
      </c>
      <c r="C6" s="186">
        <v>0.017491607684414313</v>
      </c>
      <c r="D6" s="186">
        <v>0.017416715373765327</v>
      </c>
      <c r="E6" s="186">
        <v>0.017264739259598025</v>
      </c>
      <c r="F6" s="186">
        <v>0.017100471610330813</v>
      </c>
      <c r="G6" s="186">
        <v>0.0174293725158536</v>
      </c>
      <c r="H6" s="186">
        <v>0</v>
      </c>
      <c r="I6" s="186">
        <v>0</v>
      </c>
      <c r="J6" s="295"/>
      <c r="K6" s="292"/>
      <c r="L6" s="292"/>
      <c r="M6" s="292"/>
      <c r="O6" s="187"/>
      <c r="P6" s="187"/>
      <c r="Q6" s="187"/>
      <c r="R6" s="187"/>
      <c r="W6" s="187"/>
      <c r="X6" s="187"/>
      <c r="Y6" s="187"/>
      <c r="Z6" s="187"/>
      <c r="AA6" s="187"/>
      <c r="AB6" s="187"/>
      <c r="AC6" s="187"/>
      <c r="AD6" s="187"/>
    </row>
    <row r="7" spans="1:30" ht="15">
      <c r="A7" s="185" t="str">
        <f>HLOOKUP(INDICE!$F$2,Nombres!$C$3:$D$636,174,FALSE)</f>
        <v>Cost of deposits</v>
      </c>
      <c r="B7" s="186">
        <v>-2.8855582289337086E-06</v>
      </c>
      <c r="C7" s="186">
        <v>6.313180380963709E-05</v>
      </c>
      <c r="D7" s="186">
        <v>5.955099791106753E-05</v>
      </c>
      <c r="E7" s="186">
        <v>4.1103154803061946E-05</v>
      </c>
      <c r="F7" s="186">
        <v>-4.121262380617316E-05</v>
      </c>
      <c r="G7" s="186">
        <v>-0.000272600466156169</v>
      </c>
      <c r="H7" s="186">
        <v>0</v>
      </c>
      <c r="I7" s="186">
        <v>0</v>
      </c>
      <c r="J7" s="295"/>
      <c r="K7" s="292"/>
      <c r="L7" s="292"/>
      <c r="M7" s="292"/>
      <c r="O7" s="187"/>
      <c r="P7" s="187"/>
      <c r="Q7" s="187"/>
      <c r="R7" s="187"/>
      <c r="W7" s="187"/>
      <c r="X7" s="187"/>
      <c r="Y7" s="187"/>
      <c r="Z7" s="187"/>
      <c r="AA7" s="187"/>
      <c r="AB7" s="187"/>
      <c r="AC7" s="187"/>
      <c r="AD7" s="187"/>
    </row>
    <row r="8" spans="1:30" ht="15">
      <c r="A8" s="188" t="str">
        <f>HLOOKUP(INDICE!$F$2,Nombres!$C$3:$D$636,175,FALSE)</f>
        <v>Banking activity in Spain</v>
      </c>
      <c r="B8" s="189">
        <v>0.017668910117883584</v>
      </c>
      <c r="C8" s="189">
        <v>0.01755473948822395</v>
      </c>
      <c r="D8" s="189">
        <v>0.017476266371676395</v>
      </c>
      <c r="E8" s="189">
        <v>0.017305842414401088</v>
      </c>
      <c r="F8" s="189">
        <v>0.01705925898652464</v>
      </c>
      <c r="G8" s="189">
        <v>0.01715677204969743</v>
      </c>
      <c r="H8" s="189">
        <v>0</v>
      </c>
      <c r="I8" s="189">
        <v>0</v>
      </c>
      <c r="J8" s="295"/>
      <c r="K8" s="292"/>
      <c r="L8" s="292"/>
      <c r="M8" s="292"/>
      <c r="O8" s="187"/>
      <c r="P8" s="187"/>
      <c r="Q8" s="187"/>
      <c r="R8" s="187"/>
      <c r="W8" s="187"/>
      <c r="X8" s="187"/>
      <c r="Y8" s="187"/>
      <c r="Z8" s="187"/>
      <c r="AA8" s="187"/>
      <c r="AB8" s="187"/>
      <c r="AC8" s="187"/>
      <c r="AD8" s="187"/>
    </row>
    <row r="9" spans="1:30" ht="15">
      <c r="A9" s="144"/>
      <c r="B9" s="190"/>
      <c r="C9" s="190"/>
      <c r="D9" s="190"/>
      <c r="E9" s="190"/>
      <c r="F9" s="190"/>
      <c r="G9" s="190"/>
      <c r="H9" s="190"/>
      <c r="I9" s="190"/>
      <c r="O9" s="187"/>
      <c r="P9" s="187"/>
      <c r="Q9" s="187"/>
      <c r="R9" s="187"/>
      <c r="W9" s="187"/>
      <c r="X9" s="187"/>
      <c r="Y9" s="187"/>
      <c r="Z9" s="187"/>
      <c r="AA9" s="187"/>
      <c r="AB9" s="187"/>
      <c r="AC9" s="187"/>
      <c r="AD9" s="187"/>
    </row>
    <row r="10" spans="1:30" ht="15">
      <c r="A10" s="185" t="str">
        <f>HLOOKUP(INDICE!$F$2,Nombres!$C$3:$D$636,173,FALSE)</f>
        <v>Lending Yield</v>
      </c>
      <c r="B10" s="186">
        <v>0.12202723800358595</v>
      </c>
      <c r="C10" s="186">
        <v>0.12105006870837849</v>
      </c>
      <c r="D10" s="186">
        <v>0.12313056053581566</v>
      </c>
      <c r="E10" s="186">
        <v>0.12486746569572679</v>
      </c>
      <c r="F10" s="186">
        <v>0.12791434793621811</v>
      </c>
      <c r="G10" s="186">
        <v>0.1330929827154512</v>
      </c>
      <c r="H10" s="186">
        <v>0</v>
      </c>
      <c r="I10" s="186">
        <v>0</v>
      </c>
      <c r="J10" s="295"/>
      <c r="K10" s="292"/>
      <c r="L10" s="292"/>
      <c r="M10" s="292"/>
      <c r="O10" s="187"/>
      <c r="P10" s="187"/>
      <c r="Q10" s="187"/>
      <c r="R10" s="187"/>
      <c r="W10" s="187"/>
      <c r="X10" s="187"/>
      <c r="Y10" s="187"/>
      <c r="Z10" s="187"/>
      <c r="AA10" s="187"/>
      <c r="AB10" s="187"/>
      <c r="AC10" s="187"/>
      <c r="AD10" s="187"/>
    </row>
    <row r="11" spans="1:30" ht="15">
      <c r="A11" s="185" t="str">
        <f>HLOOKUP(INDICE!$F$2,Nombres!$C$3:$D$636,174,FALSE)</f>
        <v>Cost of deposits</v>
      </c>
      <c r="B11" s="186">
        <v>-0.01206963717892306</v>
      </c>
      <c r="C11" s="186">
        <v>-0.011008080465674414</v>
      </c>
      <c r="D11" s="186">
        <v>-0.011480515447492708</v>
      </c>
      <c r="E11" s="186">
        <v>-0.0125804918305472</v>
      </c>
      <c r="F11" s="186">
        <v>-0.01424762298179531</v>
      </c>
      <c r="G11" s="186">
        <v>-0.016749668729310278</v>
      </c>
      <c r="H11" s="186">
        <v>0</v>
      </c>
      <c r="I11" s="186">
        <v>0</v>
      </c>
      <c r="J11" s="295"/>
      <c r="K11" s="292"/>
      <c r="L11" s="292"/>
      <c r="M11" s="292"/>
      <c r="O11" s="187"/>
      <c r="P11" s="187"/>
      <c r="Q11" s="187"/>
      <c r="R11" s="187"/>
      <c r="W11" s="187"/>
      <c r="X11" s="187"/>
      <c r="Y11" s="187"/>
      <c r="Z11" s="187"/>
      <c r="AA11" s="187"/>
      <c r="AB11" s="187"/>
      <c r="AC11" s="187"/>
      <c r="AD11" s="187"/>
    </row>
    <row r="12" spans="1:30" ht="15">
      <c r="A12" s="188" t="str">
        <f>HLOOKUP(INDICE!$F$2,Nombres!$C$3:$D$636,177,FALSE)</f>
        <v>Mexico MXN</v>
      </c>
      <c r="B12" s="189">
        <v>0.10995760082466288</v>
      </c>
      <c r="C12" s="189">
        <v>0.11004198824270407</v>
      </c>
      <c r="D12" s="189">
        <v>0.11165004508832295</v>
      </c>
      <c r="E12" s="189">
        <v>0.11228697386517959</v>
      </c>
      <c r="F12" s="189">
        <v>0.1136667249544228</v>
      </c>
      <c r="G12" s="189">
        <v>0.11634331398614092</v>
      </c>
      <c r="H12" s="189">
        <v>0</v>
      </c>
      <c r="I12" s="189">
        <v>0</v>
      </c>
      <c r="J12" s="295"/>
      <c r="K12" s="292"/>
      <c r="L12" s="292"/>
      <c r="M12" s="292"/>
      <c r="O12" s="187"/>
      <c r="P12" s="187"/>
      <c r="Q12" s="187"/>
      <c r="R12" s="187"/>
      <c r="W12" s="187"/>
      <c r="X12" s="187"/>
      <c r="Y12" s="187"/>
      <c r="Z12" s="187"/>
      <c r="AA12" s="187"/>
      <c r="AB12" s="187"/>
      <c r="AC12" s="187"/>
      <c r="AD12" s="187"/>
    </row>
    <row r="13" spans="1:30" ht="15">
      <c r="A13" s="144"/>
      <c r="B13" s="190"/>
      <c r="C13" s="190"/>
      <c r="D13" s="190"/>
      <c r="E13" s="190"/>
      <c r="F13" s="190"/>
      <c r="G13" s="190"/>
      <c r="H13" s="190"/>
      <c r="I13" s="190"/>
      <c r="O13" s="187"/>
      <c r="P13" s="187"/>
      <c r="Q13" s="187"/>
      <c r="R13" s="187"/>
      <c r="W13" s="187"/>
      <c r="X13" s="187"/>
      <c r="Y13" s="187"/>
      <c r="Z13" s="187"/>
      <c r="AA13" s="187"/>
      <c r="AB13" s="187"/>
      <c r="AC13" s="187"/>
      <c r="AD13" s="187"/>
    </row>
    <row r="14" spans="1:30" ht="15">
      <c r="A14" s="185" t="str">
        <f>HLOOKUP(INDICE!$F$2,Nombres!$C$3:$D$636,173,FALSE)</f>
        <v>Lending Yield</v>
      </c>
      <c r="B14" s="190">
        <v>0.030174382296457917</v>
      </c>
      <c r="C14" s="190">
        <v>0.029770912407578586</v>
      </c>
      <c r="D14" s="190">
        <v>0.02950139897040329</v>
      </c>
      <c r="E14" s="190">
        <v>0.02897582242199459</v>
      </c>
      <c r="F14" s="190">
        <v>0.02964671805327852</v>
      </c>
      <c r="G14" s="190">
        <v>0.033828643923429984</v>
      </c>
      <c r="H14" s="190">
        <v>0</v>
      </c>
      <c r="I14" s="190">
        <v>0</v>
      </c>
      <c r="O14" s="187"/>
      <c r="P14" s="187"/>
      <c r="Q14" s="187"/>
      <c r="R14" s="187"/>
      <c r="W14" s="187"/>
      <c r="X14" s="187"/>
      <c r="Y14" s="187"/>
      <c r="Z14" s="187"/>
      <c r="AA14" s="187"/>
      <c r="AB14" s="187"/>
      <c r="AC14" s="187"/>
      <c r="AD14" s="187"/>
    </row>
    <row r="15" spans="1:30" ht="15">
      <c r="A15" s="185" t="str">
        <f>HLOOKUP(INDICE!$F$2,Nombres!$C$3:$D$636,174,FALSE)</f>
        <v>Cost of deposits</v>
      </c>
      <c r="B15" s="190">
        <v>-0.0002822828636173589</v>
      </c>
      <c r="C15" s="190">
        <v>-0.000212496075746828</v>
      </c>
      <c r="D15" s="190">
        <v>-0.00018936801327365524</v>
      </c>
      <c r="E15" s="190">
        <v>-0.0001902538254438967</v>
      </c>
      <c r="F15" s="190">
        <v>-0.0002230968022216293</v>
      </c>
      <c r="G15" s="190">
        <v>-0.00045790858676113456</v>
      </c>
      <c r="H15" s="190">
        <v>0</v>
      </c>
      <c r="I15" s="190">
        <v>0</v>
      </c>
      <c r="O15" s="187"/>
      <c r="P15" s="187"/>
      <c r="Q15" s="187"/>
      <c r="R15" s="187"/>
      <c r="W15" s="187"/>
      <c r="X15" s="187"/>
      <c r="Y15" s="187"/>
      <c r="Z15" s="187"/>
      <c r="AA15" s="187"/>
      <c r="AB15" s="187"/>
      <c r="AC15" s="187"/>
      <c r="AD15" s="187"/>
    </row>
    <row r="16" spans="1:30" ht="15">
      <c r="A16" s="188" t="str">
        <f>HLOOKUP(INDICE!$F$2,Nombres!$C$3:$D$636,178,FALSE)</f>
        <v>Mexico  FC (Foreing currency)</v>
      </c>
      <c r="B16" s="191">
        <v>0.029892099432840557</v>
      </c>
      <c r="C16" s="191">
        <v>0.029558416331831757</v>
      </c>
      <c r="D16" s="191">
        <v>0.029312030957129635</v>
      </c>
      <c r="E16" s="191">
        <v>0.028785568596550695</v>
      </c>
      <c r="F16" s="191">
        <v>0.02942362125105689</v>
      </c>
      <c r="G16" s="191">
        <v>0.03337073533666885</v>
      </c>
      <c r="H16" s="191">
        <v>0</v>
      </c>
      <c r="I16" s="191">
        <v>0</v>
      </c>
      <c r="O16" s="187"/>
      <c r="P16" s="187"/>
      <c r="Q16" s="187"/>
      <c r="R16" s="187"/>
      <c r="W16" s="187"/>
      <c r="X16" s="187"/>
      <c r="Y16" s="187"/>
      <c r="Z16" s="187"/>
      <c r="AA16" s="187"/>
      <c r="AB16" s="187"/>
      <c r="AC16" s="187"/>
      <c r="AD16" s="187"/>
    </row>
    <row r="17" spans="1:30" ht="15">
      <c r="A17" s="144"/>
      <c r="B17" s="190"/>
      <c r="C17" s="190"/>
      <c r="D17" s="190"/>
      <c r="E17" s="190"/>
      <c r="F17" s="190"/>
      <c r="G17" s="190"/>
      <c r="H17" s="190"/>
      <c r="I17" s="190"/>
      <c r="O17" s="187"/>
      <c r="P17" s="187"/>
      <c r="Q17" s="187"/>
      <c r="R17" s="187"/>
      <c r="W17" s="187"/>
      <c r="X17" s="187"/>
      <c r="Y17" s="187"/>
      <c r="Z17" s="187"/>
      <c r="AA17" s="187"/>
      <c r="AB17" s="187"/>
      <c r="AC17" s="187"/>
      <c r="AD17" s="187"/>
    </row>
    <row r="18" spans="1:30" ht="15">
      <c r="A18" s="185" t="str">
        <f>HLOOKUP(INDICE!$F$2,Nombres!$C$3:$D$636,173,FALSE)</f>
        <v>Lending Yield</v>
      </c>
      <c r="B18" s="186">
        <v>0.14296907634056272</v>
      </c>
      <c r="C18" s="186">
        <v>0.1556028031922443</v>
      </c>
      <c r="D18" s="186">
        <v>0.1626449959832971</v>
      </c>
      <c r="E18" s="186">
        <v>0.16480238585276782</v>
      </c>
      <c r="F18" s="186">
        <v>0.17752588226577382</v>
      </c>
      <c r="G18" s="186">
        <v>0.18604372616273018</v>
      </c>
      <c r="H18" s="186">
        <v>0</v>
      </c>
      <c r="I18" s="186">
        <v>0</v>
      </c>
      <c r="J18" s="295"/>
      <c r="K18" s="292"/>
      <c r="L18" s="292"/>
      <c r="M18" s="292"/>
      <c r="O18" s="187"/>
      <c r="P18" s="187"/>
      <c r="Q18" s="187"/>
      <c r="R18" s="187"/>
      <c r="W18" s="187"/>
      <c r="X18" s="187"/>
      <c r="Y18" s="187"/>
      <c r="Z18" s="187"/>
      <c r="AA18" s="187"/>
      <c r="AB18" s="187"/>
      <c r="AC18" s="187"/>
      <c r="AD18" s="187"/>
    </row>
    <row r="19" spans="1:30" ht="15">
      <c r="A19" s="185" t="str">
        <f>HLOOKUP(INDICE!$F$2,Nombres!$C$3:$D$636,174,FALSE)</f>
        <v>Cost of deposits</v>
      </c>
      <c r="B19" s="186">
        <v>-0.11751316698854768</v>
      </c>
      <c r="C19" s="186">
        <v>-0.12680247724077123</v>
      </c>
      <c r="D19" s="186">
        <v>-0.12832951194832729</v>
      </c>
      <c r="E19" s="186">
        <v>-0.11589034648448437</v>
      </c>
      <c r="F19" s="186">
        <v>-0.12530942865274364</v>
      </c>
      <c r="G19" s="186">
        <v>-0.11952532280685943</v>
      </c>
      <c r="H19" s="186">
        <v>0</v>
      </c>
      <c r="I19" s="186">
        <v>0</v>
      </c>
      <c r="J19" s="295"/>
      <c r="K19" s="292"/>
      <c r="L19" s="292"/>
      <c r="M19" s="292"/>
      <c r="O19" s="187"/>
      <c r="P19" s="187"/>
      <c r="Q19" s="187"/>
      <c r="R19" s="187"/>
      <c r="W19" s="187"/>
      <c r="X19" s="187"/>
      <c r="Y19" s="187"/>
      <c r="Z19" s="187"/>
      <c r="AA19" s="187"/>
      <c r="AB19" s="187"/>
      <c r="AC19" s="187"/>
      <c r="AD19" s="187"/>
    </row>
    <row r="20" spans="1:30" ht="15">
      <c r="A20" s="188" t="str">
        <f>HLOOKUP(INDICE!$F$2,Nombres!$C$3:$D$636,179,FALSE)</f>
        <v>Turkey TRY</v>
      </c>
      <c r="B20" s="189">
        <v>0.02545590935201504</v>
      </c>
      <c r="C20" s="189">
        <v>0.028800325951473055</v>
      </c>
      <c r="D20" s="189">
        <v>0.03431548403496981</v>
      </c>
      <c r="E20" s="189">
        <v>0.04891203936828345</v>
      </c>
      <c r="F20" s="189">
        <v>0.05221645361303018</v>
      </c>
      <c r="G20" s="189">
        <v>0.06651840335587075</v>
      </c>
      <c r="H20" s="189">
        <v>0</v>
      </c>
      <c r="I20" s="189">
        <v>0</v>
      </c>
      <c r="J20" s="295"/>
      <c r="K20" s="292"/>
      <c r="L20" s="292"/>
      <c r="M20" s="292"/>
      <c r="O20" s="187"/>
      <c r="P20" s="187"/>
      <c r="Q20" s="187"/>
      <c r="R20" s="187"/>
      <c r="W20" s="187"/>
      <c r="X20" s="187"/>
      <c r="Y20" s="187"/>
      <c r="Z20" s="187"/>
      <c r="AA20" s="187"/>
      <c r="AB20" s="187"/>
      <c r="AC20" s="187"/>
      <c r="AD20" s="187"/>
    </row>
    <row r="21" spans="1:30" ht="15">
      <c r="A21" s="188"/>
      <c r="B21" s="189"/>
      <c r="C21" s="189"/>
      <c r="D21" s="189"/>
      <c r="E21" s="189"/>
      <c r="F21" s="189"/>
      <c r="G21" s="189"/>
      <c r="H21" s="189"/>
      <c r="I21" s="189"/>
      <c r="J21" s="295"/>
      <c r="K21" s="292"/>
      <c r="L21" s="292"/>
      <c r="M21" s="292"/>
      <c r="O21" s="187"/>
      <c r="P21" s="187"/>
      <c r="Q21" s="187"/>
      <c r="R21" s="187"/>
      <c r="W21" s="187"/>
      <c r="X21" s="187"/>
      <c r="Y21" s="187"/>
      <c r="Z21" s="187"/>
      <c r="AA21" s="187"/>
      <c r="AB21" s="187"/>
      <c r="AC21" s="187"/>
      <c r="AD21" s="187"/>
    </row>
    <row r="22" spans="1:30" ht="15">
      <c r="A22" s="185" t="str">
        <f>HLOOKUP(INDICE!$F$2,Nombres!$C$3:$D$636,173,FALSE)</f>
        <v>Lending Yield</v>
      </c>
      <c r="B22" s="192">
        <v>0.05017027201428375</v>
      </c>
      <c r="C22" s="192">
        <v>0.05039928855800079</v>
      </c>
      <c r="D22" s="192">
        <v>0.048929059926155205</v>
      </c>
      <c r="E22" s="192">
        <v>0.04865460905160399</v>
      </c>
      <c r="F22" s="192">
        <v>0.051878005521567495</v>
      </c>
      <c r="G22" s="192">
        <v>0.06017340203625279</v>
      </c>
      <c r="H22" s="192">
        <v>0</v>
      </c>
      <c r="I22" s="192">
        <v>0</v>
      </c>
      <c r="J22" s="295"/>
      <c r="K22" s="292"/>
      <c r="L22" s="292"/>
      <c r="M22" s="292"/>
      <c r="O22" s="187"/>
      <c r="P22" s="187"/>
      <c r="Q22" s="187"/>
      <c r="R22" s="187"/>
      <c r="W22" s="187"/>
      <c r="X22" s="187"/>
      <c r="Y22" s="187"/>
      <c r="Z22" s="187"/>
      <c r="AA22" s="187"/>
      <c r="AB22" s="187"/>
      <c r="AC22" s="187"/>
      <c r="AD22" s="187"/>
    </row>
    <row r="23" spans="1:30" ht="15">
      <c r="A23" s="185" t="str">
        <f>HLOOKUP(INDICE!$F$2,Nombres!$C$3:$D$636,174,FALSE)</f>
        <v>Cost of deposits</v>
      </c>
      <c r="B23" s="192">
        <v>-0.003909204429493572</v>
      </c>
      <c r="C23" s="192">
        <v>-0.0034245561499075816</v>
      </c>
      <c r="D23" s="192">
        <v>-0.0023701396601340163</v>
      </c>
      <c r="E23" s="192">
        <v>-0.0021495394083072676</v>
      </c>
      <c r="F23" s="192">
        <v>-0.0020077497649421522</v>
      </c>
      <c r="G23" s="192">
        <v>-0.0030379782769070812</v>
      </c>
      <c r="H23" s="192">
        <v>0</v>
      </c>
      <c r="I23" s="192">
        <v>0</v>
      </c>
      <c r="J23" s="295"/>
      <c r="K23" s="292"/>
      <c r="L23" s="292"/>
      <c r="M23" s="292"/>
      <c r="O23" s="187"/>
      <c r="P23" s="187"/>
      <c r="Q23" s="187"/>
      <c r="R23" s="187"/>
      <c r="W23" s="187"/>
      <c r="X23" s="187"/>
      <c r="Y23" s="187"/>
      <c r="Z23" s="187"/>
      <c r="AA23" s="187"/>
      <c r="AB23" s="187"/>
      <c r="AC23" s="187"/>
      <c r="AD23" s="187"/>
    </row>
    <row r="24" spans="1:30" ht="15">
      <c r="A24" s="188" t="str">
        <f>HLOOKUP(INDICE!$F$2,Nombres!$C$3:$D$636,180,FALSE)</f>
        <v>Turkey FC (Foreing currency)</v>
      </c>
      <c r="B24" s="189">
        <v>0.04626106758479018</v>
      </c>
      <c r="C24" s="189">
        <v>0.04697473240809321</v>
      </c>
      <c r="D24" s="189">
        <v>0.04655892026602119</v>
      </c>
      <c r="E24" s="189">
        <v>0.046505069643296724</v>
      </c>
      <c r="F24" s="189">
        <v>0.04987025575662534</v>
      </c>
      <c r="G24" s="189">
        <v>0.05713542375934571</v>
      </c>
      <c r="H24" s="189">
        <v>0</v>
      </c>
      <c r="I24" s="189">
        <v>0</v>
      </c>
      <c r="J24" s="295"/>
      <c r="K24" s="292"/>
      <c r="L24" s="292"/>
      <c r="M24" s="292"/>
      <c r="O24" s="187"/>
      <c r="P24" s="187"/>
      <c r="Q24" s="187"/>
      <c r="R24" s="187"/>
      <c r="W24" s="187"/>
      <c r="X24" s="187"/>
      <c r="Y24" s="187"/>
      <c r="Z24" s="187"/>
      <c r="AA24" s="187"/>
      <c r="AB24" s="187"/>
      <c r="AC24" s="187"/>
      <c r="AD24" s="187"/>
    </row>
    <row r="25" spans="1:30" ht="15">
      <c r="A25" s="144"/>
      <c r="B25" s="190"/>
      <c r="C25" s="190"/>
      <c r="D25" s="190"/>
      <c r="E25" s="190"/>
      <c r="F25" s="190"/>
      <c r="G25" s="190"/>
      <c r="H25" s="190"/>
      <c r="I25" s="190"/>
      <c r="O25" s="187"/>
      <c r="P25" s="187"/>
      <c r="Q25" s="187"/>
      <c r="R25" s="187"/>
      <c r="W25" s="187"/>
      <c r="X25" s="187"/>
      <c r="Y25" s="187"/>
      <c r="Z25" s="187"/>
      <c r="AA25" s="187"/>
      <c r="AB25" s="187"/>
      <c r="AC25" s="187"/>
      <c r="AD25" s="187"/>
    </row>
    <row r="26" spans="1:30" ht="15">
      <c r="A26" s="185" t="str">
        <f>HLOOKUP(INDICE!$F$2,Nombres!$C$3:$D$636,173,FALSE)</f>
        <v>Lending Yield</v>
      </c>
      <c r="B26" s="186">
        <v>0.27287944816889914</v>
      </c>
      <c r="C26" s="186">
        <v>0.2545189075122043</v>
      </c>
      <c r="D26" s="186">
        <v>0.2646468795186635</v>
      </c>
      <c r="E26" s="186">
        <v>0.2743612191968006</v>
      </c>
      <c r="F26" s="186">
        <v>0.2973933995524442</v>
      </c>
      <c r="G26" s="186">
        <v>0.33132658218614175</v>
      </c>
      <c r="H26" s="186">
        <v>0</v>
      </c>
      <c r="I26" s="186">
        <v>0</v>
      </c>
      <c r="J26" s="295"/>
      <c r="K26" s="292"/>
      <c r="L26" s="292"/>
      <c r="M26" s="292"/>
      <c r="O26" s="187"/>
      <c r="P26" s="187"/>
      <c r="Q26" s="187"/>
      <c r="R26" s="187"/>
      <c r="W26" s="187"/>
      <c r="X26" s="187"/>
      <c r="Y26" s="187"/>
      <c r="Z26" s="187"/>
      <c r="AA26" s="187"/>
      <c r="AB26" s="187"/>
      <c r="AC26" s="187"/>
      <c r="AD26" s="187"/>
    </row>
    <row r="27" spans="1:30" ht="15">
      <c r="A27" s="185" t="str">
        <f>HLOOKUP(INDICE!$F$2,Nombres!$C$3:$D$636,174,FALSE)</f>
        <v>Cost of deposits</v>
      </c>
      <c r="B27" s="186">
        <v>-0.11808404827847262</v>
      </c>
      <c r="C27" s="186">
        <v>-0.13245229274081424</v>
      </c>
      <c r="D27" s="186">
        <v>-0.1372979585825155</v>
      </c>
      <c r="E27" s="186">
        <v>-0.1276625198599774</v>
      </c>
      <c r="F27" s="186">
        <v>-0.14988952400084696</v>
      </c>
      <c r="G27" s="186">
        <v>-0.19459625926706398</v>
      </c>
      <c r="H27" s="186">
        <v>0</v>
      </c>
      <c r="I27" s="186">
        <v>0</v>
      </c>
      <c r="J27" s="295"/>
      <c r="K27" s="292"/>
      <c r="L27" s="292"/>
      <c r="M27" s="292"/>
      <c r="O27" s="187"/>
      <c r="P27" s="187"/>
      <c r="Q27" s="187"/>
      <c r="R27" s="187"/>
      <c r="W27" s="187"/>
      <c r="X27" s="187"/>
      <c r="Y27" s="187"/>
      <c r="Z27" s="187"/>
      <c r="AA27" s="187"/>
      <c r="AB27" s="187"/>
      <c r="AC27" s="187"/>
      <c r="AD27" s="187"/>
    </row>
    <row r="28" spans="1:30" ht="15">
      <c r="A28" s="188" t="str">
        <f>HLOOKUP(INDICE!$F$2,Nombres!$C$3:$D$636,181,FALSE)</f>
        <v>Argentina</v>
      </c>
      <c r="B28" s="193">
        <v>0.1547953998904265</v>
      </c>
      <c r="C28" s="193">
        <v>0.12206661477139005</v>
      </c>
      <c r="D28" s="193">
        <v>0.127348920936148</v>
      </c>
      <c r="E28" s="193">
        <v>0.14669869933682322</v>
      </c>
      <c r="F28" s="193">
        <v>0.14750387555159725</v>
      </c>
      <c r="G28" s="193">
        <v>0.13673032291907777</v>
      </c>
      <c r="H28" s="193">
        <v>0</v>
      </c>
      <c r="I28" s="193">
        <v>0</v>
      </c>
      <c r="J28" s="295"/>
      <c r="K28" s="292"/>
      <c r="L28" s="292"/>
      <c r="M28" s="292"/>
      <c r="O28" s="187"/>
      <c r="P28" s="187"/>
      <c r="Q28" s="187"/>
      <c r="R28" s="187"/>
      <c r="W28" s="187"/>
      <c r="X28" s="187"/>
      <c r="Y28" s="187"/>
      <c r="Z28" s="187"/>
      <c r="AA28" s="187"/>
      <c r="AB28" s="187"/>
      <c r="AC28" s="187"/>
      <c r="AD28" s="187"/>
    </row>
    <row r="29" spans="1:30" ht="15">
      <c r="A29" s="144"/>
      <c r="B29" s="190"/>
      <c r="C29" s="190"/>
      <c r="D29" s="190"/>
      <c r="E29" s="190"/>
      <c r="F29" s="190"/>
      <c r="G29" s="190"/>
      <c r="H29" s="190"/>
      <c r="I29" s="190"/>
      <c r="O29" s="187"/>
      <c r="P29" s="187"/>
      <c r="Q29" s="187"/>
      <c r="R29" s="187"/>
      <c r="W29" s="187"/>
      <c r="X29" s="187"/>
      <c r="Y29" s="187"/>
      <c r="Z29" s="187"/>
      <c r="AA29" s="187"/>
      <c r="AB29" s="187"/>
      <c r="AC29" s="187"/>
      <c r="AD29" s="187"/>
    </row>
    <row r="30" spans="1:30" ht="15">
      <c r="A30" s="185" t="str">
        <f>HLOOKUP(INDICE!$F$2,Nombres!$C$3:$D$636,173,FALSE)</f>
        <v>Lending Yield</v>
      </c>
      <c r="B30" s="186">
        <v>0.0907840059161003</v>
      </c>
      <c r="C30" s="186">
        <v>0.08721585256993951</v>
      </c>
      <c r="D30" s="186">
        <v>0.0862644469234545</v>
      </c>
      <c r="E30" s="186">
        <v>0.08565940458006299</v>
      </c>
      <c r="F30" s="186">
        <v>0.08900064858658696</v>
      </c>
      <c r="G30" s="186">
        <v>0.09630849130574694</v>
      </c>
      <c r="H30" s="186">
        <v>0</v>
      </c>
      <c r="I30" s="186">
        <v>0</v>
      </c>
      <c r="J30" s="295"/>
      <c r="K30" s="292"/>
      <c r="L30" s="292"/>
      <c r="M30" s="292"/>
      <c r="O30" s="187"/>
      <c r="P30" s="187"/>
      <c r="Q30" s="187"/>
      <c r="R30" s="187"/>
      <c r="W30" s="187"/>
      <c r="X30" s="187"/>
      <c r="Y30" s="187"/>
      <c r="Z30" s="187"/>
      <c r="AA30" s="187"/>
      <c r="AB30" s="187"/>
      <c r="AC30" s="187"/>
      <c r="AD30" s="187"/>
    </row>
    <row r="31" spans="1:30" ht="15">
      <c r="A31" s="185" t="str">
        <f>HLOOKUP(INDICE!$F$2,Nombres!$C$3:$D$636,174,FALSE)</f>
        <v>Cost of deposits</v>
      </c>
      <c r="B31" s="186">
        <v>-0.025658619101376113</v>
      </c>
      <c r="C31" s="186">
        <v>-0.024167549353759893</v>
      </c>
      <c r="D31" s="186">
        <v>-0.024142178980391872</v>
      </c>
      <c r="E31" s="186">
        <v>-0.02448387872201383</v>
      </c>
      <c r="F31" s="186">
        <v>-0.027742387054646944</v>
      </c>
      <c r="G31" s="186">
        <v>-0.038729047049828116</v>
      </c>
      <c r="H31" s="186">
        <v>0</v>
      </c>
      <c r="I31" s="186">
        <v>0</v>
      </c>
      <c r="J31" s="295"/>
      <c r="K31" s="292"/>
      <c r="L31" s="292"/>
      <c r="M31" s="292"/>
      <c r="O31" s="187"/>
      <c r="P31" s="187"/>
      <c r="Q31" s="187"/>
      <c r="R31" s="187"/>
      <c r="W31" s="187"/>
      <c r="X31" s="187"/>
      <c r="Y31" s="187"/>
      <c r="Z31" s="187"/>
      <c r="AA31" s="187"/>
      <c r="AB31" s="187"/>
      <c r="AC31" s="187"/>
      <c r="AD31" s="187"/>
    </row>
    <row r="32" spans="1:30" ht="15">
      <c r="A32" s="188" t="str">
        <f>HLOOKUP(INDICE!$F$2,Nombres!$C$3:$D$636,182,FALSE)</f>
        <v>Colombia</v>
      </c>
      <c r="B32" s="189">
        <v>0.06512538681472418</v>
      </c>
      <c r="C32" s="189">
        <v>0.06304830321617962</v>
      </c>
      <c r="D32" s="189">
        <v>0.06212226794306263</v>
      </c>
      <c r="E32" s="189">
        <v>0.06117552585804916</v>
      </c>
      <c r="F32" s="189">
        <v>0.061258261531940014</v>
      </c>
      <c r="G32" s="189">
        <v>0.05757944425591882</v>
      </c>
      <c r="H32" s="189">
        <v>0</v>
      </c>
      <c r="I32" s="189">
        <v>0</v>
      </c>
      <c r="J32" s="295"/>
      <c r="K32" s="292"/>
      <c r="L32" s="292"/>
      <c r="M32" s="292"/>
      <c r="O32" s="187"/>
      <c r="P32" s="187"/>
      <c r="Q32" s="187"/>
      <c r="R32" s="187"/>
      <c r="W32" s="187"/>
      <c r="X32" s="187"/>
      <c r="Y32" s="187"/>
      <c r="Z32" s="187"/>
      <c r="AA32" s="187"/>
      <c r="AB32" s="187"/>
      <c r="AC32" s="187"/>
      <c r="AD32" s="187"/>
    </row>
    <row r="33" spans="1:30" ht="15">
      <c r="A33" s="144"/>
      <c r="B33" s="190"/>
      <c r="C33" s="190"/>
      <c r="D33" s="190"/>
      <c r="E33" s="190"/>
      <c r="F33" s="190"/>
      <c r="G33" s="190"/>
      <c r="H33" s="190"/>
      <c r="I33" s="190"/>
      <c r="O33" s="187"/>
      <c r="P33" s="187"/>
      <c r="Q33" s="187"/>
      <c r="R33" s="187"/>
      <c r="W33" s="187"/>
      <c r="X33" s="187"/>
      <c r="Y33" s="187"/>
      <c r="Z33" s="187"/>
      <c r="AA33" s="187"/>
      <c r="AB33" s="187"/>
      <c r="AC33" s="187"/>
      <c r="AD33" s="187"/>
    </row>
    <row r="34" spans="1:30" ht="15">
      <c r="A34" s="185" t="str">
        <f>HLOOKUP(INDICE!$F$2,Nombres!$C$3:$D$636,173,FALSE)</f>
        <v>Lending Yield</v>
      </c>
      <c r="B34" s="186">
        <v>0.05374959984534193</v>
      </c>
      <c r="C34" s="186">
        <v>0.051655784908604035</v>
      </c>
      <c r="D34" s="186">
        <v>0.054590015457192394</v>
      </c>
      <c r="E34" s="186">
        <v>0.05664259862586235</v>
      </c>
      <c r="F34" s="186">
        <v>0.05709508322320697</v>
      </c>
      <c r="G34" s="186">
        <v>0.06476962967352312</v>
      </c>
      <c r="H34" s="186">
        <v>0</v>
      </c>
      <c r="I34" s="186">
        <v>0</v>
      </c>
      <c r="J34" s="295"/>
      <c r="K34" s="292"/>
      <c r="L34" s="292"/>
      <c r="M34" s="292"/>
      <c r="O34" s="187"/>
      <c r="P34" s="187"/>
      <c r="Q34" s="187"/>
      <c r="R34" s="187"/>
      <c r="W34" s="187"/>
      <c r="X34" s="187"/>
      <c r="Y34" s="187"/>
      <c r="Z34" s="187"/>
      <c r="AA34" s="187"/>
      <c r="AB34" s="187"/>
      <c r="AC34" s="187"/>
      <c r="AD34" s="187"/>
    </row>
    <row r="35" spans="1:30" ht="15">
      <c r="A35" s="185" t="str">
        <f>HLOOKUP(INDICE!$F$2,Nombres!$C$3:$D$636,174,FALSE)</f>
        <v>Cost of deposits</v>
      </c>
      <c r="B35" s="186">
        <v>-0.0032830542140836853</v>
      </c>
      <c r="C35" s="186">
        <v>-0.0025482861281171123</v>
      </c>
      <c r="D35" s="186">
        <v>-0.0023624693349372783</v>
      </c>
      <c r="E35" s="186">
        <v>-0.002570644383853652</v>
      </c>
      <c r="F35" s="186">
        <v>-0.0038206178808957826</v>
      </c>
      <c r="G35" s="186">
        <v>-0.00757246120615373</v>
      </c>
      <c r="H35" s="186">
        <v>0</v>
      </c>
      <c r="I35" s="186">
        <v>0</v>
      </c>
      <c r="J35" s="295"/>
      <c r="K35" s="292"/>
      <c r="L35" s="292"/>
      <c r="M35" s="292"/>
      <c r="O35" s="187"/>
      <c r="P35" s="187"/>
      <c r="Q35" s="187"/>
      <c r="R35" s="187"/>
      <c r="W35" s="187"/>
      <c r="X35" s="187"/>
      <c r="Y35" s="187"/>
      <c r="Z35" s="187"/>
      <c r="AA35" s="187"/>
      <c r="AB35" s="187"/>
      <c r="AC35" s="187"/>
      <c r="AD35" s="187"/>
    </row>
    <row r="36" spans="1:30" ht="15">
      <c r="A36" s="188" t="str">
        <f>HLOOKUP(INDICE!$F$2,Nombres!$C$3:$D$636,183,FALSE)</f>
        <v>Peru</v>
      </c>
      <c r="B36" s="189">
        <v>0.05046654563125824</v>
      </c>
      <c r="C36" s="189">
        <v>0.049107498780486925</v>
      </c>
      <c r="D36" s="189">
        <v>0.052227546122255115</v>
      </c>
      <c r="E36" s="189">
        <v>0.054071954242008696</v>
      </c>
      <c r="F36" s="189">
        <v>0.053274465342311186</v>
      </c>
      <c r="G36" s="189">
        <v>0.05719716846736939</v>
      </c>
      <c r="H36" s="189">
        <v>0</v>
      </c>
      <c r="I36" s="189">
        <v>0</v>
      </c>
      <c r="J36" s="295"/>
      <c r="K36" s="292"/>
      <c r="L36" s="292"/>
      <c r="M36" s="292"/>
      <c r="O36" s="187"/>
      <c r="P36" s="187"/>
      <c r="Q36" s="187"/>
      <c r="R36" s="187"/>
      <c r="W36" s="187"/>
      <c r="X36" s="187"/>
      <c r="Y36" s="187"/>
      <c r="Z36" s="187"/>
      <c r="AA36" s="187"/>
      <c r="AB36" s="187"/>
      <c r="AC36" s="187"/>
      <c r="AD36" s="187"/>
    </row>
    <row r="37" spans="1:30" ht="15">
      <c r="A37" s="144"/>
      <c r="B37" s="190"/>
      <c r="C37" s="190"/>
      <c r="D37" s="190"/>
      <c r="E37" s="190"/>
      <c r="F37" s="190"/>
      <c r="G37" s="190"/>
      <c r="H37" s="190"/>
      <c r="I37" s="190"/>
      <c r="O37" s="187"/>
      <c r="P37" s="187"/>
      <c r="Q37" s="187"/>
      <c r="R37" s="187"/>
      <c r="W37" s="187"/>
      <c r="X37" s="187"/>
      <c r="Y37" s="187"/>
      <c r="Z37" s="187"/>
      <c r="AA37" s="187"/>
      <c r="AB37" s="187"/>
      <c r="AC37" s="187"/>
      <c r="AD37" s="187"/>
    </row>
    <row r="38" spans="1:30" ht="15">
      <c r="A38" s="194" t="str">
        <f>HLOOKUP(INDICE!$F$2,Nombres!$C$3:$D$636,184,FALSE)</f>
        <v>(*) Difference between lending yield on loans and cost of deposits from customers.</v>
      </c>
      <c r="B38" s="183"/>
      <c r="C38" s="183"/>
      <c r="D38" s="183"/>
      <c r="E38" s="183"/>
      <c r="F38" s="305"/>
      <c r="G38" s="305"/>
      <c r="H38" s="183"/>
      <c r="I38" s="183"/>
      <c r="O38" s="187"/>
      <c r="P38" s="187"/>
      <c r="Q38" s="187"/>
      <c r="R38" s="187"/>
      <c r="W38" s="187"/>
      <c r="X38" s="187"/>
      <c r="Y38" s="187"/>
      <c r="Z38" s="187"/>
      <c r="AA38" s="187"/>
      <c r="AB38" s="187"/>
      <c r="AC38" s="187"/>
      <c r="AD38" s="187"/>
    </row>
    <row r="39" spans="1:30" ht="15">
      <c r="A39" s="194"/>
      <c r="B39" s="183"/>
      <c r="C39" s="183"/>
      <c r="D39" s="183"/>
      <c r="E39" s="183"/>
      <c r="F39" s="183"/>
      <c r="G39" s="279"/>
      <c r="H39" s="183"/>
      <c r="I39" s="183"/>
      <c r="O39" s="187"/>
      <c r="P39" s="187"/>
      <c r="Q39" s="187"/>
      <c r="R39" s="187"/>
      <c r="W39" s="187"/>
      <c r="X39" s="187"/>
      <c r="Y39" s="187"/>
      <c r="Z39" s="187"/>
      <c r="AA39" s="187"/>
      <c r="AB39" s="187"/>
      <c r="AC39" s="187"/>
      <c r="AD39" s="187"/>
    </row>
    <row r="40" spans="1:30" ht="15">
      <c r="A40" s="194"/>
      <c r="O40" s="187"/>
      <c r="P40" s="187"/>
      <c r="Q40" s="187"/>
      <c r="R40" s="187"/>
      <c r="W40" s="187"/>
      <c r="X40" s="187"/>
      <c r="Y40" s="187"/>
      <c r="Z40" s="187"/>
      <c r="AA40" s="187"/>
      <c r="AB40" s="187"/>
      <c r="AC40" s="187"/>
      <c r="AD40" s="187"/>
    </row>
    <row r="41" spans="15:18" ht="15">
      <c r="O41" s="187"/>
      <c r="P41" s="187"/>
      <c r="Q41" s="187"/>
      <c r="R41" s="187"/>
    </row>
    <row r="996" ht="15">
      <c r="A996" t="s">
        <v>392</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4" t="str">
        <f>HLOOKUP(INDICE!$F$2,Nombres!$C$3:$D$636,161,FALSE)</f>
        <v>Exchange rates</v>
      </c>
      <c r="B1" s="94"/>
      <c r="C1" s="95"/>
      <c r="D1" s="95"/>
      <c r="E1" s="95"/>
      <c r="F1" s="95"/>
      <c r="G1" s="95"/>
      <c r="H1" s="95"/>
      <c r="I1" s="95"/>
      <c r="J1" s="117"/>
      <c r="K1" s="96"/>
      <c r="L1" s="96"/>
      <c r="M1" s="96"/>
      <c r="N1" s="162"/>
      <c r="O1" s="162"/>
      <c r="P1" s="162"/>
      <c r="Q1" s="162"/>
      <c r="R1" s="162"/>
      <c r="S1" s="162"/>
      <c r="T1" s="162"/>
      <c r="U1" s="162"/>
      <c r="V1" s="162"/>
      <c r="W1" s="162"/>
    </row>
    <row r="2" spans="1:13" ht="15">
      <c r="A2" s="163" t="str">
        <f>HLOOKUP(INDICE!$F$2,Nombres!$C$3:$D$636,162,FALSE)</f>
        <v>(Expressed in currency/euro)</v>
      </c>
      <c r="B2" s="163"/>
      <c r="C2" s="164"/>
      <c r="D2" s="164"/>
      <c r="E2" s="164"/>
      <c r="F2" s="164"/>
      <c r="G2" s="164"/>
      <c r="H2" s="164"/>
      <c r="I2" s="164"/>
      <c r="J2" s="117"/>
      <c r="K2" s="96"/>
      <c r="L2" s="96"/>
      <c r="M2" s="96"/>
    </row>
    <row r="3" spans="1:9" ht="19.5">
      <c r="A3" s="165"/>
      <c r="B3" s="165"/>
      <c r="C3" s="306" t="str">
        <f>HLOOKUP(INDICE!$F$2,Nombres!$C$3:$D$636,163,FALSE)</f>
        <v>Year-end exchange rates (*)</v>
      </c>
      <c r="D3" s="306"/>
      <c r="E3" s="306"/>
      <c r="F3" s="166"/>
      <c r="G3" s="167"/>
      <c r="H3" s="306" t="str">
        <f>HLOOKUP(INDICE!$F$2,Nombres!$C$3:$D$636,164,FALSE)</f>
        <v>Average exchange rates (**)</v>
      </c>
      <c r="I3" s="306"/>
    </row>
    <row r="4" spans="1:9" ht="15.75">
      <c r="A4" s="99"/>
      <c r="B4" s="99"/>
      <c r="C4" s="75"/>
      <c r="D4" s="168" t="str">
        <f>HLOOKUP(INDICE!$F$2,Nombres!$C$3:$D$636,165,FALSE)</f>
        <v>∆% on</v>
      </c>
      <c r="E4" s="168" t="str">
        <f>HLOOKUP(INDICE!$F$2,Nombres!$C$3:$D$636,165,FALSE)</f>
        <v>∆% on</v>
      </c>
      <c r="F4" s="166"/>
      <c r="G4" s="167"/>
      <c r="H4" s="169"/>
      <c r="I4" s="168" t="str">
        <f>HLOOKUP(INDICE!$F$2,Nombres!$C$3:$D$636,165,FALSE)</f>
        <v>∆% on</v>
      </c>
    </row>
    <row r="5" spans="1:9" ht="15.75">
      <c r="A5" s="99"/>
      <c r="B5" s="99"/>
      <c r="C5" s="170">
        <v>44742</v>
      </c>
      <c r="D5" s="170">
        <f>DATE(YEAR(C5),MONTH(C5)-12,DAY(C5))</f>
        <v>44377</v>
      </c>
      <c r="E5" s="170">
        <v>44561</v>
      </c>
      <c r="F5" s="171"/>
      <c r="G5" s="172"/>
      <c r="H5" s="170">
        <f>+C5</f>
        <v>44742</v>
      </c>
      <c r="I5" s="173">
        <f>+D5</f>
        <v>44377</v>
      </c>
    </row>
    <row r="6" spans="1:9" ht="15">
      <c r="A6" s="59" t="str">
        <f>HLOOKUP(INDICE!$F$2,Nombres!$C$3:$D$636,152,FALSE)</f>
        <v>Mexican peso</v>
      </c>
      <c r="B6" s="59"/>
      <c r="C6" s="174">
        <v>20.9641000001626</v>
      </c>
      <c r="D6" s="175">
        <v>0.12470366005800604</v>
      </c>
      <c r="E6" s="175">
        <v>0.10397298236409469</v>
      </c>
      <c r="F6" s="176"/>
      <c r="G6" s="58"/>
      <c r="H6" s="174">
        <v>22.161795999757636</v>
      </c>
      <c r="I6" s="175">
        <v>0.09754123718770069</v>
      </c>
    </row>
    <row r="7" spans="1:9" ht="15">
      <c r="A7" s="59" t="str">
        <f>HLOOKUP(INDICE!$F$2,Nombres!$C$3:$D$636,153,FALSE)</f>
        <v>U.S. dollar</v>
      </c>
      <c r="B7" s="59"/>
      <c r="C7" s="174">
        <v>1.0386999999995534</v>
      </c>
      <c r="D7" s="175">
        <v>0.14412246076842417</v>
      </c>
      <c r="E7" s="175">
        <v>0.09040146336785648</v>
      </c>
      <c r="F7" s="144"/>
      <c r="G7" s="58"/>
      <c r="H7" s="174">
        <v>1.0934070000003737</v>
      </c>
      <c r="I7" s="175">
        <v>0.10215409266628828</v>
      </c>
    </row>
    <row r="8" spans="1:9" ht="15">
      <c r="A8" s="59" t="str">
        <f>HLOOKUP(INDICE!$F$2,Nombres!$C$3:$D$636,154,FALSE)</f>
        <v>Argentine peso</v>
      </c>
      <c r="B8" s="275" t="s">
        <v>421</v>
      </c>
      <c r="C8" s="276">
        <v>129.88424199543968</v>
      </c>
      <c r="D8" s="175">
        <v>-0.12432932396969665</v>
      </c>
      <c r="E8" s="175">
        <v>-0.10401255601383641</v>
      </c>
      <c r="F8" s="144"/>
      <c r="G8" s="58"/>
      <c r="H8" s="272" t="s">
        <v>414</v>
      </c>
      <c r="I8" s="272" t="s">
        <v>414</v>
      </c>
    </row>
    <row r="9" spans="1:9" ht="15">
      <c r="A9" s="59" t="str">
        <f>HLOOKUP(INDICE!$F$2,Nombres!$C$3:$D$636,155,FALSE)</f>
        <v>Chilean peso</v>
      </c>
      <c r="B9" s="59"/>
      <c r="C9" s="174">
        <v>955.5728386829645</v>
      </c>
      <c r="D9" s="175">
        <v>-0.08556761270714908</v>
      </c>
      <c r="E9" s="175">
        <v>0.0011752693349835752</v>
      </c>
      <c r="F9" s="144"/>
      <c r="G9" s="58"/>
      <c r="H9" s="174">
        <v>902.4709996201167</v>
      </c>
      <c r="I9" s="175">
        <v>-0.0383407786850265</v>
      </c>
    </row>
    <row r="10" spans="1:9" ht="15">
      <c r="A10" s="59" t="str">
        <f>HLOOKUP(INDICE!$F$2,Nombres!$C$3:$D$636,156,FALSE)</f>
        <v>Colombian peso</v>
      </c>
      <c r="B10" s="59"/>
      <c r="C10" s="174">
        <v>4287.20309660907</v>
      </c>
      <c r="D10" s="175">
        <v>0.041337795795608256</v>
      </c>
      <c r="E10" s="175">
        <v>0.05174905967122867</v>
      </c>
      <c r="F10" s="144"/>
      <c r="G10" s="58"/>
      <c r="H10" s="174">
        <v>4281.05422364443</v>
      </c>
      <c r="I10" s="175">
        <v>0.020363988478207418</v>
      </c>
    </row>
    <row r="11" spans="1:9" ht="15">
      <c r="A11" s="59" t="str">
        <f>HLOOKUP(INDICE!$F$2,Nombres!$C$3:$D$636,157,FALSE)</f>
        <v>Peruvian sol</v>
      </c>
      <c r="B11" s="59"/>
      <c r="C11" s="174">
        <v>3.924311999995845</v>
      </c>
      <c r="D11" s="175">
        <v>0.17588942979261857</v>
      </c>
      <c r="E11" s="175">
        <v>0.14783508548802304</v>
      </c>
      <c r="F11" s="144"/>
      <c r="G11" s="58"/>
      <c r="H11" s="174">
        <v>4.124714999997317</v>
      </c>
      <c r="I11" s="175">
        <v>0.08900833148533871</v>
      </c>
    </row>
    <row r="12" spans="1:9" ht="15">
      <c r="A12" s="59" t="str">
        <f>HLOOKUP(INDICE!$F$2,Nombres!$C$3:$D$636,158,FALSE)</f>
        <v>Turkish lira</v>
      </c>
      <c r="B12" s="275" t="s">
        <v>421</v>
      </c>
      <c r="C12" s="174">
        <v>17.322000000075317</v>
      </c>
      <c r="D12" s="175">
        <v>-0.40416810991952723</v>
      </c>
      <c r="E12" s="175">
        <v>-0.12056921834161649</v>
      </c>
      <c r="F12" s="144"/>
      <c r="G12" s="58"/>
      <c r="H12" s="272" t="s">
        <v>414</v>
      </c>
      <c r="I12" s="272" t="s">
        <v>414</v>
      </c>
    </row>
    <row r="13" spans="1:9" ht="15">
      <c r="A13" s="98"/>
      <c r="B13" s="98"/>
      <c r="D13" s="177"/>
      <c r="E13" s="177"/>
      <c r="F13" s="177"/>
      <c r="G13" s="177"/>
      <c r="H13" s="98"/>
      <c r="I13" s="98"/>
    </row>
    <row r="14" spans="1:9" ht="15">
      <c r="A14" s="98"/>
      <c r="B14" s="98"/>
      <c r="C14" s="178"/>
      <c r="D14" s="177"/>
      <c r="E14" s="177"/>
      <c r="F14" s="177"/>
      <c r="G14" s="177"/>
      <c r="H14" s="98"/>
      <c r="I14" s="98"/>
    </row>
    <row r="15" spans="1:9" ht="15">
      <c r="A15" s="116" t="str">
        <f>HLOOKUP(INDICE!$F$2,Nombres!$C$3:$D$636,159,FALSE)</f>
        <v>(*) Used in the constant euros comparisons for the balance sheet and business activity</v>
      </c>
      <c r="B15" s="116"/>
      <c r="C15" s="128"/>
      <c r="D15" s="128"/>
      <c r="E15" s="128"/>
      <c r="F15" s="177"/>
      <c r="G15" s="177"/>
      <c r="H15" s="98"/>
      <c r="I15" s="98"/>
    </row>
    <row r="16" spans="1:9" ht="15">
      <c r="A16" s="116" t="str">
        <f>HLOOKUP(INDICE!$F$2,Nombres!$C$3:$D$636,160,FALSE)</f>
        <v>(**) Used in the constant euros comparisons for the profit and loss</v>
      </c>
      <c r="B16" s="116"/>
      <c r="C16" s="128"/>
      <c r="D16" s="128"/>
      <c r="E16" s="128"/>
      <c r="F16" s="177"/>
      <c r="G16" s="177"/>
      <c r="H16" s="98"/>
      <c r="I16" s="98"/>
    </row>
    <row r="17" ht="15">
      <c r="A17" s="116" t="str">
        <f>HLOOKUP(INDICE!$F$2,Nombres!$C$3:$D$636,313,FALSE)</f>
        <v>(1) According to IAS 21 "Effects of changes in foreign currency exchange rates", the translation of the income statement for Turkey and Argentina is made using the final exchange rate.</v>
      </c>
    </row>
    <row r="20" ht="15">
      <c r="D20" s="177"/>
    </row>
    <row r="25" spans="3:5" ht="15">
      <c r="C25" s="296"/>
      <c r="D25" s="296"/>
      <c r="E25" s="296"/>
    </row>
    <row r="27" ht="15">
      <c r="E27" s="296"/>
    </row>
    <row r="1000" ht="15">
      <c r="A1000" t="s">
        <v>392</v>
      </c>
    </row>
  </sheetData>
  <sheetProtection/>
  <mergeCells count="2">
    <mergeCell ref="C3:E3"/>
    <mergeCell ref="H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8" customWidth="1"/>
    <col min="2" max="2" width="13.57421875" style="208" bestFit="1" customWidth="1"/>
    <col min="3" max="4" width="11.421875" style="208" customWidth="1"/>
    <col min="5" max="5" width="11.7109375" style="208" bestFit="1" customWidth="1"/>
    <col min="6" max="7" width="11.421875" style="208" customWidth="1"/>
    <col min="8" max="9" width="11.421875" style="208" hidden="1" customWidth="1"/>
    <col min="10" max="10" width="4.7109375" style="207" customWidth="1"/>
    <col min="11" max="11" width="11.421875" style="208" customWidth="1"/>
    <col min="12" max="12" width="11.7109375" style="208" bestFit="1" customWidth="1"/>
    <col min="13" max="16384" width="11.421875" style="208" customWidth="1"/>
  </cols>
  <sheetData>
    <row r="1" spans="1:12" ht="18">
      <c r="A1" s="205" t="str">
        <f>HLOOKUP(INDICE!$F$2,Nombres!$C$3:$D$636,113,FALSE)</f>
        <v>Breakdown of performing loans under management</v>
      </c>
      <c r="B1" s="206"/>
      <c r="C1" s="206"/>
      <c r="D1" s="206"/>
      <c r="E1" s="206"/>
      <c r="F1" s="206"/>
      <c r="G1" s="206"/>
      <c r="H1" s="206"/>
      <c r="I1" s="206"/>
      <c r="L1" s="209"/>
    </row>
    <row r="2" spans="1:12" ht="15.75">
      <c r="A2" s="210" t="str">
        <f>HLOOKUP(INDICE!$F$2,Nombres!$C$3:$D$636,73,FALSE)</f>
        <v>(Constant million euros)    </v>
      </c>
      <c r="B2" s="209"/>
      <c r="C2" s="209"/>
      <c r="D2" s="209"/>
      <c r="E2" s="209"/>
      <c r="F2" s="209"/>
      <c r="L2" s="209"/>
    </row>
    <row r="3" spans="1:12" ht="15.75">
      <c r="A3" s="211"/>
      <c r="B3" s="209"/>
      <c r="C3" s="209"/>
      <c r="D3" s="209"/>
      <c r="E3" s="209"/>
      <c r="F3" s="209"/>
      <c r="L3" s="209"/>
    </row>
    <row r="4" spans="1:9" ht="15.75" customHeight="1">
      <c r="A4" s="212"/>
      <c r="B4" s="307" t="str">
        <f>HLOOKUP(INDICE!$F$2,Nombres!$C$3:$D$636,7,FALSE)</f>
        <v>Spain</v>
      </c>
      <c r="C4" s="307"/>
      <c r="D4" s="307"/>
      <c r="E4" s="307"/>
      <c r="F4" s="307"/>
      <c r="G4" s="307"/>
      <c r="H4" s="307"/>
      <c r="I4" s="307"/>
    </row>
    <row r="5" spans="1:12" ht="15.75">
      <c r="A5" s="213"/>
      <c r="B5" s="120">
        <f>+España!B32</f>
        <v>44286</v>
      </c>
      <c r="C5" s="120">
        <f>+España!C32</f>
        <v>44377</v>
      </c>
      <c r="D5" s="120">
        <f>+España!D32</f>
        <v>44469</v>
      </c>
      <c r="E5" s="120">
        <f>+España!E32</f>
        <v>44561</v>
      </c>
      <c r="F5" s="120">
        <f>+España!F32</f>
        <v>44651</v>
      </c>
      <c r="G5" s="120">
        <f>+España!G32</f>
        <v>44742</v>
      </c>
      <c r="H5" s="120">
        <f>+España!H32</f>
        <v>44834</v>
      </c>
      <c r="I5" s="120">
        <f>+España!I32</f>
        <v>44926</v>
      </c>
      <c r="L5" s="120"/>
    </row>
    <row r="6" spans="1:14" ht="15">
      <c r="A6" s="214" t="str">
        <f>HLOOKUP(INDICE!$F$2,Nombres!$C$3:$D$636,209,FALSE)</f>
        <v>Mortages</v>
      </c>
      <c r="B6" s="215">
        <v>69627.90255</v>
      </c>
      <c r="C6" s="215">
        <v>69670.178127</v>
      </c>
      <c r="D6" s="215">
        <v>69522.5832</v>
      </c>
      <c r="E6" s="215">
        <v>69478.950925</v>
      </c>
      <c r="F6" s="215">
        <v>69407.809482</v>
      </c>
      <c r="G6" s="215">
        <v>68619.457928</v>
      </c>
      <c r="H6" s="215">
        <v>0</v>
      </c>
      <c r="I6" s="215">
        <v>0</v>
      </c>
      <c r="L6" s="215"/>
      <c r="N6" s="267"/>
    </row>
    <row r="7" spans="1:14" ht="15">
      <c r="A7" s="214" t="str">
        <f>HLOOKUP(INDICE!$F$2,Nombres!$C$3:$D$636,210,FALSE)</f>
        <v>Consumer &amp; Credit Cards</v>
      </c>
      <c r="B7" s="215">
        <v>13943.287111</v>
      </c>
      <c r="C7" s="215">
        <v>14549.699296</v>
      </c>
      <c r="D7" s="215">
        <v>14789.349513000001</v>
      </c>
      <c r="E7" s="215">
        <v>15178.645015000002</v>
      </c>
      <c r="F7" s="215">
        <v>15277.776342000001</v>
      </c>
      <c r="G7" s="215">
        <v>15794.411383000002</v>
      </c>
      <c r="H7" s="215">
        <v>0</v>
      </c>
      <c r="I7" s="215">
        <v>0</v>
      </c>
      <c r="J7" s="297"/>
      <c r="L7" s="215"/>
      <c r="N7" s="267"/>
    </row>
    <row r="8" spans="1:14" ht="15">
      <c r="A8" s="214" t="str">
        <f>HLOOKUP(INDICE!$F$2,Nombres!$C$3:$D$636,211,FALSE)</f>
        <v>Very small business</v>
      </c>
      <c r="B8" s="215">
        <v>15357.717637</v>
      </c>
      <c r="C8" s="215">
        <v>15370.643759999999</v>
      </c>
      <c r="D8" s="215">
        <v>15362.27056</v>
      </c>
      <c r="E8" s="215">
        <v>15518.812504999998</v>
      </c>
      <c r="F8" s="215">
        <v>15713.614394000004</v>
      </c>
      <c r="G8" s="215">
        <v>15950.685474999998</v>
      </c>
      <c r="H8" s="215">
        <v>0</v>
      </c>
      <c r="I8" s="215">
        <v>0</v>
      </c>
      <c r="J8" s="297"/>
      <c r="L8" s="215"/>
      <c r="N8" s="267"/>
    </row>
    <row r="9" spans="1:14" ht="15">
      <c r="A9" s="214" t="str">
        <f>HLOOKUP(INDICE!$F$2,Nombres!$C$3:$D$636,212,FALSE)</f>
        <v>Mid-size companies</v>
      </c>
      <c r="B9" s="215">
        <v>18358.452911</v>
      </c>
      <c r="C9" s="215">
        <v>18984.634033</v>
      </c>
      <c r="D9" s="215">
        <v>19328.344112</v>
      </c>
      <c r="E9" s="215">
        <v>20049.488617999996</v>
      </c>
      <c r="F9" s="215">
        <v>20906.228528</v>
      </c>
      <c r="G9" s="215">
        <v>21582.222315000003</v>
      </c>
      <c r="H9" s="215">
        <v>0</v>
      </c>
      <c r="I9" s="215">
        <v>0</v>
      </c>
      <c r="J9" s="297"/>
      <c r="L9" s="215"/>
      <c r="N9" s="267"/>
    </row>
    <row r="10" spans="1:14" ht="15">
      <c r="A10" s="214" t="str">
        <f>HLOOKUP(INDICE!$F$2,Nombres!$C$3:$D$636,213,FALSE)</f>
        <v>Corporates + CIB</v>
      </c>
      <c r="B10" s="215">
        <v>23286.409966</v>
      </c>
      <c r="C10" s="215">
        <v>22899.869162</v>
      </c>
      <c r="D10" s="215">
        <v>22789.49358037</v>
      </c>
      <c r="E10" s="215">
        <v>24100.984218</v>
      </c>
      <c r="F10" s="215">
        <v>24253.373602000003</v>
      </c>
      <c r="G10" s="215">
        <v>25102.938454000003</v>
      </c>
      <c r="H10" s="215">
        <v>0</v>
      </c>
      <c r="I10" s="215">
        <v>0</v>
      </c>
      <c r="L10" s="215"/>
      <c r="N10" s="267"/>
    </row>
    <row r="11" spans="1:14" ht="15">
      <c r="A11" s="214" t="str">
        <f>HLOOKUP(INDICE!$F$2,Nombres!$C$3:$D$636,214,FALSE)</f>
        <v>Public Sector</v>
      </c>
      <c r="B11" s="215">
        <v>13792.066191999998</v>
      </c>
      <c r="C11" s="215">
        <v>15820.083642999998</v>
      </c>
      <c r="D11" s="215">
        <v>13945.046287</v>
      </c>
      <c r="E11" s="215">
        <v>13631.872726999998</v>
      </c>
      <c r="F11" s="215">
        <v>13377.211038999998</v>
      </c>
      <c r="G11" s="215">
        <v>14964.181887000002</v>
      </c>
      <c r="H11" s="215">
        <v>0</v>
      </c>
      <c r="I11" s="215">
        <v>0</v>
      </c>
      <c r="L11" s="215"/>
      <c r="N11" s="267"/>
    </row>
    <row r="12" spans="1:14" ht="15.75" customHeight="1">
      <c r="A12" s="214" t="str">
        <f>HLOOKUP(INDICE!$F$2,Nombres!$C$3:$D$636,215,FALSE)</f>
        <v>Other</v>
      </c>
      <c r="B12" s="215">
        <v>9123.19071299998</v>
      </c>
      <c r="C12" s="215">
        <v>9938.73175499999</v>
      </c>
      <c r="D12" s="215">
        <v>10129.211839999994</v>
      </c>
      <c r="E12" s="215">
        <v>10275.935511999998</v>
      </c>
      <c r="F12" s="215">
        <v>10158.67316299998</v>
      </c>
      <c r="G12" s="215">
        <v>11253.91275800001</v>
      </c>
      <c r="H12" s="215">
        <v>0</v>
      </c>
      <c r="I12" s="215">
        <v>0</v>
      </c>
      <c r="L12" s="215"/>
      <c r="N12" s="267"/>
    </row>
    <row r="13" spans="1:14" ht="15">
      <c r="A13" s="216" t="str">
        <f>HLOOKUP(INDICE!$F$2,Nombres!$C$3:$D$636,112,FALSE)</f>
        <v>Performing Loans under management (*)</v>
      </c>
      <c r="B13" s="217">
        <v>163489.02707999997</v>
      </c>
      <c r="C13" s="217">
        <v>167233.83977599998</v>
      </c>
      <c r="D13" s="217">
        <v>165866.29909237</v>
      </c>
      <c r="E13" s="217">
        <v>168234.68951999999</v>
      </c>
      <c r="F13" s="217">
        <v>169094.68654999995</v>
      </c>
      <c r="G13" s="217">
        <v>173267.81020000004</v>
      </c>
      <c r="H13" s="217">
        <v>0</v>
      </c>
      <c r="I13" s="217">
        <v>0</v>
      </c>
      <c r="L13" s="216"/>
      <c r="N13" s="267"/>
    </row>
    <row r="14" spans="1:14" ht="15.75">
      <c r="A14" s="209"/>
      <c r="B14" s="218">
        <f>+SUM(B6:B12)-B13</f>
        <v>0</v>
      </c>
      <c r="C14" s="218">
        <f aca="true" t="shared" si="0" ref="C14:I14">+SUM(C6:C12)-C13</f>
        <v>0</v>
      </c>
      <c r="D14" s="218">
        <f t="shared" si="0"/>
        <v>0</v>
      </c>
      <c r="E14" s="218">
        <f t="shared" si="0"/>
        <v>0</v>
      </c>
      <c r="F14" s="218">
        <f t="shared" si="0"/>
        <v>0</v>
      </c>
      <c r="G14" s="218">
        <f t="shared" si="0"/>
        <v>0</v>
      </c>
      <c r="H14" s="218">
        <f t="shared" si="0"/>
        <v>0</v>
      </c>
      <c r="I14" s="218">
        <f t="shared" si="0"/>
        <v>0</v>
      </c>
      <c r="L14" s="219"/>
      <c r="N14" s="267"/>
    </row>
    <row r="15" spans="1:14" ht="15">
      <c r="A15" s="298"/>
      <c r="B15" s="215"/>
      <c r="C15" s="215"/>
      <c r="D15" s="215"/>
      <c r="E15" s="215"/>
      <c r="F15" s="215"/>
      <c r="G15" s="215"/>
      <c r="H15" s="215"/>
      <c r="I15" s="215"/>
      <c r="L15" s="215"/>
      <c r="N15" s="267"/>
    </row>
    <row r="16" spans="1:12" ht="15.75">
      <c r="A16" s="209"/>
      <c r="B16" s="220"/>
      <c r="C16" s="220"/>
      <c r="D16" s="220"/>
      <c r="E16" s="220"/>
      <c r="F16" s="220"/>
      <c r="L16" s="220"/>
    </row>
    <row r="17" spans="1:12" ht="15.75">
      <c r="A17" s="212"/>
      <c r="B17" s="307" t="str">
        <f>HLOOKUP(INDICE!$F$2,Nombres!$C$3:$D$636,204,FALSE)</f>
        <v>Mexico (***)</v>
      </c>
      <c r="C17" s="307"/>
      <c r="D17" s="307"/>
      <c r="E17" s="307"/>
      <c r="F17" s="307"/>
      <c r="G17" s="307"/>
      <c r="H17" s="307"/>
      <c r="I17" s="307"/>
      <c r="L17" s="223"/>
    </row>
    <row r="18" spans="1:12" ht="15.75">
      <c r="A18" s="213"/>
      <c r="B18" s="120">
        <f>+B$5</f>
        <v>44286</v>
      </c>
      <c r="C18" s="120">
        <f aca="true" t="shared" si="1" ref="C18:I18">+C$5</f>
        <v>44377</v>
      </c>
      <c r="D18" s="120">
        <f t="shared" si="1"/>
        <v>44469</v>
      </c>
      <c r="E18" s="120">
        <f t="shared" si="1"/>
        <v>44561</v>
      </c>
      <c r="F18" s="120">
        <f t="shared" si="1"/>
        <v>44651</v>
      </c>
      <c r="G18" s="120">
        <f t="shared" si="1"/>
        <v>44742</v>
      </c>
      <c r="H18" s="120">
        <f t="shared" si="1"/>
        <v>44834</v>
      </c>
      <c r="I18" s="120">
        <f t="shared" si="1"/>
        <v>44926</v>
      </c>
      <c r="L18" s="53"/>
    </row>
    <row r="19" spans="1:14" ht="15">
      <c r="A19" s="214" t="str">
        <f>HLOOKUP(INDICE!$F$2,Nombres!$C$3:$D$636,105,FALSE)</f>
        <v>Mortages</v>
      </c>
      <c r="B19" s="215">
        <v>12041.094169599037</v>
      </c>
      <c r="C19" s="215">
        <v>12304.814000704204</v>
      </c>
      <c r="D19" s="215">
        <v>12614.868154522354</v>
      </c>
      <c r="E19" s="215">
        <v>13000.653498022148</v>
      </c>
      <c r="F19" s="215">
        <v>13348.167812243779</v>
      </c>
      <c r="G19" s="215">
        <v>13787.281599724058</v>
      </c>
      <c r="H19" s="215">
        <v>0</v>
      </c>
      <c r="I19" s="215">
        <v>0</v>
      </c>
      <c r="L19" s="215"/>
      <c r="N19" s="267"/>
    </row>
    <row r="20" spans="1:14" ht="15">
      <c r="A20" s="214" t="str">
        <f>HLOOKUP(INDICE!$F$2,Nombres!$C$3:$D$636,106,FALSE)</f>
        <v>Consumer</v>
      </c>
      <c r="B20" s="215">
        <v>8504.786998866493</v>
      </c>
      <c r="C20" s="215">
        <v>8604.590220893391</v>
      </c>
      <c r="D20" s="215">
        <v>8794.989308953405</v>
      </c>
      <c r="E20" s="215">
        <v>8874.599911208064</v>
      </c>
      <c r="F20" s="215">
        <v>9229.840472699982</v>
      </c>
      <c r="G20" s="215">
        <v>9607.717461464328</v>
      </c>
      <c r="H20" s="215">
        <v>0</v>
      </c>
      <c r="I20" s="215">
        <v>0</v>
      </c>
      <c r="L20" s="215"/>
      <c r="N20" s="267"/>
    </row>
    <row r="21" spans="1:14" ht="15.75" customHeight="1">
      <c r="A21" s="214" t="str">
        <f>HLOOKUP(INDICE!$F$2,Nombres!$C$3:$D$636,107,FALSE)</f>
        <v>Credit Cards</v>
      </c>
      <c r="B21" s="215">
        <v>4838.646831239746</v>
      </c>
      <c r="C21" s="215">
        <v>5073.080198763365</v>
      </c>
      <c r="D21" s="215">
        <v>5267.342092881326</v>
      </c>
      <c r="E21" s="215">
        <v>5649.085818092904</v>
      </c>
      <c r="F21" s="215">
        <v>5687.958497118171</v>
      </c>
      <c r="G21" s="215">
        <v>5992.975535509059</v>
      </c>
      <c r="H21" s="215">
        <v>0</v>
      </c>
      <c r="I21" s="215">
        <v>0</v>
      </c>
      <c r="L21" s="215"/>
      <c r="N21" s="267"/>
    </row>
    <row r="22" spans="1:14" ht="15">
      <c r="A22" s="214" t="str">
        <f>HLOOKUP(INDICE!$F$2,Nombres!$C$3:$D$636,110,FALSE)</f>
        <v>SMEs</v>
      </c>
      <c r="B22" s="215">
        <v>3386.8785459349892</v>
      </c>
      <c r="C22" s="215">
        <v>3571.083419238148</v>
      </c>
      <c r="D22" s="215">
        <v>3733.281505572182</v>
      </c>
      <c r="E22" s="215">
        <v>3790.6230174147063</v>
      </c>
      <c r="F22" s="215">
        <v>4055.566576747903</v>
      </c>
      <c r="G22" s="215">
        <v>4208.681437772004</v>
      </c>
      <c r="H22" s="215">
        <v>0</v>
      </c>
      <c r="I22" s="215">
        <v>0</v>
      </c>
      <c r="L22" s="215"/>
      <c r="N22" s="267"/>
    </row>
    <row r="23" spans="1:14" ht="15">
      <c r="A23" s="214" t="str">
        <f>HLOOKUP(INDICE!$F$2,Nombres!$C$3:$D$636,216,FALSE)</f>
        <v>Other Retail</v>
      </c>
      <c r="B23" s="215">
        <v>82.0565584616865</v>
      </c>
      <c r="C23" s="215">
        <v>82.0209066621841</v>
      </c>
      <c r="D23" s="215">
        <v>81.98006448388523</v>
      </c>
      <c r="E23" s="215">
        <v>82.04501981896001</v>
      </c>
      <c r="F23" s="215">
        <v>81.98769378445498</v>
      </c>
      <c r="G23" s="215">
        <v>82.04679437070256</v>
      </c>
      <c r="H23" s="215">
        <v>0</v>
      </c>
      <c r="I23" s="215">
        <v>0</v>
      </c>
      <c r="L23" s="215"/>
      <c r="N23" s="267"/>
    </row>
    <row r="24" spans="1:14" ht="15">
      <c r="A24" s="214" t="str">
        <f>HLOOKUP(INDICE!$F$2,Nombres!$C$3:$D$636,217,FALSE)</f>
        <v>Other Commercial</v>
      </c>
      <c r="B24" s="215">
        <v>24741.824132093738</v>
      </c>
      <c r="C24" s="215">
        <v>24246.01598691496</v>
      </c>
      <c r="D24" s="215">
        <v>24055.012747085108</v>
      </c>
      <c r="E24" s="215">
        <v>24839.606756119323</v>
      </c>
      <c r="F24" s="215">
        <v>26159.152132527295</v>
      </c>
      <c r="G24" s="215">
        <v>27881.524828654285</v>
      </c>
      <c r="H24" s="215">
        <v>0</v>
      </c>
      <c r="I24" s="215">
        <v>0</v>
      </c>
      <c r="L24" s="215"/>
      <c r="N24" s="267"/>
    </row>
    <row r="25" spans="1:14" ht="15">
      <c r="A25" s="214" t="str">
        <f>HLOOKUP(INDICE!$F$2,Nombres!$C$3:$D$636,108,FALSE)</f>
        <v>Public Sector</v>
      </c>
      <c r="B25" s="215">
        <v>5328.974150871171</v>
      </c>
      <c r="C25" s="215">
        <v>5401.449447951855</v>
      </c>
      <c r="D25" s="215">
        <v>5507.3385164972115</v>
      </c>
      <c r="E25" s="215">
        <v>5623.947605625119</v>
      </c>
      <c r="F25" s="215">
        <v>5580.200523987354</v>
      </c>
      <c r="G25" s="215">
        <v>5585.048074395146</v>
      </c>
      <c r="H25" s="215">
        <v>0</v>
      </c>
      <c r="I25" s="215">
        <v>0</v>
      </c>
      <c r="L25" s="215"/>
      <c r="N25" s="267"/>
    </row>
    <row r="26" spans="1:14" ht="15">
      <c r="A26" s="216" t="str">
        <f>HLOOKUP(INDICE!$F$2,Nombres!$C$3:$D$636,112,FALSE)</f>
        <v>Performing Loans under management (*)</v>
      </c>
      <c r="B26" s="217">
        <v>58924.26138706686</v>
      </c>
      <c r="C26" s="217">
        <v>59283.054181128115</v>
      </c>
      <c r="D26" s="217">
        <v>60054.81238999547</v>
      </c>
      <c r="E26" s="217">
        <v>61860.56162630123</v>
      </c>
      <c r="F26" s="217">
        <v>64142.873709108935</v>
      </c>
      <c r="G26" s="217">
        <v>67145.27573188957</v>
      </c>
      <c r="H26" s="217">
        <v>0</v>
      </c>
      <c r="I26" s="217">
        <v>0</v>
      </c>
      <c r="J26" s="293"/>
      <c r="L26" s="221"/>
      <c r="N26" s="267"/>
    </row>
    <row r="27" spans="1:14" ht="15.75">
      <c r="A27" s="224" t="str">
        <f>HLOOKUP(INDICE!$F$2,Nombres!$C$3:$D$636,205,FALSE)</f>
        <v>According to Local GAAP(***) </v>
      </c>
      <c r="B27" s="218">
        <f>+SUM(B19:B25)-B26</f>
        <v>0</v>
      </c>
      <c r="C27" s="218">
        <f aca="true" t="shared" si="2" ref="C27:I27">+SUM(C19:C25)-C26</f>
        <v>0</v>
      </c>
      <c r="D27" s="218">
        <f t="shared" si="2"/>
        <v>0</v>
      </c>
      <c r="E27" s="218">
        <f t="shared" si="2"/>
        <v>0</v>
      </c>
      <c r="F27" s="218">
        <f t="shared" si="2"/>
        <v>0</v>
      </c>
      <c r="G27" s="218">
        <f t="shared" si="2"/>
        <v>0</v>
      </c>
      <c r="H27" s="218">
        <f t="shared" si="2"/>
        <v>0</v>
      </c>
      <c r="I27" s="218">
        <f t="shared" si="2"/>
        <v>0</v>
      </c>
      <c r="L27" s="222"/>
      <c r="N27" s="267"/>
    </row>
    <row r="28" spans="1:14" ht="15">
      <c r="A28" s="298"/>
      <c r="B28" s="215"/>
      <c r="C28" s="215"/>
      <c r="D28" s="215"/>
      <c r="E28" s="215"/>
      <c r="F28" s="215"/>
      <c r="G28" s="215"/>
      <c r="H28" s="215"/>
      <c r="I28" s="215"/>
      <c r="L28" s="215"/>
      <c r="N28" s="267"/>
    </row>
    <row r="29" spans="2:12" ht="15.75">
      <c r="B29" s="220"/>
      <c r="C29" s="220"/>
      <c r="D29" s="220"/>
      <c r="E29" s="220"/>
      <c r="F29" s="220"/>
      <c r="L29" s="220"/>
    </row>
    <row r="30" spans="1:13" ht="15.75" customHeight="1">
      <c r="A30" s="212"/>
      <c r="B30" s="307" t="str">
        <f>HLOOKUP(INDICE!$F$2,Nombres!$C$3:$D$636,12,FALSE)</f>
        <v>Turkey </v>
      </c>
      <c r="C30" s="307"/>
      <c r="D30" s="307"/>
      <c r="E30" s="307"/>
      <c r="F30" s="307"/>
      <c r="G30" s="307"/>
      <c r="H30" s="307"/>
      <c r="I30" s="307"/>
      <c r="L30" s="225"/>
      <c r="M30" s="225"/>
    </row>
    <row r="31" spans="1:13" ht="15.75">
      <c r="A31" s="213"/>
      <c r="B31" s="120">
        <f>+B$5</f>
        <v>44286</v>
      </c>
      <c r="C31" s="120">
        <f aca="true" t="shared" si="3" ref="C31:I31">+C$5</f>
        <v>44377</v>
      </c>
      <c r="D31" s="120">
        <f t="shared" si="3"/>
        <v>44469</v>
      </c>
      <c r="E31" s="120">
        <f t="shared" si="3"/>
        <v>44561</v>
      </c>
      <c r="F31" s="120">
        <f t="shared" si="3"/>
        <v>44651</v>
      </c>
      <c r="G31" s="120">
        <f t="shared" si="3"/>
        <v>44742</v>
      </c>
      <c r="H31" s="120">
        <f t="shared" si="3"/>
        <v>44834</v>
      </c>
      <c r="I31" s="120">
        <f t="shared" si="3"/>
        <v>44926</v>
      </c>
      <c r="L31" s="53"/>
      <c r="M31" s="225"/>
    </row>
    <row r="32" spans="1:14" ht="15">
      <c r="A32" s="214" t="str">
        <f>HLOOKUP(INDICE!$F$2,Nombres!$C$3:$D$636,105,FALSE)</f>
        <v>Mortages</v>
      </c>
      <c r="B32" s="215">
        <v>1298.157382365054</v>
      </c>
      <c r="C32" s="215">
        <v>1334.8510932922427</v>
      </c>
      <c r="D32" s="215">
        <v>1420.950743180587</v>
      </c>
      <c r="E32" s="215">
        <v>1470.0148479882569</v>
      </c>
      <c r="F32" s="215">
        <v>1457.703526802045</v>
      </c>
      <c r="G32" s="215">
        <v>1456.30754224</v>
      </c>
      <c r="H32" s="215">
        <v>0</v>
      </c>
      <c r="I32" s="215">
        <v>0</v>
      </c>
      <c r="L32" s="215"/>
      <c r="M32" s="225"/>
      <c r="N32" s="267"/>
    </row>
    <row r="33" spans="1:14" ht="15">
      <c r="A33" s="214" t="str">
        <f>HLOOKUP(INDICE!$F$2,Nombres!$C$3:$D$636,106,FALSE)</f>
        <v>Consumer</v>
      </c>
      <c r="B33" s="215">
        <v>3270.605296961364</v>
      </c>
      <c r="C33" s="215">
        <v>3547.777092400631</v>
      </c>
      <c r="D33" s="215">
        <v>3875.312371026936</v>
      </c>
      <c r="E33" s="215">
        <v>4340.108919505534</v>
      </c>
      <c r="F33" s="215">
        <v>4543.49649893377</v>
      </c>
      <c r="G33" s="215">
        <v>5164.968101500001</v>
      </c>
      <c r="H33" s="215">
        <v>0</v>
      </c>
      <c r="I33" s="215">
        <v>0</v>
      </c>
      <c r="L33" s="215"/>
      <c r="M33" s="225"/>
      <c r="N33" s="267"/>
    </row>
    <row r="34" spans="1:14" ht="15">
      <c r="A34" s="214" t="str">
        <f>HLOOKUP(INDICE!$F$2,Nombres!$C$3:$D$636,107,FALSE)</f>
        <v>Credit Cards</v>
      </c>
      <c r="B34" s="215">
        <v>1842.9369053750083</v>
      </c>
      <c r="C34" s="215">
        <v>1947.6922238722343</v>
      </c>
      <c r="D34" s="215">
        <v>2195.6266178882593</v>
      </c>
      <c r="E34" s="215">
        <v>2475.0330558065248</v>
      </c>
      <c r="F34" s="215">
        <v>2762.251493942397</v>
      </c>
      <c r="G34" s="215">
        <v>3329.365</v>
      </c>
      <c r="H34" s="215">
        <v>0</v>
      </c>
      <c r="I34" s="215">
        <v>0</v>
      </c>
      <c r="L34" s="215"/>
      <c r="M34" s="225"/>
      <c r="N34" s="267"/>
    </row>
    <row r="35" spans="1:14" ht="15">
      <c r="A35" s="214" t="str">
        <f>HLOOKUP(INDICE!$F$2,Nombres!$C$3:$D$636,108,FALSE)</f>
        <v>Public Sector</v>
      </c>
      <c r="B35" s="215">
        <v>92.2061597965184</v>
      </c>
      <c r="C35" s="215">
        <v>91.82603590786199</v>
      </c>
      <c r="D35" s="215">
        <v>81.74094580871301</v>
      </c>
      <c r="E35" s="215">
        <v>204.4351177966528</v>
      </c>
      <c r="F35" s="215">
        <v>262.2416597441217</v>
      </c>
      <c r="G35" s="215">
        <v>658.8080000000001</v>
      </c>
      <c r="H35" s="215">
        <v>0</v>
      </c>
      <c r="I35" s="215">
        <v>0</v>
      </c>
      <c r="L35" s="215"/>
      <c r="M35" s="225"/>
      <c r="N35" s="267"/>
    </row>
    <row r="36" spans="1:14" ht="15">
      <c r="A36" s="214" t="str">
        <f>HLOOKUP(INDICE!$F$2,Nombres!$C$3:$D$636,109,FALSE)</f>
        <v>Financial and Non Financial Companies</v>
      </c>
      <c r="B36" s="215">
        <v>13395.40880379379</v>
      </c>
      <c r="C36" s="215">
        <v>14026.696598856177</v>
      </c>
      <c r="D36" s="215">
        <v>14696.317324404521</v>
      </c>
      <c r="E36" s="215">
        <v>18071.330792066048</v>
      </c>
      <c r="F36" s="215">
        <v>21575.573084337037</v>
      </c>
      <c r="G36" s="215">
        <v>23998.602</v>
      </c>
      <c r="H36" s="215">
        <v>0</v>
      </c>
      <c r="I36" s="215">
        <v>0</v>
      </c>
      <c r="L36" s="214"/>
      <c r="M36" s="225"/>
      <c r="N36" s="267"/>
    </row>
    <row r="37" spans="1:14" ht="15">
      <c r="A37" s="214" t="str">
        <f>HLOOKUP(INDICE!$F$2,Nombres!$C$3:$D$636,111,FALSE)</f>
        <v>Others</v>
      </c>
      <c r="B37" s="215">
        <v>382.64005706355886</v>
      </c>
      <c r="C37" s="215">
        <v>400.41298413561015</v>
      </c>
      <c r="D37" s="215">
        <v>424.34570402344826</v>
      </c>
      <c r="E37" s="215">
        <v>358.0885296257144</v>
      </c>
      <c r="F37" s="215">
        <v>398.35016009718703</v>
      </c>
      <c r="G37" s="215">
        <v>544.1843562600008</v>
      </c>
      <c r="H37" s="215">
        <v>0</v>
      </c>
      <c r="I37" s="215">
        <v>0</v>
      </c>
      <c r="L37" s="214"/>
      <c r="M37" s="225"/>
      <c r="N37" s="267"/>
    </row>
    <row r="38" spans="1:14" ht="15">
      <c r="A38" s="216" t="str">
        <f>HLOOKUP(INDICE!$F$2,Nombres!$C$3:$D$636,112,FALSE)</f>
        <v>Performing Loans under management (*)</v>
      </c>
      <c r="B38" s="217">
        <v>20281.95460535529</v>
      </c>
      <c r="C38" s="217">
        <v>21349.25602846476</v>
      </c>
      <c r="D38" s="217">
        <v>22694.29370633246</v>
      </c>
      <c r="E38" s="217">
        <v>26919.011262788725</v>
      </c>
      <c r="F38" s="217">
        <v>30999.61642385656</v>
      </c>
      <c r="G38" s="217">
        <v>35152.235</v>
      </c>
      <c r="H38" s="217">
        <v>0</v>
      </c>
      <c r="I38" s="217">
        <v>0</v>
      </c>
      <c r="L38" s="214"/>
      <c r="M38" s="225"/>
      <c r="N38" s="267"/>
    </row>
    <row r="39" spans="1:14" ht="15.75" customHeight="1">
      <c r="A39" s="216"/>
      <c r="B39" s="217"/>
      <c r="C39" s="217"/>
      <c r="D39" s="217"/>
      <c r="E39" s="217"/>
      <c r="F39" s="217"/>
      <c r="G39" s="217"/>
      <c r="H39" s="217"/>
      <c r="I39" s="217"/>
      <c r="L39" s="214"/>
      <c r="M39" s="225"/>
      <c r="N39" s="267"/>
    </row>
    <row r="40" spans="1:13" ht="15.75" customHeight="1">
      <c r="A40" s="216"/>
      <c r="B40" s="217"/>
      <c r="C40" s="217"/>
      <c r="D40" s="217"/>
      <c r="E40" s="217"/>
      <c r="F40" s="217"/>
      <c r="G40" s="217"/>
      <c r="H40" s="217"/>
      <c r="I40" s="217"/>
      <c r="L40" s="214"/>
      <c r="M40" s="225"/>
    </row>
    <row r="41" spans="1:13" ht="15">
      <c r="A41" s="216"/>
      <c r="B41" s="217"/>
      <c r="C41" s="217"/>
      <c r="D41" s="217"/>
      <c r="E41" s="217"/>
      <c r="F41" s="217"/>
      <c r="G41" s="217"/>
      <c r="H41" s="217"/>
      <c r="I41" s="217"/>
      <c r="L41" s="214"/>
      <c r="M41" s="225"/>
    </row>
    <row r="42" spans="1:13" ht="15.75" customHeight="1">
      <c r="A42" s="212"/>
      <c r="B42" s="307" t="str">
        <f>HLOOKUP(INDICE!$F$2,Nombres!$C$3:$D$636,296,FALSE)</f>
        <v>Turkey Bank only</v>
      </c>
      <c r="C42" s="307"/>
      <c r="D42" s="307"/>
      <c r="E42" s="307"/>
      <c r="F42" s="307"/>
      <c r="G42" s="307"/>
      <c r="H42" s="307"/>
      <c r="I42" s="307"/>
      <c r="L42" s="225"/>
      <c r="M42" s="225"/>
    </row>
    <row r="43" spans="1:13" ht="15.75">
      <c r="A43" s="213"/>
      <c r="B43" s="120">
        <f>+B$5</f>
        <v>44286</v>
      </c>
      <c r="C43" s="120">
        <f aca="true" t="shared" si="4" ref="C43:I43">+C$5</f>
        <v>44377</v>
      </c>
      <c r="D43" s="120">
        <f t="shared" si="4"/>
        <v>44469</v>
      </c>
      <c r="E43" s="120">
        <f t="shared" si="4"/>
        <v>44561</v>
      </c>
      <c r="F43" s="120">
        <f t="shared" si="4"/>
        <v>44651</v>
      </c>
      <c r="G43" s="120">
        <f t="shared" si="4"/>
        <v>44742</v>
      </c>
      <c r="H43" s="120">
        <f t="shared" si="4"/>
        <v>44834</v>
      </c>
      <c r="I43" s="120">
        <f t="shared" si="4"/>
        <v>44926</v>
      </c>
      <c r="L43" s="53"/>
      <c r="M43" s="225"/>
    </row>
    <row r="44" spans="1:13" ht="15">
      <c r="A44" s="214" t="str">
        <f>HLOOKUP(INDICE!$F$2,Nombres!$C$3:$D$636,285,FALSE)</f>
        <v>Retail Loans TL</v>
      </c>
      <c r="B44" s="215">
        <v>6619.453601053403</v>
      </c>
      <c r="C44" s="215">
        <v>7085.393320086826</v>
      </c>
      <c r="D44" s="215">
        <v>7808.569621465015</v>
      </c>
      <c r="E44" s="215">
        <v>8448.949508508082</v>
      </c>
      <c r="F44" s="215">
        <v>9010.33611056027</v>
      </c>
      <c r="G44" s="215">
        <v>10369.174768951218</v>
      </c>
      <c r="H44" s="215">
        <v>0</v>
      </c>
      <c r="I44" s="215">
        <v>0</v>
      </c>
      <c r="L44" s="215"/>
      <c r="M44" s="225"/>
    </row>
    <row r="45" spans="1:14" ht="15">
      <c r="A45" s="214" t="str">
        <f>HLOOKUP(INDICE!$F$2,Nombres!$C$3:$D$636,286,FALSE)</f>
        <v>Commercial Loans TL</v>
      </c>
      <c r="B45" s="215">
        <v>5910.751852260128</v>
      </c>
      <c r="C45" s="215">
        <v>6279.035381712853</v>
      </c>
      <c r="D45" s="215">
        <v>6663.955809745412</v>
      </c>
      <c r="E45" s="215">
        <v>6702.600139247792</v>
      </c>
      <c r="F45" s="215">
        <v>8627.560703501893</v>
      </c>
      <c r="G45" s="215">
        <v>10230.938702511814</v>
      </c>
      <c r="H45" s="215">
        <v>0</v>
      </c>
      <c r="I45" s="215">
        <v>0</v>
      </c>
      <c r="L45" s="215"/>
      <c r="M45" s="225"/>
      <c r="N45" s="267"/>
    </row>
    <row r="46" spans="1:14" ht="15">
      <c r="A46" s="216" t="str">
        <f>HLOOKUP(INDICE!$F$2,Nombres!$C$3:$D$636,287,FALSE)</f>
        <v>Total Loans TL</v>
      </c>
      <c r="B46" s="217">
        <v>12530.205453313529</v>
      </c>
      <c r="C46" s="217">
        <v>13364.42870179968</v>
      </c>
      <c r="D46" s="217">
        <v>14472.525431210426</v>
      </c>
      <c r="E46" s="217">
        <v>15151.549647755874</v>
      </c>
      <c r="F46" s="217">
        <v>17637.896814062166</v>
      </c>
      <c r="G46" s="217">
        <v>20600.113471463035</v>
      </c>
      <c r="H46" s="217">
        <v>0</v>
      </c>
      <c r="I46" s="217">
        <v>0</v>
      </c>
      <c r="L46" s="215"/>
      <c r="M46" s="225"/>
      <c r="N46" s="267"/>
    </row>
    <row r="47" spans="1:14" ht="15">
      <c r="A47" s="216" t="str">
        <f>HLOOKUP(INDICE!$F$2,Nombres!$C$3:$D$636,288,FALSE)</f>
        <v>Total Loans FC</v>
      </c>
      <c r="B47" s="217">
        <v>11335.761331600672</v>
      </c>
      <c r="C47" s="217">
        <v>11288.131582154616</v>
      </c>
      <c r="D47" s="217">
        <v>11012.240202744888</v>
      </c>
      <c r="E47" s="217">
        <v>10397.674274085774</v>
      </c>
      <c r="F47" s="217">
        <v>10744.893402915444</v>
      </c>
      <c r="G47" s="217">
        <v>9902.19879582539</v>
      </c>
      <c r="H47" s="217">
        <v>0</v>
      </c>
      <c r="I47" s="217">
        <v>0</v>
      </c>
      <c r="L47" s="214"/>
      <c r="M47" s="225"/>
      <c r="N47" s="267"/>
    </row>
    <row r="48" spans="1:14" ht="15.75">
      <c r="A48" s="224" t="str">
        <f>HLOOKUP(INDICE!$F$2,Nombres!$C$3:$D$636,295,FALSE)</f>
        <v>(TL Turkish Lira FC Foreign Currency)</v>
      </c>
      <c r="B48" s="218">
        <f>+SUM(B32:B37)-B38</f>
        <v>0</v>
      </c>
      <c r="C48" s="218">
        <f aca="true" t="shared" si="5" ref="C48:I48">+SUM(C32:C37)-C38</f>
        <v>0</v>
      </c>
      <c r="D48" s="218">
        <f t="shared" si="5"/>
        <v>0</v>
      </c>
      <c r="E48" s="218">
        <f t="shared" si="5"/>
        <v>0</v>
      </c>
      <c r="F48" s="218">
        <f t="shared" si="5"/>
        <v>0</v>
      </c>
      <c r="G48" s="218">
        <f t="shared" si="5"/>
        <v>0</v>
      </c>
      <c r="H48" s="218">
        <f t="shared" si="5"/>
        <v>0</v>
      </c>
      <c r="I48" s="218">
        <f t="shared" si="5"/>
        <v>0</v>
      </c>
      <c r="L48" s="216"/>
      <c r="M48" s="225"/>
      <c r="N48" s="267"/>
    </row>
    <row r="49" spans="1:14" ht="15.75">
      <c r="A49" s="209"/>
      <c r="B49" s="219"/>
      <c r="C49" s="219"/>
      <c r="D49" s="219"/>
      <c r="E49" s="219"/>
      <c r="F49" s="219"/>
      <c r="G49" s="219"/>
      <c r="H49" s="219"/>
      <c r="I49" s="219"/>
      <c r="L49" s="219"/>
      <c r="M49" s="225"/>
      <c r="N49" s="267"/>
    </row>
    <row r="50" spans="1:14" ht="15.75">
      <c r="A50" s="209"/>
      <c r="B50" s="219"/>
      <c r="C50" s="219"/>
      <c r="D50" s="219"/>
      <c r="E50" s="219"/>
      <c r="F50" s="219"/>
      <c r="G50" s="219"/>
      <c r="H50" s="219"/>
      <c r="I50" s="219"/>
      <c r="L50" s="219"/>
      <c r="N50" s="267"/>
    </row>
    <row r="51" spans="1:14" ht="15.75" customHeight="1">
      <c r="A51" s="212"/>
      <c r="B51" s="307" t="str">
        <f>HLOOKUP(INDICE!$F$2,Nombres!$C$3:$D$636,283,FALSE)</f>
        <v>South America </v>
      </c>
      <c r="C51" s="307"/>
      <c r="D51" s="307"/>
      <c r="E51" s="307"/>
      <c r="F51" s="307"/>
      <c r="G51" s="307"/>
      <c r="H51" s="307"/>
      <c r="I51" s="307"/>
      <c r="N51" s="267"/>
    </row>
    <row r="52" spans="1:14" ht="15.75">
      <c r="A52" s="213"/>
      <c r="B52" s="120">
        <f>+B$5</f>
        <v>44286</v>
      </c>
      <c r="C52" s="120">
        <f aca="true" t="shared" si="6" ref="C52:I52">+C$5</f>
        <v>44377</v>
      </c>
      <c r="D52" s="120">
        <f t="shared" si="6"/>
        <v>44469</v>
      </c>
      <c r="E52" s="120">
        <f t="shared" si="6"/>
        <v>44561</v>
      </c>
      <c r="F52" s="120">
        <f t="shared" si="6"/>
        <v>44651</v>
      </c>
      <c r="G52" s="120">
        <f t="shared" si="6"/>
        <v>44742</v>
      </c>
      <c r="H52" s="120">
        <f t="shared" si="6"/>
        <v>44834</v>
      </c>
      <c r="I52" s="120">
        <f t="shared" si="6"/>
        <v>44926</v>
      </c>
      <c r="N52" s="267"/>
    </row>
    <row r="53" spans="1:12" ht="15">
      <c r="A53" s="214" t="s">
        <v>7</v>
      </c>
      <c r="B53" s="215">
        <v>2277.6204767057884</v>
      </c>
      <c r="C53" s="215">
        <v>2430.39791720367</v>
      </c>
      <c r="D53" s="215">
        <v>2612.327816508798</v>
      </c>
      <c r="E53" s="215">
        <v>2986.294083352544</v>
      </c>
      <c r="F53" s="215">
        <v>3211.215717371125</v>
      </c>
      <c r="G53" s="215">
        <v>4018.4619623099998</v>
      </c>
      <c r="H53" s="215">
        <v>0</v>
      </c>
      <c r="I53" s="215">
        <v>0</v>
      </c>
      <c r="L53" s="215"/>
    </row>
    <row r="54" spans="1:12" ht="15">
      <c r="A54" s="214" t="s">
        <v>8</v>
      </c>
      <c r="B54" s="215">
        <v>1345.933470376844</v>
      </c>
      <c r="C54" s="215">
        <v>1352.490307993104</v>
      </c>
      <c r="D54" s="215">
        <v>1365.942049856547</v>
      </c>
      <c r="E54" s="215">
        <v>1416.9863857209969</v>
      </c>
      <c r="F54" s="215">
        <v>1512.2782472589374</v>
      </c>
      <c r="G54" s="215">
        <v>1629.866</v>
      </c>
      <c r="H54" s="215">
        <v>0</v>
      </c>
      <c r="I54" s="215">
        <v>0</v>
      </c>
      <c r="L54" s="215"/>
    </row>
    <row r="55" spans="1:12" ht="15.75" customHeight="1">
      <c r="A55" s="214" t="s">
        <v>9</v>
      </c>
      <c r="B55" s="215">
        <v>11615.408133315166</v>
      </c>
      <c r="C55" s="215">
        <v>11870.987407557426</v>
      </c>
      <c r="D55" s="215">
        <v>12210.400855294465</v>
      </c>
      <c r="E55" s="215">
        <v>12971.921292692854</v>
      </c>
      <c r="F55" s="215">
        <v>13653.861118653947</v>
      </c>
      <c r="G55" s="215">
        <v>14583.700881230001</v>
      </c>
      <c r="H55" s="215">
        <v>0</v>
      </c>
      <c r="I55" s="215">
        <v>0</v>
      </c>
      <c r="L55" s="215"/>
    </row>
    <row r="56" spans="1:12" ht="15">
      <c r="A56" s="214" t="s">
        <v>10</v>
      </c>
      <c r="B56" s="215">
        <v>17193.18734983037</v>
      </c>
      <c r="C56" s="215">
        <v>18100.01677668392</v>
      </c>
      <c r="D56" s="215">
        <v>17813.07958034401</v>
      </c>
      <c r="E56" s="215">
        <v>17851.654745446413</v>
      </c>
      <c r="F56" s="215">
        <v>17637.999259686516</v>
      </c>
      <c r="G56" s="215">
        <v>17577.676595989997</v>
      </c>
      <c r="H56" s="215">
        <v>0</v>
      </c>
      <c r="I56" s="215">
        <v>0</v>
      </c>
      <c r="L56" s="215"/>
    </row>
    <row r="57" spans="1:14" ht="15">
      <c r="A57" s="214" t="s">
        <v>11</v>
      </c>
      <c r="B57" s="215">
        <v>2092.3220443815235</v>
      </c>
      <c r="C57" s="215">
        <v>2092.779126498342</v>
      </c>
      <c r="D57" s="215">
        <v>2092.021519120164</v>
      </c>
      <c r="E57" s="215">
        <v>2353.290275175917</v>
      </c>
      <c r="F57" s="215">
        <v>2211.2846111812682</v>
      </c>
      <c r="G57" s="215">
        <v>2365.43165023</v>
      </c>
      <c r="H57" s="215">
        <v>0</v>
      </c>
      <c r="I57" s="215">
        <v>0</v>
      </c>
      <c r="L57" s="215"/>
      <c r="N57" s="267"/>
    </row>
    <row r="58" spans="1:14" ht="15">
      <c r="A58" s="216" t="str">
        <f>HLOOKUP(INDICE!$F$2,Nombres!$C$3:$D$636,112,FALSE)</f>
        <v>Performing Loans under management (*)</v>
      </c>
      <c r="B58" s="217">
        <v>34524.471474609694</v>
      </c>
      <c r="C58" s="217">
        <v>35846.67153593646</v>
      </c>
      <c r="D58" s="217">
        <v>36093.77182112398</v>
      </c>
      <c r="E58" s="217">
        <v>37580.14678238873</v>
      </c>
      <c r="F58" s="217">
        <v>38226.6389541518</v>
      </c>
      <c r="G58" s="217">
        <v>40175.13708975999</v>
      </c>
      <c r="H58" s="217">
        <v>0</v>
      </c>
      <c r="I58" s="217">
        <v>0</v>
      </c>
      <c r="L58" s="216"/>
      <c r="N58" s="267"/>
    </row>
    <row r="59" spans="1:14" ht="15.75">
      <c r="A59" s="209"/>
      <c r="B59" s="218">
        <f>+SUM(B53:B57)-B58</f>
        <v>0</v>
      </c>
      <c r="C59" s="218">
        <f aca="true" t="shared" si="7" ref="C59:I59">+SUM(C53:C57)-C58</f>
        <v>0</v>
      </c>
      <c r="D59" s="218">
        <f t="shared" si="7"/>
        <v>0</v>
      </c>
      <c r="E59" s="218">
        <f t="shared" si="7"/>
        <v>0</v>
      </c>
      <c r="F59" s="218">
        <f t="shared" si="7"/>
        <v>0</v>
      </c>
      <c r="G59" s="218">
        <f t="shared" si="7"/>
        <v>0</v>
      </c>
      <c r="H59" s="218">
        <f t="shared" si="7"/>
        <v>0</v>
      </c>
      <c r="I59" s="218">
        <f t="shared" si="7"/>
        <v>0</v>
      </c>
      <c r="L59" s="219"/>
      <c r="N59" s="267"/>
    </row>
    <row r="60" spans="1:14" ht="15" customHeight="1">
      <c r="A60" s="209"/>
      <c r="B60" s="209"/>
      <c r="C60" s="209"/>
      <c r="D60" s="209"/>
      <c r="E60" s="209"/>
      <c r="F60" s="209"/>
      <c r="L60" s="209"/>
      <c r="N60" s="267"/>
    </row>
    <row r="61" spans="1:14" ht="15" customHeight="1">
      <c r="A61" s="226" t="str">
        <f>HLOOKUP(INDICE!$F$2,Nombres!$C$3:$D$636,71,FALSE)</f>
        <v>(*) Excluding repos. </v>
      </c>
      <c r="B61" s="209"/>
      <c r="C61" s="209"/>
      <c r="D61" s="209"/>
      <c r="E61" s="209"/>
      <c r="F61" s="209"/>
      <c r="L61" s="209"/>
      <c r="N61" s="267"/>
    </row>
    <row r="62" spans="1:14" ht="15" customHeight="1">
      <c r="A62" s="226" t="str">
        <f>HLOOKUP(INDICE!$F$2,Nombres!$C$3:$D$636,299,FALSE)</f>
        <v>(***) Paraguay excluded </v>
      </c>
      <c r="B62" s="209"/>
      <c r="C62" s="209"/>
      <c r="D62" s="209"/>
      <c r="E62" s="209"/>
      <c r="F62" s="209"/>
      <c r="L62" s="209"/>
      <c r="N62" s="267"/>
    </row>
    <row r="63" spans="1:12" ht="15.75">
      <c r="A63" s="209"/>
      <c r="B63" s="209"/>
      <c r="C63" s="209"/>
      <c r="D63" s="209"/>
      <c r="E63" s="209"/>
      <c r="F63" s="209"/>
      <c r="L63" s="209"/>
    </row>
    <row r="64" spans="1:12" ht="15.75">
      <c r="A64" s="209"/>
      <c r="B64" s="209"/>
      <c r="C64" s="209"/>
      <c r="D64" s="209"/>
      <c r="E64" s="209"/>
      <c r="F64" s="209"/>
      <c r="L64" s="209"/>
    </row>
    <row r="65" spans="1:12" ht="15.75">
      <c r="A65" s="209"/>
      <c r="B65" s="209"/>
      <c r="C65" s="209"/>
      <c r="D65" s="209"/>
      <c r="E65" s="209"/>
      <c r="F65" s="209"/>
      <c r="L65" s="209"/>
    </row>
    <row r="66" spans="1:12" ht="15.75">
      <c r="A66" s="209"/>
      <c r="B66" s="209"/>
      <c r="C66" s="209"/>
      <c r="D66" s="209"/>
      <c r="E66" s="209"/>
      <c r="F66" s="209"/>
      <c r="L66" s="209"/>
    </row>
    <row r="67" spans="1:12" ht="15.75">
      <c r="A67" s="209"/>
      <c r="B67" s="209"/>
      <c r="C67" s="209"/>
      <c r="D67" s="209"/>
      <c r="E67" s="209"/>
      <c r="F67" s="209"/>
      <c r="L67" s="209"/>
    </row>
    <row r="68" spans="1:12" ht="15.75">
      <c r="A68" s="209"/>
      <c r="B68" s="209"/>
      <c r="C68" s="209"/>
      <c r="D68" s="209"/>
      <c r="E68" s="209"/>
      <c r="F68" s="209"/>
      <c r="L68" s="209"/>
    </row>
    <row r="69" spans="1:12" ht="15.75">
      <c r="A69" s="209"/>
      <c r="B69" s="209"/>
      <c r="C69" s="209"/>
      <c r="D69" s="209"/>
      <c r="E69" s="209"/>
      <c r="F69" s="209"/>
      <c r="L69" s="209"/>
    </row>
    <row r="70" spans="1:12" ht="15.75">
      <c r="A70" s="209"/>
      <c r="B70" s="209"/>
      <c r="C70" s="209"/>
      <c r="D70" s="209"/>
      <c r="E70" s="209"/>
      <c r="F70" s="209"/>
      <c r="L70" s="209"/>
    </row>
    <row r="996" ht="15">
      <c r="A996" s="208" t="s">
        <v>392</v>
      </c>
    </row>
  </sheetData>
  <sheetProtection/>
  <mergeCells count="5">
    <mergeCell ref="B4:I4"/>
    <mergeCell ref="B17:I17"/>
    <mergeCell ref="B30:I30"/>
    <mergeCell ref="B42:I42"/>
    <mergeCell ref="B51:I51"/>
  </mergeCells>
  <conditionalFormatting sqref="B14:I14">
    <cfRule type="cellIs" priority="6" dxfId="127" operator="notBetween">
      <formula>0.5</formula>
      <formula>-0.5</formula>
    </cfRule>
  </conditionalFormatting>
  <conditionalFormatting sqref="B27:I27">
    <cfRule type="cellIs" priority="5" dxfId="127" operator="notBetween">
      <formula>0.5</formula>
      <formula>-0.5</formula>
    </cfRule>
  </conditionalFormatting>
  <conditionalFormatting sqref="C27:I27">
    <cfRule type="cellIs" priority="4" dxfId="127" operator="notBetween">
      <formula>0.5</formula>
      <formula>-0.5</formula>
    </cfRule>
  </conditionalFormatting>
  <conditionalFormatting sqref="B48">
    <cfRule type="cellIs" priority="3" dxfId="127" operator="notBetween">
      <formula>0.5</formula>
      <formula>-0.5</formula>
    </cfRule>
  </conditionalFormatting>
  <conditionalFormatting sqref="C48:I48">
    <cfRule type="cellIs" priority="2" dxfId="127" operator="notBetween">
      <formula>0.5</formula>
      <formula>-0.5</formula>
    </cfRule>
  </conditionalFormatting>
  <conditionalFormatting sqref="B59:I59">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8" customWidth="1"/>
    <col min="2" max="2" width="12.28125" style="208" customWidth="1"/>
    <col min="3" max="7" width="11.421875" style="208" customWidth="1"/>
    <col min="8" max="9" width="11.421875" style="208" hidden="1" customWidth="1"/>
    <col min="10" max="11" width="5.7109375" style="208" customWidth="1"/>
    <col min="12" max="12" width="19.57421875" style="208" customWidth="1"/>
    <col min="13" max="16384" width="11.421875" style="208" customWidth="1"/>
  </cols>
  <sheetData>
    <row r="1" spans="1:9" ht="18">
      <c r="A1" s="205" t="str">
        <f>HLOOKUP(INDICE!$F$2,Nombres!$C$3:$D$636,120,FALSE)</f>
        <v>Breakdown of customer funds under management</v>
      </c>
      <c r="B1" s="206"/>
      <c r="C1" s="206"/>
      <c r="D1" s="206"/>
      <c r="E1" s="206"/>
      <c r="F1" s="206"/>
      <c r="G1" s="206"/>
      <c r="H1" s="206"/>
      <c r="I1" s="206"/>
    </row>
    <row r="2" spans="1:6" ht="15.75">
      <c r="A2" s="210" t="str">
        <f>HLOOKUP(INDICE!$F$2,Nombres!$C$3:$D$636,73,FALSE)</f>
        <v>(Constant million euros)    </v>
      </c>
      <c r="B2" s="209"/>
      <c r="C2" s="209"/>
      <c r="D2" s="209"/>
      <c r="E2" s="209"/>
      <c r="F2" s="209"/>
    </row>
    <row r="3" spans="1:12" ht="15.75" customHeight="1">
      <c r="A3" s="212"/>
      <c r="B3" s="307" t="str">
        <f>HLOOKUP(INDICE!$F$2,Nombres!$C$3:$D$636,7,FALSE)</f>
        <v>Spain</v>
      </c>
      <c r="C3" s="307"/>
      <c r="D3" s="307"/>
      <c r="E3" s="307"/>
      <c r="F3" s="307"/>
      <c r="G3" s="307"/>
      <c r="H3" s="307"/>
      <c r="I3" s="307"/>
      <c r="L3" s="227"/>
    </row>
    <row r="4" spans="1:9" ht="15.75">
      <c r="A4" s="213"/>
      <c r="B4" s="120">
        <f>+España!B32</f>
        <v>44286</v>
      </c>
      <c r="C4" s="120">
        <f>+España!C32</f>
        <v>44377</v>
      </c>
      <c r="D4" s="120">
        <f>+España!D32</f>
        <v>44469</v>
      </c>
      <c r="E4" s="120">
        <f>+España!E32</f>
        <v>44561</v>
      </c>
      <c r="F4" s="120">
        <f>+España!F32</f>
        <v>44651</v>
      </c>
      <c r="G4" s="120">
        <f>+España!G32</f>
        <v>44742</v>
      </c>
      <c r="H4" s="120">
        <f>+España!H32</f>
        <v>44834</v>
      </c>
      <c r="I4" s="120">
        <f>+España!I32</f>
        <v>44926</v>
      </c>
    </row>
    <row r="5" spans="1:12" ht="15">
      <c r="A5" s="214" t="str">
        <f>HLOOKUP(INDICE!$F$2,Nombres!$C$3:$D$636,114,FALSE)</f>
        <v>Demand deposits</v>
      </c>
      <c r="B5" s="215">
        <v>168710.114432</v>
      </c>
      <c r="C5" s="215">
        <v>176043.216854</v>
      </c>
      <c r="D5" s="215">
        <v>178825.393642</v>
      </c>
      <c r="E5" s="215">
        <v>187799.701281</v>
      </c>
      <c r="F5" s="215">
        <v>189479.81666299998</v>
      </c>
      <c r="G5" s="215">
        <v>194253.540965</v>
      </c>
      <c r="H5" s="215">
        <v>0</v>
      </c>
      <c r="I5" s="215">
        <v>0</v>
      </c>
      <c r="L5" s="214"/>
    </row>
    <row r="6" spans="1:12" ht="15">
      <c r="A6" s="214" t="str">
        <f>HLOOKUP(INDICE!$F$2,Nombres!$C$3:$D$636,115,FALSE)</f>
        <v>Time deposits</v>
      </c>
      <c r="B6" s="215">
        <v>27294.733647999998</v>
      </c>
      <c r="C6" s="215">
        <v>23537.501437</v>
      </c>
      <c r="D6" s="215">
        <v>20774.126148</v>
      </c>
      <c r="E6" s="215">
        <v>18108.518429</v>
      </c>
      <c r="F6" s="215">
        <v>16447.146971</v>
      </c>
      <c r="G6" s="215">
        <v>16279.156135</v>
      </c>
      <c r="H6" s="215">
        <v>0</v>
      </c>
      <c r="I6" s="215">
        <v>0</v>
      </c>
      <c r="L6" s="214"/>
    </row>
    <row r="7" spans="1:12" ht="15">
      <c r="A7" s="214" t="str">
        <f>HLOOKUP(INDICE!$F$2,Nombres!$C$3:$D$636,116,FALSE)</f>
        <v>Off balance sheet funds (*)</v>
      </c>
      <c r="B7" s="215">
        <v>85953.18231096</v>
      </c>
      <c r="C7" s="215">
        <v>88987.55831479999</v>
      </c>
      <c r="D7" s="215">
        <v>89922.14088796</v>
      </c>
      <c r="E7" s="215">
        <v>94095.01092594</v>
      </c>
      <c r="F7" s="215">
        <v>90827.85125446998</v>
      </c>
      <c r="G7" s="215">
        <v>86828.40831213</v>
      </c>
      <c r="H7" s="215">
        <v>0</v>
      </c>
      <c r="I7" s="215">
        <v>0</v>
      </c>
      <c r="L7" s="214"/>
    </row>
    <row r="8" spans="1:12" ht="15">
      <c r="A8" s="216" t="str">
        <f>HLOOKUP(INDICE!$F$2,Nombres!$C$3:$D$636,208,FALSE)</f>
        <v>Customer funds under management (**)</v>
      </c>
      <c r="B8" s="216">
        <v>281958.03039096005</v>
      </c>
      <c r="C8" s="216">
        <v>288568.2766058001</v>
      </c>
      <c r="D8" s="216">
        <v>289521.6606779601</v>
      </c>
      <c r="E8" s="216">
        <v>300003.23063594</v>
      </c>
      <c r="F8" s="216">
        <v>296754.81488846993</v>
      </c>
      <c r="G8" s="216">
        <v>297361.10541212995</v>
      </c>
      <c r="H8" s="216">
        <v>0</v>
      </c>
      <c r="I8" s="216">
        <v>0</v>
      </c>
      <c r="L8" s="216"/>
    </row>
    <row r="9" spans="1:12" ht="15.75">
      <c r="A9" s="214" t="str">
        <f>HLOOKUP(INDICE!$F$2,Nombres!$C$3:$D$636,118,FALSE)</f>
        <v>Demand + Time deposits</v>
      </c>
      <c r="B9" s="220">
        <f>+B5+B6</f>
        <v>196004.84808</v>
      </c>
      <c r="C9" s="220">
        <f aca="true" t="shared" si="0" ref="C9:I9">+C5+C6</f>
        <v>199580.718291</v>
      </c>
      <c r="D9" s="220">
        <f t="shared" si="0"/>
        <v>199599.51979000002</v>
      </c>
      <c r="E9" s="220">
        <f t="shared" si="0"/>
        <v>205908.21970999998</v>
      </c>
      <c r="F9" s="220">
        <f t="shared" si="0"/>
        <v>205926.96363399999</v>
      </c>
      <c r="G9" s="257">
        <f t="shared" si="0"/>
        <v>210532.6971</v>
      </c>
      <c r="H9" s="257">
        <f t="shared" si="0"/>
        <v>0</v>
      </c>
      <c r="I9" s="257">
        <f t="shared" si="0"/>
        <v>0</v>
      </c>
      <c r="L9" s="209"/>
    </row>
    <row r="10" spans="1:9" ht="15.75">
      <c r="A10" s="209"/>
      <c r="B10" s="218">
        <f>+B5+B6+B7-B8</f>
        <v>0</v>
      </c>
      <c r="C10" s="218">
        <f aca="true" t="shared" si="1" ref="C10:I10">+C5+C6+C7-C8</f>
        <v>0</v>
      </c>
      <c r="D10" s="218">
        <f t="shared" si="1"/>
        <v>0</v>
      </c>
      <c r="E10" s="218">
        <f t="shared" si="1"/>
        <v>0</v>
      </c>
      <c r="F10" s="218">
        <f t="shared" si="1"/>
        <v>0</v>
      </c>
      <c r="G10" s="218">
        <f t="shared" si="1"/>
        <v>0</v>
      </c>
      <c r="H10" s="218">
        <f t="shared" si="1"/>
        <v>0</v>
      </c>
      <c r="I10" s="218">
        <f t="shared" si="1"/>
        <v>0</v>
      </c>
    </row>
    <row r="11" spans="1:9" ht="15.75">
      <c r="A11" s="209"/>
      <c r="B11" s="228"/>
      <c r="C11" s="220"/>
      <c r="D11" s="220"/>
      <c r="E11" s="220"/>
      <c r="F11" s="220"/>
      <c r="G11" s="220"/>
      <c r="H11" s="220"/>
      <c r="I11" s="220"/>
    </row>
    <row r="12" spans="1:12" ht="15.75" customHeight="1">
      <c r="A12" s="212"/>
      <c r="B12" s="307" t="str">
        <f>HLOOKUP(INDICE!$F$2,Nombres!$C$3:$D$636,204,FALSE)</f>
        <v>Mexico (***)</v>
      </c>
      <c r="C12" s="307"/>
      <c r="D12" s="307"/>
      <c r="E12" s="307"/>
      <c r="F12" s="307"/>
      <c r="G12" s="307"/>
      <c r="H12" s="307"/>
      <c r="I12" s="307"/>
      <c r="L12" s="227"/>
    </row>
    <row r="13" spans="1:9" ht="15.75">
      <c r="A13" s="213"/>
      <c r="B13" s="120">
        <f>+B$4</f>
        <v>44286</v>
      </c>
      <c r="C13" s="120">
        <f aca="true" t="shared" si="2" ref="C13:I13">+C$4</f>
        <v>44377</v>
      </c>
      <c r="D13" s="120">
        <f t="shared" si="2"/>
        <v>44469</v>
      </c>
      <c r="E13" s="120">
        <f t="shared" si="2"/>
        <v>44561</v>
      </c>
      <c r="F13" s="120">
        <f t="shared" si="2"/>
        <v>44651</v>
      </c>
      <c r="G13" s="120">
        <f t="shared" si="2"/>
        <v>44742</v>
      </c>
      <c r="H13" s="120">
        <f t="shared" si="2"/>
        <v>44834</v>
      </c>
      <c r="I13" s="120">
        <f t="shared" si="2"/>
        <v>44926</v>
      </c>
    </row>
    <row r="14" spans="1:12" ht="15">
      <c r="A14" s="214" t="str">
        <f>HLOOKUP(INDICE!$F$2,Nombres!$C$3:$D$636,114,FALSE)</f>
        <v>Demand deposits</v>
      </c>
      <c r="B14" s="215">
        <v>53036.47213818375</v>
      </c>
      <c r="C14" s="215">
        <v>53830.49100327498</v>
      </c>
      <c r="D14" s="215">
        <v>54738.997336162356</v>
      </c>
      <c r="E14" s="215">
        <v>59127.74695743609</v>
      </c>
      <c r="F14" s="215">
        <v>61933.947903072854</v>
      </c>
      <c r="G14" s="215">
        <v>60965.208819912594</v>
      </c>
      <c r="H14" s="215">
        <v>0</v>
      </c>
      <c r="I14" s="215">
        <v>0</v>
      </c>
      <c r="J14" s="215"/>
      <c r="L14" s="214"/>
    </row>
    <row r="15" spans="1:12" ht="15">
      <c r="A15" s="214" t="str">
        <f>HLOOKUP(INDICE!$F$2,Nombres!$C$3:$D$636,115,FALSE)</f>
        <v>Time deposits</v>
      </c>
      <c r="B15" s="215">
        <v>11275.376340954615</v>
      </c>
      <c r="C15" s="215">
        <v>10598.716998313748</v>
      </c>
      <c r="D15" s="215">
        <v>10782.668623296022</v>
      </c>
      <c r="E15" s="215">
        <v>10543.78675918764</v>
      </c>
      <c r="F15" s="215">
        <v>10719.961740186109</v>
      </c>
      <c r="G15" s="215">
        <v>11240.444086925683</v>
      </c>
      <c r="H15" s="215">
        <v>0</v>
      </c>
      <c r="I15" s="215">
        <v>0</v>
      </c>
      <c r="J15" s="215"/>
      <c r="L15" s="214"/>
    </row>
    <row r="16" spans="1:12" ht="15">
      <c r="A16" s="214" t="str">
        <f>HLOOKUP(INDICE!$F$2,Nombres!$C$3:$D$636,116,FALSE)</f>
        <v>Off balance sheet funds (*)</v>
      </c>
      <c r="B16" s="215">
        <v>33857.94673605362</v>
      </c>
      <c r="C16" s="215">
        <v>34610.2970911255</v>
      </c>
      <c r="D16" s="215">
        <v>35135.76548966043</v>
      </c>
      <c r="E16" s="215">
        <v>35746.4081015814</v>
      </c>
      <c r="F16" s="215">
        <v>36284.1837545386</v>
      </c>
      <c r="G16" s="215">
        <v>36908.0822861</v>
      </c>
      <c r="H16" s="215">
        <v>0</v>
      </c>
      <c r="I16" s="215">
        <v>0</v>
      </c>
      <c r="J16" s="215"/>
      <c r="L16" s="214"/>
    </row>
    <row r="17" spans="1:12" ht="15">
      <c r="A17" s="216" t="str">
        <f>HLOOKUP(INDICE!$F$2,Nombres!$C$3:$D$636,208,FALSE)</f>
        <v>Customer funds under management (**)</v>
      </c>
      <c r="B17" s="216">
        <v>98169.79521519199</v>
      </c>
      <c r="C17" s="216">
        <v>99039.50509271423</v>
      </c>
      <c r="D17" s="216">
        <v>100657.43144911881</v>
      </c>
      <c r="E17" s="216">
        <v>105417.94181820513</v>
      </c>
      <c r="F17" s="216">
        <v>108938.09339779757</v>
      </c>
      <c r="G17" s="216">
        <v>109113.73519293827</v>
      </c>
      <c r="H17" s="216">
        <v>0</v>
      </c>
      <c r="I17" s="216">
        <v>0</v>
      </c>
      <c r="J17" s="215"/>
      <c r="L17" s="214"/>
    </row>
    <row r="18" spans="1:12" ht="15.75">
      <c r="A18" s="214" t="str">
        <f>HLOOKUP(INDICE!$F$2,Nombres!$C$3:$D$636,118,FALSE)</f>
        <v>Demand + Time deposits</v>
      </c>
      <c r="B18" s="220">
        <f>+B14+B15</f>
        <v>64311.84847913837</v>
      </c>
      <c r="C18" s="220">
        <f aca="true" t="shared" si="3" ref="C18:I18">+C14+C15</f>
        <v>64429.20800158873</v>
      </c>
      <c r="D18" s="220">
        <f t="shared" si="3"/>
        <v>65521.665959458376</v>
      </c>
      <c r="E18" s="220">
        <f t="shared" si="3"/>
        <v>69671.53371662373</v>
      </c>
      <c r="F18" s="220">
        <f t="shared" si="3"/>
        <v>72653.90964325896</v>
      </c>
      <c r="G18" s="257">
        <f t="shared" si="3"/>
        <v>72205.65290683828</v>
      </c>
      <c r="H18" s="257">
        <f t="shared" si="3"/>
        <v>0</v>
      </c>
      <c r="I18" s="257">
        <f t="shared" si="3"/>
        <v>0</v>
      </c>
      <c r="J18" s="216"/>
      <c r="L18" s="216"/>
    </row>
    <row r="19" spans="1:9" ht="15.75">
      <c r="A19" s="224" t="str">
        <f>HLOOKUP(INDICE!$F$2,Nombres!$C$3:$D$636,205,FALSE)</f>
        <v>According to Local GAAP(***) </v>
      </c>
      <c r="B19" s="218">
        <f>+B14+B15+B16-B17</f>
        <v>0</v>
      </c>
      <c r="C19" s="218">
        <f aca="true" t="shared" si="4" ref="C19:I19">+C14+C15+C16-C17</f>
        <v>0</v>
      </c>
      <c r="D19" s="218">
        <f t="shared" si="4"/>
        <v>0</v>
      </c>
      <c r="E19" s="218">
        <f t="shared" si="4"/>
        <v>0</v>
      </c>
      <c r="F19" s="218">
        <f t="shared" si="4"/>
        <v>0</v>
      </c>
      <c r="G19" s="218">
        <f t="shared" si="4"/>
        <v>0</v>
      </c>
      <c r="H19" s="218">
        <f t="shared" si="4"/>
        <v>0</v>
      </c>
      <c r="I19" s="218">
        <f t="shared" si="4"/>
        <v>0</v>
      </c>
    </row>
    <row r="20" spans="1:12" ht="15.75">
      <c r="A20" s="209"/>
      <c r="B20" s="220"/>
      <c r="C20" s="220"/>
      <c r="D20" s="220"/>
      <c r="E20" s="220"/>
      <c r="F20" s="220"/>
      <c r="L20" s="227"/>
    </row>
    <row r="21" spans="1:12" ht="15.75" customHeight="1">
      <c r="A21" s="212"/>
      <c r="B21" s="307" t="str">
        <f>HLOOKUP(INDICE!$F$2,Nombres!$C$3:$D$636,12,FALSE)</f>
        <v>Turkey </v>
      </c>
      <c r="C21" s="307"/>
      <c r="D21" s="307"/>
      <c r="E21" s="307"/>
      <c r="F21" s="307"/>
      <c r="G21" s="307"/>
      <c r="H21" s="307"/>
      <c r="I21" s="307"/>
      <c r="L21" s="227"/>
    </row>
    <row r="22" spans="1:9" ht="15.75">
      <c r="A22" s="213"/>
      <c r="B22" s="120">
        <f>+B$4</f>
        <v>44286</v>
      </c>
      <c r="C22" s="120">
        <f aca="true" t="shared" si="5" ref="C22:I22">+C$4</f>
        <v>44377</v>
      </c>
      <c r="D22" s="120">
        <f t="shared" si="5"/>
        <v>44469</v>
      </c>
      <c r="E22" s="120">
        <f t="shared" si="5"/>
        <v>44561</v>
      </c>
      <c r="F22" s="120">
        <f t="shared" si="5"/>
        <v>44651</v>
      </c>
      <c r="G22" s="120">
        <f t="shared" si="5"/>
        <v>44742</v>
      </c>
      <c r="H22" s="120">
        <f t="shared" si="5"/>
        <v>44834</v>
      </c>
      <c r="I22" s="120">
        <f t="shared" si="5"/>
        <v>44926</v>
      </c>
    </row>
    <row r="23" spans="1:12" ht="15">
      <c r="A23" s="214" t="str">
        <f>HLOOKUP(INDICE!$F$2,Nombres!$C$3:$D$636,114,FALSE)</f>
        <v>Demand deposits</v>
      </c>
      <c r="B23" s="215">
        <v>10694.166821063036</v>
      </c>
      <c r="C23" s="215">
        <v>11994.458213109085</v>
      </c>
      <c r="D23" s="215">
        <v>12468.679322467107</v>
      </c>
      <c r="E23" s="215">
        <v>19440.620348862223</v>
      </c>
      <c r="F23" s="215">
        <v>20723.54594914133</v>
      </c>
      <c r="G23" s="215">
        <v>23355.615999999998</v>
      </c>
      <c r="H23" s="215">
        <v>0</v>
      </c>
      <c r="I23" s="215">
        <v>0</v>
      </c>
      <c r="L23" s="214"/>
    </row>
    <row r="24" spans="1:12" ht="15">
      <c r="A24" s="214" t="str">
        <f>HLOOKUP(INDICE!$F$2,Nombres!$C$3:$D$636,115,FALSE)</f>
        <v>Time deposits</v>
      </c>
      <c r="B24" s="215">
        <v>10688.682823834097</v>
      </c>
      <c r="C24" s="215">
        <v>11753.223159940315</v>
      </c>
      <c r="D24" s="215">
        <v>12072.42838621882</v>
      </c>
      <c r="E24" s="215">
        <v>14272.268084641399</v>
      </c>
      <c r="F24" s="215">
        <v>17021.189495583658</v>
      </c>
      <c r="G24" s="215">
        <v>19331.287999999997</v>
      </c>
      <c r="H24" s="215">
        <v>0</v>
      </c>
      <c r="I24" s="215">
        <v>0</v>
      </c>
      <c r="L24" s="214"/>
    </row>
    <row r="25" spans="1:12" ht="15">
      <c r="A25" s="214" t="str">
        <f>HLOOKUP(INDICE!$F$2,Nombres!$C$3:$D$636,116,FALSE)</f>
        <v>Off balance sheet funds (*)</v>
      </c>
      <c r="B25" s="215">
        <v>2058.599812371255</v>
      </c>
      <c r="C25" s="215">
        <v>2344.810007787639</v>
      </c>
      <c r="D25" s="215">
        <v>2713.8584951305324</v>
      </c>
      <c r="E25" s="215">
        <v>3425.122583048033</v>
      </c>
      <c r="F25" s="215">
        <v>4156.187261950392</v>
      </c>
      <c r="G25" s="215">
        <v>4925.07</v>
      </c>
      <c r="H25" s="215">
        <v>0</v>
      </c>
      <c r="I25" s="215">
        <v>0</v>
      </c>
      <c r="L25" s="214"/>
    </row>
    <row r="26" spans="1:12" ht="15">
      <c r="A26" s="216" t="str">
        <f>HLOOKUP(INDICE!$F$2,Nombres!$C$3:$D$636,208,FALSE)</f>
        <v>Customer funds under management (**)</v>
      </c>
      <c r="B26" s="216">
        <v>23441.44945726839</v>
      </c>
      <c r="C26" s="216">
        <v>26092.49138083704</v>
      </c>
      <c r="D26" s="216">
        <v>27254.96620381646</v>
      </c>
      <c r="E26" s="216">
        <v>37138.011016551645</v>
      </c>
      <c r="F26" s="216">
        <v>41900.92270667539</v>
      </c>
      <c r="G26" s="216">
        <v>47611.974</v>
      </c>
      <c r="H26" s="216">
        <v>0</v>
      </c>
      <c r="I26" s="216">
        <v>0</v>
      </c>
      <c r="L26" s="216"/>
    </row>
    <row r="27" spans="1:9" ht="15.75">
      <c r="A27" s="214" t="str">
        <f>HLOOKUP(INDICE!$F$2,Nombres!$C$3:$D$636,118,FALSE)</f>
        <v>Demand + Time deposits</v>
      </c>
      <c r="B27" s="220">
        <f>+B23+B24</f>
        <v>21382.849644897135</v>
      </c>
      <c r="C27" s="220">
        <f aca="true" t="shared" si="6" ref="C27:I27">+C23+C24</f>
        <v>23747.6813730494</v>
      </c>
      <c r="D27" s="220">
        <f t="shared" si="6"/>
        <v>24541.10770868593</v>
      </c>
      <c r="E27" s="220">
        <f t="shared" si="6"/>
        <v>33712.88843350362</v>
      </c>
      <c r="F27" s="220">
        <f>+F23+F24</f>
        <v>37744.73544472499</v>
      </c>
      <c r="G27" s="257">
        <f t="shared" si="6"/>
        <v>42686.903999999995</v>
      </c>
      <c r="H27" s="257">
        <f t="shared" si="6"/>
        <v>0</v>
      </c>
      <c r="I27" s="257">
        <f t="shared" si="6"/>
        <v>0</v>
      </c>
    </row>
    <row r="28" spans="1:9" ht="15.75">
      <c r="A28" s="209"/>
      <c r="B28" s="218">
        <f>+B23+B24+B25-B26</f>
        <v>0</v>
      </c>
      <c r="C28" s="218">
        <f aca="true" t="shared" si="7" ref="C28:I28">+C23+C24+C25-C26</f>
        <v>0</v>
      </c>
      <c r="D28" s="218">
        <f t="shared" si="7"/>
        <v>0</v>
      </c>
      <c r="E28" s="218">
        <f t="shared" si="7"/>
        <v>0</v>
      </c>
      <c r="F28" s="218">
        <f t="shared" si="7"/>
        <v>0</v>
      </c>
      <c r="G28" s="218">
        <f t="shared" si="7"/>
        <v>0</v>
      </c>
      <c r="H28" s="218">
        <f t="shared" si="7"/>
        <v>0</v>
      </c>
      <c r="I28" s="218">
        <f t="shared" si="7"/>
        <v>0</v>
      </c>
    </row>
    <row r="29" spans="1:9" ht="15">
      <c r="A29" s="216"/>
      <c r="B29" s="216"/>
      <c r="C29" s="216"/>
      <c r="D29" s="216"/>
      <c r="E29" s="216"/>
      <c r="F29" s="216"/>
      <c r="G29" s="216"/>
      <c r="H29" s="216"/>
      <c r="I29" s="216"/>
    </row>
    <row r="30" spans="1:12" ht="15.75" customHeight="1">
      <c r="A30" s="212"/>
      <c r="B30" s="307" t="str">
        <f>HLOOKUP(INDICE!$F$2,Nombres!$C$3:$D$636,296,FALSE)</f>
        <v>Turkey Bank only</v>
      </c>
      <c r="C30" s="307"/>
      <c r="D30" s="307"/>
      <c r="E30" s="307"/>
      <c r="F30" s="307"/>
      <c r="G30" s="307"/>
      <c r="H30" s="307"/>
      <c r="I30" s="307"/>
      <c r="L30" s="227"/>
    </row>
    <row r="31" spans="1:9" ht="15.75">
      <c r="A31" s="213"/>
      <c r="B31" s="120">
        <f>+B$4</f>
        <v>44286</v>
      </c>
      <c r="C31" s="120">
        <f aca="true" t="shared" si="8" ref="C31:I31">+C$4</f>
        <v>44377</v>
      </c>
      <c r="D31" s="120">
        <f t="shared" si="8"/>
        <v>44469</v>
      </c>
      <c r="E31" s="120">
        <f t="shared" si="8"/>
        <v>44561</v>
      </c>
      <c r="F31" s="120">
        <f t="shared" si="8"/>
        <v>44651</v>
      </c>
      <c r="G31" s="120">
        <f t="shared" si="8"/>
        <v>44742</v>
      </c>
      <c r="H31" s="120">
        <f t="shared" si="8"/>
        <v>44834</v>
      </c>
      <c r="I31" s="120">
        <f t="shared" si="8"/>
        <v>44926</v>
      </c>
    </row>
    <row r="32" spans="1:9" ht="15">
      <c r="A32" s="214" t="str">
        <f>HLOOKUP(INDICE!$F$2,Nombres!$C$3:$D$636,289,FALSE)</f>
        <v>Demand Deposits TL</v>
      </c>
      <c r="B32" s="215">
        <v>2282.33288751761</v>
      </c>
      <c r="C32" s="215">
        <v>2546.084865118925</v>
      </c>
      <c r="D32" s="215">
        <v>2692.465952907862</v>
      </c>
      <c r="E32" s="215">
        <v>2939.8742238719565</v>
      </c>
      <c r="F32" s="215">
        <v>3464.607017729477</v>
      </c>
      <c r="G32" s="215">
        <v>4276.760628512871</v>
      </c>
      <c r="H32" s="215">
        <v>0</v>
      </c>
      <c r="I32" s="215">
        <v>0</v>
      </c>
    </row>
    <row r="33" spans="1:9" ht="15">
      <c r="A33" s="214" t="str">
        <f>HLOOKUP(INDICE!$F$2,Nombres!$C$3:$D$636,290,FALSE)</f>
        <v>Total Time Deposits TL</v>
      </c>
      <c r="B33" s="215">
        <v>6036.133541915484</v>
      </c>
      <c r="C33" s="215">
        <v>6946.871354664588</v>
      </c>
      <c r="D33" s="215">
        <v>7148.035636707079</v>
      </c>
      <c r="E33" s="215">
        <v>7296.6057227029205</v>
      </c>
      <c r="F33" s="215">
        <v>9684.304826647041</v>
      </c>
      <c r="G33" s="215">
        <v>11038.501962787206</v>
      </c>
      <c r="H33" s="215">
        <v>0</v>
      </c>
      <c r="I33" s="215">
        <v>0</v>
      </c>
    </row>
    <row r="34" spans="1:9" ht="15">
      <c r="A34" s="216" t="str">
        <f>HLOOKUP(INDICE!$F$2,Nombres!$C$3:$D$636,291,FALSE)</f>
        <v>Total Deposits TL</v>
      </c>
      <c r="B34" s="216">
        <v>8318.466429433092</v>
      </c>
      <c r="C34" s="216">
        <v>9492.956219783511</v>
      </c>
      <c r="D34" s="216">
        <v>9840.50158961494</v>
      </c>
      <c r="E34" s="216">
        <v>10236.479946574877</v>
      </c>
      <c r="F34" s="216">
        <v>13148.911844376518</v>
      </c>
      <c r="G34" s="216">
        <v>15315.26259130008</v>
      </c>
      <c r="H34" s="216">
        <v>0</v>
      </c>
      <c r="I34" s="216">
        <v>0</v>
      </c>
    </row>
    <row r="35" spans="1:9" ht="15">
      <c r="A35" s="214" t="str">
        <f>HLOOKUP(INDICE!$F$2,Nombres!$C$3:$D$636,292,FALSE)</f>
        <v>Demand Deposits FC</v>
      </c>
      <c r="B35" s="215">
        <v>12062.057725770013</v>
      </c>
      <c r="C35" s="215">
        <v>12447.645212401609</v>
      </c>
      <c r="D35" s="215">
        <v>13317.252243996238</v>
      </c>
      <c r="E35" s="215">
        <v>15298.542050157523</v>
      </c>
      <c r="F35" s="215">
        <v>14790.950593295234</v>
      </c>
      <c r="G35" s="215">
        <v>14240.31900655684</v>
      </c>
      <c r="H35" s="215">
        <v>0</v>
      </c>
      <c r="I35" s="215">
        <v>0</v>
      </c>
    </row>
    <row r="36" spans="1:9" ht="15">
      <c r="A36" s="214" t="str">
        <f>HLOOKUP(INDICE!$F$2,Nombres!$C$3:$D$636,293,FALSE)</f>
        <v>Total Time Deposits FC</v>
      </c>
      <c r="B36" s="215">
        <v>9628.960587776484</v>
      </c>
      <c r="C36" s="215">
        <v>9938.771077693746</v>
      </c>
      <c r="D36" s="215">
        <v>9414.753610954884</v>
      </c>
      <c r="E36" s="215">
        <v>9066.877778255988</v>
      </c>
      <c r="F36" s="215">
        <v>7853.135115712005</v>
      </c>
      <c r="G36" s="215">
        <v>7409.802152071618</v>
      </c>
      <c r="H36" s="215">
        <v>0</v>
      </c>
      <c r="I36" s="215">
        <v>0</v>
      </c>
    </row>
    <row r="37" spans="1:9" ht="15">
      <c r="A37" s="216" t="str">
        <f>HLOOKUP(INDICE!$F$2,Nombres!$C$3:$D$636,294,FALSE)</f>
        <v>Total Deposits FC</v>
      </c>
      <c r="B37" s="216">
        <v>21691.018313546498</v>
      </c>
      <c r="C37" s="216">
        <v>22386.416290095356</v>
      </c>
      <c r="D37" s="216">
        <v>22732.005854951123</v>
      </c>
      <c r="E37" s="216">
        <v>24365.41982841351</v>
      </c>
      <c r="F37" s="216">
        <v>22644.08570900724</v>
      </c>
      <c r="G37" s="216">
        <v>21650.12115862846</v>
      </c>
      <c r="H37" s="216">
        <v>0</v>
      </c>
      <c r="I37" s="216">
        <v>0</v>
      </c>
    </row>
    <row r="38" spans="1:9" ht="15">
      <c r="A38" s="224" t="str">
        <f>HLOOKUP(INDICE!$F$2,Nombres!$C$3:$D$636,295,FALSE)</f>
        <v>(TL Turkish Lira FC Foreign Currency)</v>
      </c>
      <c r="B38" s="216"/>
      <c r="C38" s="216"/>
      <c r="D38" s="216"/>
      <c r="E38" s="216"/>
      <c r="F38" s="216"/>
      <c r="G38" s="216"/>
      <c r="H38" s="216"/>
      <c r="I38" s="216"/>
    </row>
    <row r="39" spans="1:9" ht="15.75" customHeight="1">
      <c r="A39" s="216"/>
      <c r="B39" s="216"/>
      <c r="C39" s="216"/>
      <c r="D39" s="216"/>
      <c r="E39" s="216"/>
      <c r="F39" s="216"/>
      <c r="G39" s="216"/>
      <c r="H39" s="216"/>
      <c r="I39" s="216"/>
    </row>
    <row r="40" spans="1:12" ht="15.75" customHeight="1">
      <c r="A40" s="212"/>
      <c r="B40" s="307" t="str">
        <f>HLOOKUP(INDICE!$F$2,Nombres!$C$3:$D$636,283,FALSE)</f>
        <v>South America </v>
      </c>
      <c r="C40" s="307"/>
      <c r="D40" s="307"/>
      <c r="E40" s="307"/>
      <c r="F40" s="307"/>
      <c r="G40" s="307"/>
      <c r="H40" s="307"/>
      <c r="I40" s="307"/>
      <c r="L40" s="227"/>
    </row>
    <row r="41" spans="1:9" ht="15.75">
      <c r="A41" s="213"/>
      <c r="B41" s="120">
        <f>+B$4</f>
        <v>44286</v>
      </c>
      <c r="C41" s="120">
        <f aca="true" t="shared" si="9" ref="C41:I41">+C$4</f>
        <v>44377</v>
      </c>
      <c r="D41" s="120">
        <f t="shared" si="9"/>
        <v>44469</v>
      </c>
      <c r="E41" s="120">
        <f t="shared" si="9"/>
        <v>44561</v>
      </c>
      <c r="F41" s="120">
        <f t="shared" si="9"/>
        <v>44651</v>
      </c>
      <c r="G41" s="120">
        <f t="shared" si="9"/>
        <v>44742</v>
      </c>
      <c r="H41" s="120">
        <f t="shared" si="9"/>
        <v>44834</v>
      </c>
      <c r="I41" s="120">
        <f t="shared" si="9"/>
        <v>44926</v>
      </c>
    </row>
    <row r="42" spans="1:12" ht="15">
      <c r="A42" s="214" t="s">
        <v>7</v>
      </c>
      <c r="B42" s="215">
        <v>5008.318362136057</v>
      </c>
      <c r="C42" s="215">
        <v>5863.003598744531</v>
      </c>
      <c r="D42" s="215">
        <v>6325.8613090045</v>
      </c>
      <c r="E42" s="215">
        <v>6987.541325228278</v>
      </c>
      <c r="F42" s="215">
        <v>8012.447378048836</v>
      </c>
      <c r="G42" s="215">
        <v>9478.00501746</v>
      </c>
      <c r="H42" s="215">
        <v>0</v>
      </c>
      <c r="I42" s="215">
        <v>0</v>
      </c>
      <c r="L42" s="214"/>
    </row>
    <row r="43" spans="1:12" ht="15">
      <c r="A43" s="214" t="s">
        <v>8</v>
      </c>
      <c r="B43" s="215">
        <v>4.752050699055531</v>
      </c>
      <c r="C43" s="215">
        <v>6.571111135086426</v>
      </c>
      <c r="D43" s="215">
        <v>6.215364817105952</v>
      </c>
      <c r="E43" s="215">
        <v>7.511818045820382</v>
      </c>
      <c r="F43" s="215">
        <v>14.154815830500034</v>
      </c>
      <c r="G43" s="215">
        <v>10.869</v>
      </c>
      <c r="H43" s="215">
        <v>0</v>
      </c>
      <c r="I43" s="215">
        <v>0</v>
      </c>
      <c r="L43" s="214"/>
    </row>
    <row r="44" spans="1:12" ht="15">
      <c r="A44" s="214" t="s">
        <v>9</v>
      </c>
      <c r="B44" s="215">
        <v>13457.888981489457</v>
      </c>
      <c r="C44" s="215">
        <v>14003.58164681419</v>
      </c>
      <c r="D44" s="215">
        <v>14016.165052220149</v>
      </c>
      <c r="E44" s="215">
        <v>15975.089196130326</v>
      </c>
      <c r="F44" s="215">
        <v>15554.184600766594</v>
      </c>
      <c r="G44" s="215">
        <v>17600.2481878</v>
      </c>
      <c r="H44" s="215">
        <v>0</v>
      </c>
      <c r="I44" s="215">
        <v>0</v>
      </c>
      <c r="L44" s="214"/>
    </row>
    <row r="45" spans="1:12" ht="15">
      <c r="A45" s="214" t="s">
        <v>10</v>
      </c>
      <c r="B45" s="215">
        <v>19806.903088278403</v>
      </c>
      <c r="C45" s="215">
        <v>19124.07195482157</v>
      </c>
      <c r="D45" s="215">
        <v>19364.62318409624</v>
      </c>
      <c r="E45" s="215">
        <v>17882.070401417586</v>
      </c>
      <c r="F45" s="215">
        <v>17316.09192890161</v>
      </c>
      <c r="G45" s="215">
        <v>17591.74004803</v>
      </c>
      <c r="H45" s="215">
        <v>0</v>
      </c>
      <c r="I45" s="215">
        <v>0</v>
      </c>
      <c r="L45" s="214"/>
    </row>
    <row r="46" spans="1:12" ht="15">
      <c r="A46" s="214" t="s">
        <v>11</v>
      </c>
      <c r="B46" s="215">
        <f aca="true" t="shared" si="10" ref="B46:I46">+B47-B45-B44-B43-B42</f>
        <v>14969.582299872449</v>
      </c>
      <c r="C46" s="215">
        <f t="shared" si="10"/>
        <v>15406.560905037331</v>
      </c>
      <c r="D46" s="215">
        <f t="shared" si="10"/>
        <v>15488.87128019569</v>
      </c>
      <c r="E46" s="215">
        <f t="shared" si="10"/>
        <v>15684.683488469978</v>
      </c>
      <c r="F46" s="215">
        <f t="shared" si="10"/>
        <v>16010.12744802266</v>
      </c>
      <c r="G46" s="215">
        <f t="shared" si="10"/>
        <v>16163.489796909998</v>
      </c>
      <c r="H46" s="215">
        <f t="shared" si="10"/>
        <v>0</v>
      </c>
      <c r="I46" s="215">
        <f t="shared" si="10"/>
        <v>0</v>
      </c>
      <c r="L46" s="214"/>
    </row>
    <row r="47" spans="1:12" ht="15">
      <c r="A47" s="216" t="str">
        <f>HLOOKUP(INDICE!$F$2,Nombres!$C$3:$D$636,208,FALSE)</f>
        <v>Customer funds under management (**)</v>
      </c>
      <c r="B47" s="216">
        <v>53247.444782475424</v>
      </c>
      <c r="C47" s="216">
        <v>54403.78921655271</v>
      </c>
      <c r="D47" s="216">
        <v>55201.736190333686</v>
      </c>
      <c r="E47" s="216">
        <v>56536.89622929199</v>
      </c>
      <c r="F47" s="216">
        <v>56907.0061715702</v>
      </c>
      <c r="G47" s="216">
        <v>60844.352050199996</v>
      </c>
      <c r="H47" s="216">
        <v>0</v>
      </c>
      <c r="I47" s="216">
        <v>0</v>
      </c>
      <c r="L47" s="216"/>
    </row>
    <row r="48" spans="1:9" ht="15.75">
      <c r="A48" s="209"/>
      <c r="B48" s="218">
        <f>+B42+B43+B44+B45+B46-B47</f>
        <v>0</v>
      </c>
      <c r="C48" s="218">
        <f aca="true" t="shared" si="11" ref="C48:I48">+C42+C43+C44+C45+C46-C47</f>
        <v>0</v>
      </c>
      <c r="D48" s="218">
        <f t="shared" si="11"/>
        <v>0</v>
      </c>
      <c r="E48" s="218">
        <f t="shared" si="11"/>
        <v>0</v>
      </c>
      <c r="F48" s="218">
        <f t="shared" si="11"/>
        <v>0</v>
      </c>
      <c r="G48" s="218">
        <f t="shared" si="11"/>
        <v>0</v>
      </c>
      <c r="H48" s="218">
        <f t="shared" si="11"/>
        <v>0</v>
      </c>
      <c r="I48" s="218">
        <f t="shared" si="11"/>
        <v>0</v>
      </c>
    </row>
    <row r="51" ht="15">
      <c r="A51" s="226" t="str">
        <f>HLOOKUP(INDICE!$F$2,Nombres!$C$3:$D$636,206,FALSE)</f>
        <v>Includes investment funds, managed portfolios, pension funds and other off-balance sheet funds. (*) </v>
      </c>
    </row>
    <row r="52" ht="15">
      <c r="A52" s="226" t="str">
        <f>HLOOKUP(INDICE!$F$2,Nombres!$C$3:$D$636,207,FALSE)</f>
        <v>Excluding repos  (**)</v>
      </c>
    </row>
    <row r="53" ht="15">
      <c r="A53" s="226"/>
    </row>
    <row r="1001" ht="15">
      <c r="A1001" s="208" t="s">
        <v>392</v>
      </c>
    </row>
  </sheetData>
  <sheetProtection/>
  <mergeCells count="5">
    <mergeCell ref="B3:I3"/>
    <mergeCell ref="B12:I12"/>
    <mergeCell ref="B21:I21"/>
    <mergeCell ref="B30:I30"/>
    <mergeCell ref="B40:I40"/>
  </mergeCells>
  <conditionalFormatting sqref="B10:I10">
    <cfRule type="cellIs" priority="4" dxfId="127" operator="notBetween">
      <formula>0.5</formula>
      <formula>-0.5</formula>
    </cfRule>
  </conditionalFormatting>
  <conditionalFormatting sqref="B19:I19">
    <cfRule type="cellIs" priority="3" dxfId="127" operator="notBetween">
      <formula>0.5</formula>
      <formula>-0.5</formula>
    </cfRule>
  </conditionalFormatting>
  <conditionalFormatting sqref="B28:I28">
    <cfRule type="cellIs" priority="2" dxfId="127" operator="notBetween">
      <formula>0.5</formula>
      <formula>-0.5</formula>
    </cfRule>
  </conditionalFormatting>
  <conditionalFormatting sqref="B48:I4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 min="8" max="9" width="0" style="0" hidden="1" customWidth="1"/>
  </cols>
  <sheetData>
    <row r="1" spans="1:9" ht="18">
      <c r="A1" s="258" t="str">
        <f>HLOOKUP(INDICE!$F$2,Nombres!$C$3:$D$636,242,FALSE)</f>
        <v>ALCO Portfolio</v>
      </c>
      <c r="B1" s="206"/>
      <c r="C1" s="206"/>
      <c r="D1" s="206"/>
      <c r="E1" s="206"/>
      <c r="F1" s="206"/>
      <c r="G1" s="206"/>
      <c r="H1" s="206"/>
      <c r="I1" s="206"/>
    </row>
    <row r="2" spans="1:9" ht="15.75">
      <c r="A2" s="83" t="str">
        <f>HLOOKUP(INDICE!$F$2,Nombres!$C$3:$D$636,32,FALSE)</f>
        <v>(Million euros)</v>
      </c>
      <c r="B2" s="209"/>
      <c r="C2" s="209"/>
      <c r="D2" s="209"/>
      <c r="E2" s="209"/>
      <c r="F2" s="209"/>
      <c r="G2" s="208"/>
      <c r="H2" s="208"/>
      <c r="I2" s="208"/>
    </row>
    <row r="3" spans="1:9" ht="15.75">
      <c r="A3" s="211"/>
      <c r="B3" s="209"/>
      <c r="C3" s="209"/>
      <c r="D3" s="209"/>
      <c r="E3" s="209"/>
      <c r="F3" s="209"/>
      <c r="G3" s="208"/>
      <c r="H3" s="208"/>
      <c r="I3" s="208"/>
    </row>
    <row r="4" spans="1:9" ht="15.75" customHeight="1">
      <c r="A4" s="212"/>
      <c r="B4" s="308" t="str">
        <f>HLOOKUP(INDICE!$F$2,Nombres!$C$3:$D$636,239,FALSE)</f>
        <v>Total ALCO Portfolio</v>
      </c>
      <c r="C4" s="307"/>
      <c r="D4" s="307"/>
      <c r="E4" s="307"/>
      <c r="F4" s="307"/>
      <c r="G4" s="307"/>
      <c r="H4" s="307"/>
      <c r="I4" s="307"/>
    </row>
    <row r="5" spans="1:9" ht="15.75">
      <c r="A5" s="213"/>
      <c r="B5" s="120">
        <f>+España!B32</f>
        <v>44286</v>
      </c>
      <c r="C5" s="120">
        <f>+España!C32</f>
        <v>44377</v>
      </c>
      <c r="D5" s="120">
        <f>+España!D32</f>
        <v>44469</v>
      </c>
      <c r="E5" s="120">
        <f>+España!E32</f>
        <v>44561</v>
      </c>
      <c r="F5" s="120">
        <f>+España!F32</f>
        <v>44651</v>
      </c>
      <c r="G5" s="120">
        <f>+España!G32</f>
        <v>44742</v>
      </c>
      <c r="H5" s="120">
        <f>+España!H32</f>
        <v>44834</v>
      </c>
      <c r="I5" s="120">
        <f>+España!I32</f>
        <v>44926</v>
      </c>
    </row>
    <row r="6" spans="1:9" ht="15">
      <c r="A6" s="259" t="str">
        <f>HLOOKUP(INDICE!$F$2,Nombres!$C$3:$D$636,230,FALSE)</f>
        <v>BBVA Group</v>
      </c>
      <c r="B6" s="217">
        <v>47683</v>
      </c>
      <c r="C6" s="217">
        <v>48674</v>
      </c>
      <c r="D6" s="217">
        <v>47667</v>
      </c>
      <c r="E6" s="217">
        <v>45403</v>
      </c>
      <c r="F6" s="217">
        <v>51977</v>
      </c>
      <c r="G6" s="217">
        <v>54356</v>
      </c>
      <c r="H6" s="217">
        <v>0</v>
      </c>
      <c r="I6" s="217">
        <v>0</v>
      </c>
    </row>
    <row r="7" spans="1:9" ht="15">
      <c r="A7" s="260" t="str">
        <f>HLOOKUP(INDICE!$F$2,Nombres!$C$3:$D$636,231,FALSE)</f>
        <v>Euro Balance</v>
      </c>
      <c r="B7" s="215">
        <v>26943</v>
      </c>
      <c r="C7" s="215">
        <v>28156</v>
      </c>
      <c r="D7" s="215">
        <v>26923</v>
      </c>
      <c r="E7" s="215">
        <v>25768</v>
      </c>
      <c r="F7" s="215">
        <v>28795</v>
      </c>
      <c r="G7" s="215">
        <v>29645</v>
      </c>
      <c r="H7" s="215">
        <v>0</v>
      </c>
      <c r="I7" s="215">
        <v>0</v>
      </c>
    </row>
    <row r="8" spans="1:9" ht="15">
      <c r="A8" s="261" t="str">
        <f>HLOOKUP(INDICE!$F$2,Nombres!$C$3:$D$636,232,FALSE)</f>
        <v>Spain</v>
      </c>
      <c r="B8" s="215">
        <v>14739</v>
      </c>
      <c r="C8" s="215">
        <v>14642</v>
      </c>
      <c r="D8" s="215">
        <v>14628</v>
      </c>
      <c r="E8" s="215">
        <v>14616</v>
      </c>
      <c r="F8" s="215">
        <v>16867</v>
      </c>
      <c r="G8" s="215">
        <v>17694</v>
      </c>
      <c r="H8" s="215">
        <v>0</v>
      </c>
      <c r="I8" s="215">
        <v>0</v>
      </c>
    </row>
    <row r="9" spans="1:9" ht="15">
      <c r="A9" s="261" t="str">
        <f>HLOOKUP(INDICE!$F$2,Nombres!$C$3:$D$636,233,FALSE)</f>
        <v>Italy</v>
      </c>
      <c r="B9" s="215">
        <v>7054</v>
      </c>
      <c r="C9" s="215">
        <v>8704</v>
      </c>
      <c r="D9" s="215">
        <v>8691</v>
      </c>
      <c r="E9" s="215">
        <v>8268</v>
      </c>
      <c r="F9" s="215">
        <v>8254</v>
      </c>
      <c r="G9" s="215">
        <v>8242</v>
      </c>
      <c r="H9" s="215">
        <v>0</v>
      </c>
      <c r="I9" s="215">
        <v>0</v>
      </c>
    </row>
    <row r="10" spans="1:9" ht="15">
      <c r="A10" s="262" t="str">
        <f>HLOOKUP(INDICE!$F$2,Nombres!$C$3:$D$636,234,FALSE)</f>
        <v>Rest</v>
      </c>
      <c r="B10" s="263">
        <v>5150</v>
      </c>
      <c r="C10" s="263">
        <v>4810</v>
      </c>
      <c r="D10" s="263">
        <v>3604</v>
      </c>
      <c r="E10" s="263">
        <v>2883</v>
      </c>
      <c r="F10" s="263">
        <v>3674</v>
      </c>
      <c r="G10" s="263">
        <v>3709</v>
      </c>
      <c r="H10" s="263">
        <v>0</v>
      </c>
      <c r="I10" s="263">
        <v>0</v>
      </c>
    </row>
    <row r="11" spans="1:9" ht="15">
      <c r="A11" s="260" t="str">
        <f>HLOOKUP(INDICE!$F$2,Nombres!$C$3:$D$636,236,FALSE)</f>
        <v>Turkey</v>
      </c>
      <c r="B11" s="215">
        <v>6718</v>
      </c>
      <c r="C11" s="215">
        <v>6602</v>
      </c>
      <c r="D11" s="215">
        <v>6982</v>
      </c>
      <c r="E11" s="215">
        <v>5511</v>
      </c>
      <c r="F11" s="263">
        <v>6704</v>
      </c>
      <c r="G11" s="215">
        <v>7310</v>
      </c>
      <c r="H11" s="215">
        <v>0</v>
      </c>
      <c r="I11" s="215">
        <v>0</v>
      </c>
    </row>
    <row r="12" spans="1:9" ht="15">
      <c r="A12" s="260" t="str">
        <f>HLOOKUP(INDICE!$F$2,Nombres!$C$3:$D$636,237,FALSE)</f>
        <v>Mexico</v>
      </c>
      <c r="B12" s="215">
        <v>10038</v>
      </c>
      <c r="C12" s="215">
        <v>9848</v>
      </c>
      <c r="D12" s="215">
        <v>9767</v>
      </c>
      <c r="E12" s="215">
        <v>10119</v>
      </c>
      <c r="F12" s="263">
        <v>10501</v>
      </c>
      <c r="G12" s="215">
        <v>10754</v>
      </c>
      <c r="H12" s="215">
        <v>0</v>
      </c>
      <c r="I12" s="215">
        <v>0</v>
      </c>
    </row>
    <row r="13" spans="1:9" ht="15">
      <c r="A13" s="260" t="str">
        <f>HLOOKUP(INDICE!$F$2,Nombres!$C$3:$D$636,238,FALSE)</f>
        <v>South America</v>
      </c>
      <c r="B13" s="215">
        <v>3984</v>
      </c>
      <c r="C13" s="215">
        <v>4068</v>
      </c>
      <c r="D13" s="215">
        <v>3995</v>
      </c>
      <c r="E13" s="215">
        <v>4005</v>
      </c>
      <c r="F13" s="263">
        <v>5977</v>
      </c>
      <c r="G13" s="215">
        <v>6647</v>
      </c>
      <c r="H13" s="215">
        <v>0</v>
      </c>
      <c r="I13" s="215">
        <v>0</v>
      </c>
    </row>
    <row r="14" spans="1:9" ht="15">
      <c r="A14" s="298"/>
      <c r="B14" s="264">
        <f aca="true" t="shared" si="0" ref="B14:G14">+B6-B8-B9-B10-B11-B12-B13</f>
        <v>0</v>
      </c>
      <c r="C14" s="264">
        <f t="shared" si="0"/>
        <v>0</v>
      </c>
      <c r="D14" s="264">
        <f t="shared" si="0"/>
        <v>0</v>
      </c>
      <c r="E14" s="264">
        <f t="shared" si="0"/>
        <v>1</v>
      </c>
      <c r="F14" s="264">
        <f t="shared" si="0"/>
        <v>0</v>
      </c>
      <c r="G14" s="264">
        <f t="shared" si="0"/>
        <v>0</v>
      </c>
      <c r="H14" s="264">
        <f>+H6-H8-H9-H10-H11-H12-H13</f>
        <v>0</v>
      </c>
      <c r="I14" s="264" t="e">
        <f>+I6-I8-I9-I10-#REF!-I11-I12-I13</f>
        <v>#REF!</v>
      </c>
    </row>
    <row r="15" spans="1:9" ht="15">
      <c r="A15" s="298"/>
      <c r="B15" s="264"/>
      <c r="C15" s="264"/>
      <c r="D15" s="264"/>
      <c r="E15" s="264"/>
      <c r="F15" s="264"/>
      <c r="G15" s="264"/>
      <c r="H15" s="264"/>
      <c r="I15" s="264"/>
    </row>
    <row r="16" spans="1:9" ht="15">
      <c r="A16" s="298"/>
      <c r="B16" s="264"/>
      <c r="C16" s="264"/>
      <c r="D16" s="264"/>
      <c r="E16" s="264"/>
      <c r="F16" s="264"/>
      <c r="G16" s="264"/>
      <c r="H16" s="264"/>
      <c r="I16" s="264"/>
    </row>
    <row r="17" spans="1:9" ht="15.75" customHeight="1">
      <c r="A17" s="212"/>
      <c r="B17" s="308" t="str">
        <f>HLOOKUP(INDICE!$F$2,Nombres!$C$3:$D$636,240,FALSE)</f>
        <v>ALCO Portfolio Hold to Collect</v>
      </c>
      <c r="C17" s="307"/>
      <c r="D17" s="307"/>
      <c r="E17" s="307"/>
      <c r="F17" s="307"/>
      <c r="G17" s="307"/>
      <c r="H17" s="307"/>
      <c r="I17" s="307"/>
    </row>
    <row r="18" spans="1:9" ht="15.75" customHeight="1">
      <c r="A18" s="213"/>
      <c r="B18" s="120">
        <f aca="true" t="shared" si="1" ref="B18:I18">+B$5</f>
        <v>44286</v>
      </c>
      <c r="C18" s="120">
        <f t="shared" si="1"/>
        <v>44377</v>
      </c>
      <c r="D18" s="120">
        <f t="shared" si="1"/>
        <v>44469</v>
      </c>
      <c r="E18" s="120">
        <f t="shared" si="1"/>
        <v>44561</v>
      </c>
      <c r="F18" s="120">
        <f t="shared" si="1"/>
        <v>44651</v>
      </c>
      <c r="G18" s="120">
        <f t="shared" si="1"/>
        <v>44742</v>
      </c>
      <c r="H18" s="120">
        <f t="shared" si="1"/>
        <v>44834</v>
      </c>
      <c r="I18" s="120">
        <f t="shared" si="1"/>
        <v>44926</v>
      </c>
    </row>
    <row r="19" spans="1:9" ht="15">
      <c r="A19" s="259" t="str">
        <f>HLOOKUP(INDICE!$F$2,Nombres!$C$3:$D$636,230,FALSE)</f>
        <v>BBVA Group</v>
      </c>
      <c r="B19" s="217">
        <v>21224</v>
      </c>
      <c r="C19" s="217">
        <v>20435</v>
      </c>
      <c r="D19" s="217">
        <v>20458</v>
      </c>
      <c r="E19" s="217">
        <v>19570</v>
      </c>
      <c r="F19" s="217">
        <v>20629.094219</v>
      </c>
      <c r="G19" s="217">
        <v>22021</v>
      </c>
      <c r="H19" s="217">
        <v>0</v>
      </c>
      <c r="I19" s="217">
        <v>0</v>
      </c>
    </row>
    <row r="20" spans="1:9" ht="15">
      <c r="A20" s="260" t="str">
        <f>HLOOKUP(INDICE!$F$2,Nombres!$C$3:$D$636,231,FALSE)</f>
        <v>Euro Balance</v>
      </c>
      <c r="B20" s="215">
        <v>14990</v>
      </c>
      <c r="C20" s="215">
        <v>14956</v>
      </c>
      <c r="D20" s="215">
        <v>14937</v>
      </c>
      <c r="E20" s="215">
        <v>14505</v>
      </c>
      <c r="F20" s="215">
        <v>14488.094219</v>
      </c>
      <c r="G20" s="215">
        <v>14959</v>
      </c>
      <c r="H20" s="215">
        <v>0</v>
      </c>
      <c r="I20" s="215">
        <v>0</v>
      </c>
    </row>
    <row r="21" spans="1:9" ht="15">
      <c r="A21" s="261" t="str">
        <f>HLOOKUP(INDICE!$F$2,Nombres!$C$3:$D$636,232,FALSE)</f>
        <v>Spain</v>
      </c>
      <c r="B21" s="215">
        <v>11223</v>
      </c>
      <c r="C21" s="215">
        <v>11199</v>
      </c>
      <c r="D21" s="215">
        <v>11187</v>
      </c>
      <c r="E21" s="215">
        <v>11178</v>
      </c>
      <c r="F21" s="215">
        <v>11169.094219</v>
      </c>
      <c r="G21" s="215">
        <v>11645</v>
      </c>
      <c r="H21" s="215">
        <v>0</v>
      </c>
      <c r="I21" s="215">
        <v>0</v>
      </c>
    </row>
    <row r="22" spans="1:9" ht="15">
      <c r="A22" s="261" t="str">
        <f>HLOOKUP(INDICE!$F$2,Nombres!$C$3:$D$636,233,FALSE)</f>
        <v>Italy</v>
      </c>
      <c r="B22" s="215">
        <v>3681</v>
      </c>
      <c r="C22" s="215">
        <v>3676</v>
      </c>
      <c r="D22" s="215">
        <v>3671</v>
      </c>
      <c r="E22" s="215">
        <v>3250</v>
      </c>
      <c r="F22" s="215">
        <v>3245</v>
      </c>
      <c r="G22" s="215">
        <v>3240</v>
      </c>
      <c r="H22" s="215">
        <v>0</v>
      </c>
      <c r="I22" s="215">
        <v>0</v>
      </c>
    </row>
    <row r="23" spans="1:9" ht="15">
      <c r="A23" s="262" t="str">
        <f>HLOOKUP(INDICE!$F$2,Nombres!$C$3:$D$636,234,FALSE)</f>
        <v>Rest</v>
      </c>
      <c r="B23" s="215">
        <v>86</v>
      </c>
      <c r="C23" s="215">
        <v>81</v>
      </c>
      <c r="D23" s="215">
        <v>79</v>
      </c>
      <c r="E23" s="215">
        <v>77</v>
      </c>
      <c r="F23" s="215">
        <v>74</v>
      </c>
      <c r="G23" s="215">
        <v>74</v>
      </c>
      <c r="H23" s="215">
        <v>0</v>
      </c>
      <c r="I23" s="215">
        <v>0</v>
      </c>
    </row>
    <row r="24" spans="1:9" ht="15">
      <c r="A24" s="260" t="str">
        <f>HLOOKUP(INDICE!$F$2,Nombres!$C$3:$D$636,236,FALSE)</f>
        <v>Turkey</v>
      </c>
      <c r="B24" s="215">
        <v>3639</v>
      </c>
      <c r="C24" s="215">
        <v>3326</v>
      </c>
      <c r="D24" s="215">
        <v>3363</v>
      </c>
      <c r="E24" s="215">
        <v>2681</v>
      </c>
      <c r="F24" s="215">
        <v>3641</v>
      </c>
      <c r="G24" s="215">
        <v>4129</v>
      </c>
      <c r="H24" s="215">
        <v>0</v>
      </c>
      <c r="I24" s="215">
        <v>0</v>
      </c>
    </row>
    <row r="25" spans="1:9" ht="15">
      <c r="A25" s="260" t="str">
        <f>HLOOKUP(INDICE!$F$2,Nombres!$C$3:$D$636,237,FALSE)</f>
        <v>Mexico</v>
      </c>
      <c r="B25" s="215">
        <v>2461</v>
      </c>
      <c r="C25" s="215">
        <v>2001</v>
      </c>
      <c r="D25" s="215">
        <v>1987</v>
      </c>
      <c r="E25" s="215">
        <v>2190</v>
      </c>
      <c r="F25" s="215">
        <v>2294</v>
      </c>
      <c r="G25" s="215">
        <v>2693</v>
      </c>
      <c r="H25" s="215">
        <v>0</v>
      </c>
      <c r="I25" s="215">
        <v>0</v>
      </c>
    </row>
    <row r="26" spans="1:9" ht="15">
      <c r="A26" s="260" t="str">
        <f>HLOOKUP(INDICE!$F$2,Nombres!$C$3:$D$636,238,FALSE)</f>
        <v>South America</v>
      </c>
      <c r="B26" s="215">
        <v>134</v>
      </c>
      <c r="C26" s="215">
        <v>152</v>
      </c>
      <c r="D26" s="215">
        <v>171</v>
      </c>
      <c r="E26" s="215">
        <v>194</v>
      </c>
      <c r="F26" s="215">
        <v>206</v>
      </c>
      <c r="G26" s="215">
        <v>240</v>
      </c>
      <c r="H26" s="215">
        <v>0</v>
      </c>
      <c r="I26" s="215">
        <v>0</v>
      </c>
    </row>
    <row r="27" spans="1:9" ht="15">
      <c r="A27" s="298"/>
      <c r="B27" s="264">
        <f aca="true" t="shared" si="2" ref="B27:G27">+B19-B21-B22-B23-B24-B25-B26</f>
        <v>0</v>
      </c>
      <c r="C27" s="264">
        <f t="shared" si="2"/>
        <v>0</v>
      </c>
      <c r="D27" s="264">
        <f t="shared" si="2"/>
        <v>0</v>
      </c>
      <c r="E27" s="264">
        <f t="shared" si="2"/>
        <v>0</v>
      </c>
      <c r="F27" s="264">
        <f t="shared" si="2"/>
        <v>-1.8189894035458565E-12</v>
      </c>
      <c r="G27" s="264">
        <f t="shared" si="2"/>
        <v>0</v>
      </c>
      <c r="H27" s="264">
        <f>+H19-H21-H22-H23-H24-H25-H26</f>
        <v>0</v>
      </c>
      <c r="I27" s="264" t="e">
        <f>+I19-I21-I22-I23-#REF!-I24-I25-I26</f>
        <v>#REF!</v>
      </c>
    </row>
    <row r="28" spans="1:9" ht="15.75">
      <c r="A28" s="298"/>
      <c r="B28" s="208"/>
      <c r="C28" s="208"/>
      <c r="D28" s="208"/>
      <c r="E28" s="208"/>
      <c r="F28" s="220"/>
      <c r="G28" s="220"/>
      <c r="H28" s="220"/>
      <c r="I28" s="220"/>
    </row>
    <row r="29" spans="1:9" ht="15.75">
      <c r="A29" s="209"/>
      <c r="B29" s="220"/>
      <c r="C29" s="220"/>
      <c r="D29" s="220"/>
      <c r="E29" s="220"/>
      <c r="F29" s="220"/>
      <c r="G29" s="208"/>
      <c r="H29" s="208"/>
      <c r="I29" s="208"/>
    </row>
    <row r="30" spans="1:9" ht="15.75" customHeight="1">
      <c r="A30" s="212"/>
      <c r="B30" s="308" t="str">
        <f>HLOOKUP(INDICE!$F$2,Nombres!$C$3:$D$636,241,FALSE)</f>
        <v>ALCO Portfolio Hold to Collect and Sell</v>
      </c>
      <c r="C30" s="307"/>
      <c r="D30" s="307"/>
      <c r="E30" s="307"/>
      <c r="F30" s="307"/>
      <c r="G30" s="307"/>
      <c r="H30" s="307"/>
      <c r="I30" s="307"/>
    </row>
    <row r="31" spans="1:9" ht="15.75">
      <c r="A31" s="213"/>
      <c r="B31" s="120">
        <f aca="true" t="shared" si="3" ref="B31:I31">+B$5</f>
        <v>44286</v>
      </c>
      <c r="C31" s="120">
        <f t="shared" si="3"/>
        <v>44377</v>
      </c>
      <c r="D31" s="120">
        <f t="shared" si="3"/>
        <v>44469</v>
      </c>
      <c r="E31" s="120">
        <f t="shared" si="3"/>
        <v>44561</v>
      </c>
      <c r="F31" s="120">
        <f t="shared" si="3"/>
        <v>44651</v>
      </c>
      <c r="G31" s="120">
        <f t="shared" si="3"/>
        <v>44742</v>
      </c>
      <c r="H31" s="120">
        <f t="shared" si="3"/>
        <v>44834</v>
      </c>
      <c r="I31" s="120">
        <f t="shared" si="3"/>
        <v>44926</v>
      </c>
    </row>
    <row r="32" spans="1:9" ht="15.75" customHeight="1">
      <c r="A32" s="259" t="str">
        <f>HLOOKUP(INDICE!$F$2,Nombres!$C$3:$D$636,230,FALSE)</f>
        <v>BBVA Group</v>
      </c>
      <c r="B32" s="217">
        <v>26459</v>
      </c>
      <c r="C32" s="217">
        <v>28239</v>
      </c>
      <c r="D32" s="217">
        <v>27209</v>
      </c>
      <c r="E32" s="217">
        <v>25832</v>
      </c>
      <c r="F32" s="217">
        <v>31347.905781</v>
      </c>
      <c r="G32" s="217">
        <v>32335</v>
      </c>
      <c r="H32" s="217">
        <v>0</v>
      </c>
      <c r="I32" s="217">
        <v>0</v>
      </c>
    </row>
    <row r="33" spans="1:9" ht="15">
      <c r="A33" s="214" t="str">
        <f>HLOOKUP(INDICE!$F$2,Nombres!$C$3:$D$636,231,FALSE)</f>
        <v>Euro Balance</v>
      </c>
      <c r="B33" s="215">
        <v>11953</v>
      </c>
      <c r="C33" s="215">
        <v>13200</v>
      </c>
      <c r="D33" s="215">
        <v>11986</v>
      </c>
      <c r="E33" s="215">
        <v>11263</v>
      </c>
      <c r="F33" s="215">
        <v>14306.905781000001</v>
      </c>
      <c r="G33" s="215">
        <v>14686</v>
      </c>
      <c r="H33" s="215">
        <v>0</v>
      </c>
      <c r="I33" s="215">
        <v>0</v>
      </c>
    </row>
    <row r="34" spans="1:9" ht="15">
      <c r="A34" s="262" t="str">
        <f>HLOOKUP(INDICE!$F$2,Nombres!$C$3:$D$636,232,FALSE)</f>
        <v>Spain</v>
      </c>
      <c r="B34" s="215">
        <v>3516</v>
      </c>
      <c r="C34" s="215">
        <v>3443</v>
      </c>
      <c r="D34" s="215">
        <v>3441</v>
      </c>
      <c r="E34" s="215">
        <v>3438</v>
      </c>
      <c r="F34" s="215">
        <v>5697.905781</v>
      </c>
      <c r="G34" s="215">
        <v>6049</v>
      </c>
      <c r="H34" s="215">
        <v>0</v>
      </c>
      <c r="I34" s="215">
        <v>0</v>
      </c>
    </row>
    <row r="35" spans="1:9" ht="15">
      <c r="A35" s="262" t="str">
        <f>HLOOKUP(INDICE!$F$2,Nombres!$C$3:$D$636,233,FALSE)</f>
        <v>Italy</v>
      </c>
      <c r="B35" s="215">
        <v>3373</v>
      </c>
      <c r="C35" s="215">
        <v>5028</v>
      </c>
      <c r="D35" s="215">
        <v>5020</v>
      </c>
      <c r="E35" s="215">
        <v>5018</v>
      </c>
      <c r="F35" s="215">
        <v>5009</v>
      </c>
      <c r="G35" s="215">
        <v>5002</v>
      </c>
      <c r="H35" s="215">
        <v>0</v>
      </c>
      <c r="I35" s="215">
        <v>0</v>
      </c>
    </row>
    <row r="36" spans="1:9" ht="15">
      <c r="A36" s="262" t="str">
        <f>HLOOKUP(INDICE!$F$2,Nombres!$C$3:$D$636,234,FALSE)</f>
        <v>Rest</v>
      </c>
      <c r="B36" s="215">
        <v>5064</v>
      </c>
      <c r="C36" s="215">
        <v>4729</v>
      </c>
      <c r="D36" s="215">
        <v>3525</v>
      </c>
      <c r="E36" s="215">
        <v>2806</v>
      </c>
      <c r="F36" s="215">
        <v>3600</v>
      </c>
      <c r="G36" s="215">
        <v>3635</v>
      </c>
      <c r="H36" s="215">
        <v>0</v>
      </c>
      <c r="I36" s="215">
        <v>0</v>
      </c>
    </row>
    <row r="37" spans="1:9" ht="15">
      <c r="A37" s="214" t="str">
        <f>HLOOKUP(INDICE!$F$2,Nombres!$C$3:$D$636,236,FALSE)</f>
        <v>Turkey</v>
      </c>
      <c r="B37" s="215">
        <v>3079</v>
      </c>
      <c r="C37" s="215">
        <v>3276</v>
      </c>
      <c r="D37" s="215">
        <v>3619</v>
      </c>
      <c r="E37" s="215">
        <v>2830</v>
      </c>
      <c r="F37" s="215">
        <v>3063</v>
      </c>
      <c r="G37" s="215">
        <v>3181</v>
      </c>
      <c r="H37" s="215">
        <v>0</v>
      </c>
      <c r="I37" s="215">
        <v>0</v>
      </c>
    </row>
    <row r="38" spans="1:9" ht="15">
      <c r="A38" s="214" t="str">
        <f>HLOOKUP(INDICE!$F$2,Nombres!$C$3:$D$636,237,FALSE)</f>
        <v>Mexico</v>
      </c>
      <c r="B38" s="215">
        <v>7577</v>
      </c>
      <c r="C38" s="215">
        <v>7847</v>
      </c>
      <c r="D38" s="215">
        <v>7780</v>
      </c>
      <c r="E38" s="215">
        <v>7929</v>
      </c>
      <c r="F38" s="215">
        <v>8207</v>
      </c>
      <c r="G38" s="215">
        <v>8061</v>
      </c>
      <c r="H38" s="215">
        <v>0</v>
      </c>
      <c r="I38" s="215">
        <v>0</v>
      </c>
    </row>
    <row r="39" spans="1:9" ht="15">
      <c r="A39" s="214" t="str">
        <f>HLOOKUP(INDICE!$F$2,Nombres!$C$3:$D$636,238,FALSE)</f>
        <v>South America</v>
      </c>
      <c r="B39" s="215">
        <v>3850</v>
      </c>
      <c r="C39" s="215">
        <v>3916</v>
      </c>
      <c r="D39" s="215">
        <v>3824</v>
      </c>
      <c r="E39" s="215">
        <v>3811</v>
      </c>
      <c r="F39" s="215">
        <v>5771</v>
      </c>
      <c r="G39" s="215">
        <v>6407</v>
      </c>
      <c r="H39" s="215">
        <v>0</v>
      </c>
      <c r="I39" s="215">
        <v>0</v>
      </c>
    </row>
    <row r="40" spans="2:9" ht="15">
      <c r="B40" s="264">
        <f aca="true" t="shared" si="4" ref="B40:G40">+B32-B34-B35-B36-B37-B38-B39</f>
        <v>0</v>
      </c>
      <c r="C40" s="264">
        <f t="shared" si="4"/>
        <v>0</v>
      </c>
      <c r="D40" s="264">
        <f t="shared" si="4"/>
        <v>0</v>
      </c>
      <c r="E40" s="264">
        <f t="shared" si="4"/>
        <v>0</v>
      </c>
      <c r="F40" s="264">
        <f t="shared" si="4"/>
        <v>0</v>
      </c>
      <c r="G40" s="264">
        <f t="shared" si="4"/>
        <v>0</v>
      </c>
      <c r="H40" s="264">
        <f>+H32-H34-H35-H36-H37-H38-H39</f>
        <v>0</v>
      </c>
      <c r="I40" s="264" t="e">
        <f>+I32-I34-I35-I36-#REF!-I37-I38-I39</f>
        <v>#REF!</v>
      </c>
    </row>
    <row r="997" ht="15">
      <c r="A997" s="208" t="s">
        <v>392</v>
      </c>
    </row>
  </sheetData>
  <sheetProtection/>
  <mergeCells count="3">
    <mergeCell ref="B4:I4"/>
    <mergeCell ref="B17:I17"/>
    <mergeCell ref="B30:I30"/>
  </mergeCells>
  <conditionalFormatting sqref="B14:I16">
    <cfRule type="cellIs" priority="3" dxfId="127" operator="notBetween">
      <formula>1</formula>
      <formula>-1</formula>
    </cfRule>
  </conditionalFormatting>
  <conditionalFormatting sqref="B27:I27">
    <cfRule type="cellIs" priority="2" dxfId="127" operator="notBetween">
      <formula>1</formula>
      <formula>-1</formula>
    </cfRule>
  </conditionalFormatting>
  <conditionalFormatting sqref="B40:I40">
    <cfRule type="cellIs" priority="1" dxfId="127"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999"/>
  <sheetViews>
    <sheetView showGridLines="0" zoomScale="80" zoomScaleNormal="80" zoomScalePageLayoutView="0" workbookViewId="0" topLeftCell="A1">
      <selection activeCell="A1" sqref="A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9" width="11.57421875" style="31" hidden="1" customWidth="1"/>
    <col min="10" max="16384" width="11.421875" style="31" customWidth="1"/>
  </cols>
  <sheetData>
    <row r="1" spans="1:9" ht="18">
      <c r="A1" s="29" t="str">
        <f>HLOOKUP(INDICE!$F$2,Nombres!$C$3:$D$636,91,FALSE)</f>
        <v>BBVA Group. Consolidated Income statement </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2">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3450.8750000400005</v>
      </c>
      <c r="C8" s="41">
        <v>3504.2920000000004</v>
      </c>
      <c r="D8" s="41">
        <v>3752.5249999600005</v>
      </c>
      <c r="E8" s="42">
        <v>3978.2929999499997</v>
      </c>
      <c r="F8" s="41">
        <v>3949.0419998799994</v>
      </c>
      <c r="G8" s="50">
        <v>4601.511</v>
      </c>
      <c r="H8" s="50">
        <v>0</v>
      </c>
      <c r="I8" s="50">
        <v>0</v>
      </c>
    </row>
    <row r="9" spans="1:9" ht="15">
      <c r="A9" s="43" t="str">
        <f>HLOOKUP(INDICE!$F$2,Nombres!$C$3:$D$636,34,FALSE)</f>
        <v>Net fees and commissions</v>
      </c>
      <c r="B9" s="44">
        <v>1132.9649999900003</v>
      </c>
      <c r="C9" s="44">
        <v>1181.81500011</v>
      </c>
      <c r="D9" s="44">
        <v>1203.1469999</v>
      </c>
      <c r="E9" s="45">
        <v>1247.10100003</v>
      </c>
      <c r="F9" s="44">
        <v>1241.73699995</v>
      </c>
      <c r="G9" s="44">
        <v>1408.56200005</v>
      </c>
      <c r="H9" s="44">
        <v>0</v>
      </c>
      <c r="I9" s="44">
        <v>0</v>
      </c>
    </row>
    <row r="10" spans="1:9" ht="15">
      <c r="A10" s="43" t="str">
        <f>HLOOKUP(INDICE!$F$2,Nombres!$C$3:$D$636,35,FALSE)</f>
        <v>Net trading income</v>
      </c>
      <c r="B10" s="44">
        <v>581.4600000199999</v>
      </c>
      <c r="C10" s="44">
        <v>502.656</v>
      </c>
      <c r="D10" s="44">
        <v>387.42199997</v>
      </c>
      <c r="E10" s="45">
        <v>438.26500000000004</v>
      </c>
      <c r="F10" s="44">
        <v>579.66799999</v>
      </c>
      <c r="G10" s="44">
        <v>515.8</v>
      </c>
      <c r="H10" s="44">
        <v>0</v>
      </c>
      <c r="I10" s="44">
        <v>0</v>
      </c>
    </row>
    <row r="11" spans="1:9" ht="15">
      <c r="A11" s="43" t="str">
        <f>HLOOKUP(INDICE!$F$2,Nombres!$C$3:$D$636,96,FALSE)</f>
        <v>Dividend income</v>
      </c>
      <c r="B11" s="44">
        <v>5.848999999999975</v>
      </c>
      <c r="C11" s="44">
        <v>119.47300000000004</v>
      </c>
      <c r="D11" s="44">
        <v>4.162999999999932</v>
      </c>
      <c r="E11" s="45">
        <v>46.12000000000009</v>
      </c>
      <c r="F11" s="44">
        <v>3.799000000000042</v>
      </c>
      <c r="G11" s="44">
        <v>72.23799999999991</v>
      </c>
      <c r="H11" s="44">
        <v>0</v>
      </c>
      <c r="I11" s="44">
        <v>0</v>
      </c>
    </row>
    <row r="12" spans="1:9" ht="15">
      <c r="A12" s="43" t="str">
        <f>HLOOKUP(INDICE!$F$2,Nombres!$C$3:$D$636,97,FALSE)</f>
        <v>Share of  profit/loss of invest. in subsidaries, joint ventures and associates</v>
      </c>
      <c r="B12" s="44">
        <v>-5.805</v>
      </c>
      <c r="C12" s="44">
        <v>0.3799999999999988</v>
      </c>
      <c r="D12" s="44">
        <v>3.6560000000000024</v>
      </c>
      <c r="E12" s="45">
        <v>2.5600000000000005</v>
      </c>
      <c r="F12" s="44">
        <v>4.848000000000002</v>
      </c>
      <c r="G12" s="44">
        <v>9.84</v>
      </c>
      <c r="H12" s="44">
        <v>0</v>
      </c>
      <c r="I12" s="44">
        <v>0</v>
      </c>
    </row>
    <row r="13" spans="1:9" ht="15">
      <c r="A13" s="43" t="str">
        <f>HLOOKUP(INDICE!$F$2,Nombres!$C$3:$D$636,98,FALSE)</f>
        <v>Other products and expenses</v>
      </c>
      <c r="B13" s="44">
        <v>-10.609000030000018</v>
      </c>
      <c r="C13" s="44">
        <v>-204.6449999799998</v>
      </c>
      <c r="D13" s="44">
        <v>-20.443999980000083</v>
      </c>
      <c r="E13" s="45">
        <v>-235.4909999700003</v>
      </c>
      <c r="F13" s="44">
        <v>-363.49700002000003</v>
      </c>
      <c r="G13" s="44">
        <v>-514.1469999900002</v>
      </c>
      <c r="H13" s="44">
        <v>0</v>
      </c>
      <c r="I13" s="44">
        <v>0</v>
      </c>
    </row>
    <row r="14" spans="1:9" ht="15">
      <c r="A14" s="41" t="str">
        <f>HLOOKUP(INDICE!$F$2,Nombres!$C$3:$D$636,37,FALSE)</f>
        <v>Gross income</v>
      </c>
      <c r="B14" s="41">
        <f>+SUM(B8:B13)</f>
        <v>5154.73500002</v>
      </c>
      <c r="C14" s="41">
        <f aca="true" t="shared" si="0" ref="C14:I14">+SUM(C8:C13)</f>
        <v>5103.971000130001</v>
      </c>
      <c r="D14" s="41">
        <f t="shared" si="0"/>
        <v>5330.46899985</v>
      </c>
      <c r="E14" s="42">
        <f t="shared" si="0"/>
        <v>5476.84800001</v>
      </c>
      <c r="F14" s="41">
        <f t="shared" si="0"/>
        <v>5415.596999799999</v>
      </c>
      <c r="G14" s="50">
        <f t="shared" si="0"/>
        <v>6093.804000060001</v>
      </c>
      <c r="H14" s="50">
        <f t="shared" si="0"/>
        <v>0</v>
      </c>
      <c r="I14" s="50">
        <f t="shared" si="0"/>
        <v>0</v>
      </c>
    </row>
    <row r="15" spans="1:9" ht="15">
      <c r="A15" s="43" t="str">
        <f>HLOOKUP(INDICE!$F$2,Nombres!$C$3:$D$636,38,FALSE)</f>
        <v>Operating expenses</v>
      </c>
      <c r="B15" s="44">
        <v>-2304.31200016</v>
      </c>
      <c r="C15" s="44">
        <v>-2293.6229998500003</v>
      </c>
      <c r="D15" s="44">
        <v>-2377.74100017</v>
      </c>
      <c r="E15" s="45">
        <v>-2554.11199977</v>
      </c>
      <c r="F15" s="44">
        <v>-2423.87699994</v>
      </c>
      <c r="G15" s="44">
        <v>-2629.73800011</v>
      </c>
      <c r="H15" s="44">
        <v>0</v>
      </c>
      <c r="I15" s="44">
        <v>0</v>
      </c>
    </row>
    <row r="16" spans="1:9" ht="15">
      <c r="A16" s="43" t="str">
        <f>HLOOKUP(INDICE!$F$2,Nombres!$C$3:$D$636,39,FALSE)</f>
        <v>  Administration expenses</v>
      </c>
      <c r="B16" s="44">
        <v>-1995.7850001400002</v>
      </c>
      <c r="C16" s="44">
        <v>-1987.0499998699997</v>
      </c>
      <c r="D16" s="44">
        <v>-2064.1050001699996</v>
      </c>
      <c r="E16" s="45">
        <v>-2248.9999998</v>
      </c>
      <c r="F16" s="44">
        <v>-2111.32099992</v>
      </c>
      <c r="G16" s="44">
        <v>-2290.17800014</v>
      </c>
      <c r="H16" s="44">
        <v>0</v>
      </c>
      <c r="I16" s="44">
        <v>0</v>
      </c>
    </row>
    <row r="17" spans="1:9" ht="15">
      <c r="A17" s="46" t="str">
        <f>HLOOKUP(INDICE!$F$2,Nombres!$C$3:$D$636,40,FALSE)</f>
        <v>  Personnel expenses</v>
      </c>
      <c r="B17" s="44">
        <v>-1184.2269999999999</v>
      </c>
      <c r="C17" s="44">
        <v>-1186.75299999</v>
      </c>
      <c r="D17" s="44">
        <v>-1276.17300011</v>
      </c>
      <c r="E17" s="45">
        <v>-1399.30299988</v>
      </c>
      <c r="F17" s="44">
        <v>-1240.959</v>
      </c>
      <c r="G17" s="44">
        <v>-1345.83000005</v>
      </c>
      <c r="H17" s="44">
        <v>0</v>
      </c>
      <c r="I17" s="44">
        <v>0</v>
      </c>
    </row>
    <row r="18" spans="1:9" ht="15">
      <c r="A18" s="46" t="str">
        <f>HLOOKUP(INDICE!$F$2,Nombres!$C$3:$D$636,41,FALSE)</f>
        <v>  General and administrative expenses</v>
      </c>
      <c r="B18" s="44">
        <v>-811.5580001400001</v>
      </c>
      <c r="C18" s="44">
        <v>-800.29699988</v>
      </c>
      <c r="D18" s="44">
        <v>-787.93200006</v>
      </c>
      <c r="E18" s="45">
        <v>-849.69699992</v>
      </c>
      <c r="F18" s="44">
        <v>-870.36199992</v>
      </c>
      <c r="G18" s="44">
        <v>-944.3480000900001</v>
      </c>
      <c r="H18" s="44">
        <v>0</v>
      </c>
      <c r="I18" s="44">
        <v>0</v>
      </c>
    </row>
    <row r="19" spans="1:9" ht="15">
      <c r="A19" s="43" t="str">
        <f>HLOOKUP(INDICE!$F$2,Nombres!$C$3:$D$636,42,FALSE)</f>
        <v>  Depreciation</v>
      </c>
      <c r="B19" s="44">
        <v>-308.52700001999995</v>
      </c>
      <c r="C19" s="44">
        <v>-306.57299997999996</v>
      </c>
      <c r="D19" s="44">
        <v>-313.636</v>
      </c>
      <c r="E19" s="45">
        <v>-305.11199996999994</v>
      </c>
      <c r="F19" s="44">
        <v>-312.55600002</v>
      </c>
      <c r="G19" s="44">
        <v>-339.55999997000004</v>
      </c>
      <c r="H19" s="44">
        <v>0</v>
      </c>
      <c r="I19" s="44">
        <v>0</v>
      </c>
    </row>
    <row r="20" spans="1:9" ht="15">
      <c r="A20" s="41" t="str">
        <f>HLOOKUP(INDICE!$F$2,Nombres!$C$3:$D$636,43,FALSE)</f>
        <v>Operating income</v>
      </c>
      <c r="B20" s="41">
        <f>+B14+B15</f>
        <v>2850.4229998600003</v>
      </c>
      <c r="C20" s="41">
        <f aca="true" t="shared" si="1" ref="C20:I20">+C14+C15</f>
        <v>2810.3480002800006</v>
      </c>
      <c r="D20" s="41">
        <f t="shared" si="1"/>
        <v>2952.72799968</v>
      </c>
      <c r="E20" s="42">
        <f t="shared" si="1"/>
        <v>2922.73600024</v>
      </c>
      <c r="F20" s="41">
        <f t="shared" si="1"/>
        <v>2991.719999859999</v>
      </c>
      <c r="G20" s="50">
        <f t="shared" si="1"/>
        <v>3464.0659999500012</v>
      </c>
      <c r="H20" s="50">
        <f t="shared" si="1"/>
        <v>0</v>
      </c>
      <c r="I20" s="50">
        <f t="shared" si="1"/>
        <v>0</v>
      </c>
    </row>
    <row r="21" spans="1:9" ht="15">
      <c r="A21" s="43" t="str">
        <f>HLOOKUP(INDICE!$F$2,Nombres!$C$3:$D$636,44,FALSE)</f>
        <v>Impaiment on financial assets not measured at fair value through profit or loss</v>
      </c>
      <c r="B21" s="44">
        <v>-923.2530000599997</v>
      </c>
      <c r="C21" s="44">
        <v>-656.48099991</v>
      </c>
      <c r="D21" s="44">
        <v>-622.39</v>
      </c>
      <c r="E21" s="45">
        <v>-832.1090000400001</v>
      </c>
      <c r="F21" s="44">
        <v>-736.9199999500001</v>
      </c>
      <c r="G21" s="44">
        <v>-703.6320000699998</v>
      </c>
      <c r="H21" s="44">
        <v>0</v>
      </c>
      <c r="I21" s="44">
        <v>0</v>
      </c>
    </row>
    <row r="22" spans="1:9" ht="15">
      <c r="A22" s="43" t="str">
        <f>HLOOKUP(INDICE!$F$2,Nombres!$C$3:$D$636,247,FALSE)</f>
        <v>Provisions or reversal of provisions</v>
      </c>
      <c r="B22" s="44">
        <v>-151.16800002000002</v>
      </c>
      <c r="C22" s="44">
        <v>-22.92176699000005</v>
      </c>
      <c r="D22" s="44">
        <v>-50.1979999899999</v>
      </c>
      <c r="E22" s="45">
        <v>-39.6770000200001</v>
      </c>
      <c r="F22" s="44">
        <v>-47.83899999000001</v>
      </c>
      <c r="G22" s="44">
        <v>-64.00399997999997</v>
      </c>
      <c r="H22" s="44">
        <v>0</v>
      </c>
      <c r="I22" s="44">
        <v>0</v>
      </c>
    </row>
    <row r="23" spans="1:9" ht="15">
      <c r="A23" s="43" t="str">
        <f>HLOOKUP(INDICE!$F$2,Nombres!$C$3:$D$636,248,FALSE)</f>
        <v>Other results</v>
      </c>
      <c r="B23" s="44">
        <v>-17.18800000000001</v>
      </c>
      <c r="C23" s="44">
        <v>-6.980092979999991</v>
      </c>
      <c r="D23" s="44">
        <v>19.031999990000003</v>
      </c>
      <c r="E23" s="45">
        <v>7.478000009999985</v>
      </c>
      <c r="F23" s="44">
        <v>20.417</v>
      </c>
      <c r="G23" s="44">
        <v>-2.694046449999986</v>
      </c>
      <c r="H23" s="44">
        <v>0</v>
      </c>
      <c r="I23" s="44">
        <v>0</v>
      </c>
    </row>
    <row r="24" spans="1:9" ht="15">
      <c r="A24" s="41" t="str">
        <f>HLOOKUP(INDICE!$F$2,Nombres!$C$3:$D$636,46,FALSE)</f>
        <v>Profit/(loss) before tax</v>
      </c>
      <c r="B24" s="50">
        <f aca="true" t="shared" si="2" ref="B24:I24">+B20+B21+B22+B23</f>
        <v>1758.8139997800004</v>
      </c>
      <c r="C24" s="50">
        <f t="shared" si="2"/>
        <v>2123.965140400001</v>
      </c>
      <c r="D24" s="50">
        <f t="shared" si="2"/>
        <v>2299.1719996799998</v>
      </c>
      <c r="E24" s="42">
        <f t="shared" si="2"/>
        <v>2058.42800019</v>
      </c>
      <c r="F24" s="50">
        <f t="shared" si="2"/>
        <v>2227.3779999199987</v>
      </c>
      <c r="G24" s="50">
        <f t="shared" si="2"/>
        <v>2693.7359534500015</v>
      </c>
      <c r="H24" s="50">
        <f t="shared" si="2"/>
        <v>0</v>
      </c>
      <c r="I24" s="50">
        <f t="shared" si="2"/>
        <v>0</v>
      </c>
    </row>
    <row r="25" spans="1:9" ht="15">
      <c r="A25" s="43" t="str">
        <f>HLOOKUP(INDICE!$F$2,Nombres!$C$3:$D$636,47,FALSE)</f>
        <v>Income tax</v>
      </c>
      <c r="B25" s="44">
        <v>-489.26299989999995</v>
      </c>
      <c r="C25" s="44">
        <v>-590.9263420500001</v>
      </c>
      <c r="D25" s="44">
        <v>-639.72900005</v>
      </c>
      <c r="E25" s="45">
        <v>-486.93899994000003</v>
      </c>
      <c r="F25" s="44">
        <v>-903.72300002</v>
      </c>
      <c r="G25" s="44">
        <v>-697.23378353</v>
      </c>
      <c r="H25" s="44">
        <v>0</v>
      </c>
      <c r="I25" s="44">
        <v>0</v>
      </c>
    </row>
    <row r="26" spans="1:9" ht="15">
      <c r="A26" s="41" t="str">
        <f>HLOOKUP(INDICE!$F$2,Nombres!$C$3:$D$636,48,FALSE)</f>
        <v>Profit/(loss) for the year</v>
      </c>
      <c r="B26" s="50">
        <f aca="true" t="shared" si="3" ref="B26:I26">+B24+B25</f>
        <v>1269.5509998800003</v>
      </c>
      <c r="C26" s="50">
        <f t="shared" si="3"/>
        <v>1533.038798350001</v>
      </c>
      <c r="D26" s="50">
        <f t="shared" si="3"/>
        <v>1659.4429996299998</v>
      </c>
      <c r="E26" s="42">
        <f t="shared" si="3"/>
        <v>1571.4890002500001</v>
      </c>
      <c r="F26" s="50">
        <f t="shared" si="3"/>
        <v>1323.6549998999988</v>
      </c>
      <c r="G26" s="50">
        <f t="shared" si="3"/>
        <v>1996.5021699200015</v>
      </c>
      <c r="H26" s="50">
        <f t="shared" si="3"/>
        <v>0</v>
      </c>
      <c r="I26" s="50">
        <f t="shared" si="3"/>
        <v>0</v>
      </c>
    </row>
    <row r="27" spans="1:9" ht="15">
      <c r="A27" s="43" t="str">
        <f>HLOOKUP(INDICE!$F$2,Nombres!$C$3:$D$636,49,FALSE)</f>
        <v>Non-controlling interests</v>
      </c>
      <c r="B27" s="44">
        <v>-236.81899999999996</v>
      </c>
      <c r="C27" s="44">
        <v>-238.87100001</v>
      </c>
      <c r="D27" s="44">
        <v>-259.04199998</v>
      </c>
      <c r="E27" s="45">
        <v>-230.09700001000002</v>
      </c>
      <c r="F27" s="44">
        <v>2.554000000000002</v>
      </c>
      <c r="G27" s="44">
        <v>-119.98999998999997</v>
      </c>
      <c r="H27" s="44">
        <v>0</v>
      </c>
      <c r="I27" s="44">
        <v>0</v>
      </c>
    </row>
    <row r="28" spans="1:9" ht="15">
      <c r="A28" s="47" t="str">
        <f>HLOOKUP(INDICE!$F$2,Nombres!$C$3:$D$636,305,FALSE)</f>
        <v>Net attributable profit excluding non recurring impacts</v>
      </c>
      <c r="B28" s="47">
        <f>+B26+B27</f>
        <v>1032.7319998800003</v>
      </c>
      <c r="C28" s="47">
        <f aca="true" t="shared" si="4" ref="C28:I28">+C26+C27</f>
        <v>1294.167798340001</v>
      </c>
      <c r="D28" s="47">
        <f t="shared" si="4"/>
        <v>1400.40099965</v>
      </c>
      <c r="E28" s="47">
        <f t="shared" si="4"/>
        <v>1341.39200024</v>
      </c>
      <c r="F28" s="47">
        <f t="shared" si="4"/>
        <v>1326.2089998999988</v>
      </c>
      <c r="G28" s="47">
        <f t="shared" si="4"/>
        <v>1876.5121699300016</v>
      </c>
      <c r="H28" s="47">
        <f t="shared" si="4"/>
        <v>0</v>
      </c>
      <c r="I28" s="47">
        <f t="shared" si="4"/>
        <v>0</v>
      </c>
    </row>
    <row r="29" spans="1:16" ht="15">
      <c r="A29" s="43" t="str">
        <f>HLOOKUP(INDICE!$F$2,Nombres!$C$3:$D$636,315,FALSE)</f>
        <v>Discontinued operations and Others (1)</v>
      </c>
      <c r="B29" s="44">
        <v>177.04100000000003</v>
      </c>
      <c r="C29" s="44">
        <v>-593.00779802</v>
      </c>
      <c r="D29" s="44">
        <v>0</v>
      </c>
      <c r="E29" s="45">
        <v>0</v>
      </c>
      <c r="F29" s="44">
        <v>0</v>
      </c>
      <c r="G29" s="44">
        <v>-201.39716995</v>
      </c>
      <c r="H29" s="44">
        <v>0</v>
      </c>
      <c r="I29" s="44">
        <v>0</v>
      </c>
      <c r="M29" s="294"/>
      <c r="N29" s="294"/>
      <c r="O29" s="294"/>
      <c r="P29" s="294"/>
    </row>
    <row r="30" spans="1:9" ht="15">
      <c r="A30" s="47" t="str">
        <f>HLOOKUP(INDICE!$F$2,Nombres!$C$3:$D$636,50,FALSE)</f>
        <v>Net attributable profit</v>
      </c>
      <c r="B30" s="47">
        <f>+B28+B29</f>
        <v>1209.7729998800003</v>
      </c>
      <c r="C30" s="47">
        <f aca="true" t="shared" si="5" ref="C30:I30">+C28+C29</f>
        <v>701.1600003200009</v>
      </c>
      <c r="D30" s="47">
        <f t="shared" si="5"/>
        <v>1400.40099965</v>
      </c>
      <c r="E30" s="47">
        <f t="shared" si="5"/>
        <v>1341.39200024</v>
      </c>
      <c r="F30" s="47">
        <f t="shared" si="5"/>
        <v>1326.2089998999988</v>
      </c>
      <c r="G30" s="47">
        <f t="shared" si="5"/>
        <v>1675.1149999800016</v>
      </c>
      <c r="H30" s="47">
        <f t="shared" si="5"/>
        <v>0</v>
      </c>
      <c r="I30" s="47">
        <f t="shared" si="5"/>
        <v>0</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299" t="str">
        <f>HLOOKUP(INDICE!$F$2,Nombres!$C$3:$D$636,316,FALSE)</f>
        <v>(1) Includes the profit generated by BBVA USA and the rest of the US companies sold to PNC on 1st of June of 2021, the net cost related to the reestructuring process. and net impact arisen form the purchase of offices in Spain. (for further detail in Spain and Corporate centre)</v>
      </c>
      <c r="B33" s="299"/>
      <c r="C33" s="299"/>
      <c r="D33" s="299"/>
      <c r="E33" s="299"/>
      <c r="F33" s="299"/>
      <c r="G33" s="299"/>
      <c r="H33" s="299"/>
      <c r="I33" s="299"/>
    </row>
    <row r="34" spans="1:9" ht="15" customHeight="1">
      <c r="A34" s="299"/>
      <c r="B34" s="299"/>
      <c r="C34" s="299"/>
      <c r="D34" s="299"/>
      <c r="E34" s="299"/>
      <c r="F34" s="299"/>
      <c r="G34" s="299"/>
      <c r="H34" s="299"/>
      <c r="I34" s="299"/>
    </row>
    <row r="35" spans="1:9" ht="15">
      <c r="A35" s="299"/>
      <c r="B35" s="299"/>
      <c r="C35" s="299"/>
      <c r="D35" s="299"/>
      <c r="E35" s="299"/>
      <c r="F35" s="299"/>
      <c r="G35" s="299"/>
      <c r="H35" s="299"/>
      <c r="I35" s="299"/>
    </row>
    <row r="36" spans="1:9" ht="15">
      <c r="A36" s="43"/>
      <c r="B36" s="49"/>
      <c r="C36" s="49"/>
      <c r="D36" s="49"/>
      <c r="E36" s="49"/>
      <c r="F36" s="288"/>
      <c r="G36" s="49"/>
      <c r="H36" s="49"/>
      <c r="I36" s="49"/>
    </row>
    <row r="37" spans="2:9" ht="15">
      <c r="B37" s="269"/>
      <c r="C37" s="269"/>
      <c r="D37" s="269"/>
      <c r="E37" s="269"/>
      <c r="F37" s="269"/>
      <c r="G37" s="269"/>
      <c r="H37" s="269"/>
      <c r="I37" s="269"/>
    </row>
    <row r="39" spans="1:9" ht="18">
      <c r="A39" s="33" t="str">
        <f>HLOOKUP(INDICE!$F$2,Nombres!$C$3:$D$636,31,FALSE)</f>
        <v>Income statement  </v>
      </c>
      <c r="B39" s="34"/>
      <c r="C39" s="34"/>
      <c r="D39" s="34"/>
      <c r="E39" s="34"/>
      <c r="F39" s="34"/>
      <c r="G39" s="34"/>
      <c r="H39" s="34"/>
      <c r="I39" s="34"/>
    </row>
    <row r="40" spans="1:9" ht="15">
      <c r="A40" s="35" t="str">
        <f>HLOOKUP(INDICE!$F$2,Nombres!$C$3:$D$636,73,FALSE)</f>
        <v>(Constant million euros)    </v>
      </c>
      <c r="B40" s="30"/>
      <c r="C40" s="36"/>
      <c r="D40" s="36"/>
      <c r="E40" s="36"/>
      <c r="F40" s="30"/>
      <c r="G40" s="30"/>
      <c r="H40" s="30"/>
      <c r="I40" s="30"/>
    </row>
    <row r="41" spans="1:9" ht="15">
      <c r="A41" s="37"/>
      <c r="B41" s="30"/>
      <c r="C41" s="36"/>
      <c r="D41" s="36"/>
      <c r="E41" s="36"/>
      <c r="F41" s="30"/>
      <c r="G41" s="30"/>
      <c r="H41" s="30"/>
      <c r="I41" s="30"/>
    </row>
    <row r="42" spans="1:9" ht="15.75">
      <c r="A42" s="38"/>
      <c r="B42" s="300">
        <f>+España!B6</f>
        <v>2021</v>
      </c>
      <c r="C42" s="300"/>
      <c r="D42" s="300"/>
      <c r="E42" s="301"/>
      <c r="F42" s="302">
        <f>+España!F6</f>
        <v>2022</v>
      </c>
      <c r="G42" s="300"/>
      <c r="H42" s="300"/>
      <c r="I42" s="300"/>
    </row>
    <row r="43" spans="1:9" ht="15.75">
      <c r="A43" s="38"/>
      <c r="B43" s="39" t="str">
        <f>+España!B7</f>
        <v>1Q</v>
      </c>
      <c r="C43" s="39" t="str">
        <f>+España!C7</f>
        <v>2Q</v>
      </c>
      <c r="D43" s="39" t="str">
        <f>+España!D7</f>
        <v>3Q</v>
      </c>
      <c r="E43" s="40" t="str">
        <f>+España!E7</f>
        <v>4Q</v>
      </c>
      <c r="F43" s="39" t="str">
        <f>+España!F7</f>
        <v>1Q</v>
      </c>
      <c r="G43" s="39" t="str">
        <f>+España!G7</f>
        <v>2Q</v>
      </c>
      <c r="H43" s="39" t="str">
        <f>+España!H7</f>
        <v>3Q</v>
      </c>
      <c r="I43" s="39" t="str">
        <f>+España!I7</f>
        <v>4Q</v>
      </c>
    </row>
    <row r="44" spans="1:9" ht="15">
      <c r="A44" s="41" t="str">
        <f>HLOOKUP(INDICE!$F$2,Nombres!$C$3:$D$636,33,FALSE)</f>
        <v>Net interest income</v>
      </c>
      <c r="B44" s="41">
        <v>3323.5936676383353</v>
      </c>
      <c r="C44" s="41">
        <v>3434.7118555606585</v>
      </c>
      <c r="D44" s="41">
        <v>3609.5154030406547</v>
      </c>
      <c r="E44" s="42">
        <v>3899.1961003830775</v>
      </c>
      <c r="F44" s="41">
        <v>3984.7293531092696</v>
      </c>
      <c r="G44" s="50">
        <v>4565.82364677073</v>
      </c>
      <c r="H44" s="50">
        <v>0</v>
      </c>
      <c r="I44" s="50">
        <v>0</v>
      </c>
    </row>
    <row r="45" spans="1:9" ht="15">
      <c r="A45" s="43" t="str">
        <f>HLOOKUP(INDICE!$F$2,Nombres!$C$3:$D$636,34,FALSE)</f>
        <v>Net fees and commissions</v>
      </c>
      <c r="B45" s="44">
        <v>1092.7144186891026</v>
      </c>
      <c r="C45" s="44">
        <v>1157.6236356905702</v>
      </c>
      <c r="D45" s="44">
        <v>1169.4938557303421</v>
      </c>
      <c r="E45" s="45">
        <v>1247.9647143311947</v>
      </c>
      <c r="F45" s="44">
        <v>1247.9197152521763</v>
      </c>
      <c r="G45" s="44">
        <v>1402.379284747824</v>
      </c>
      <c r="H45" s="44">
        <v>0</v>
      </c>
      <c r="I45" s="44">
        <v>0</v>
      </c>
    </row>
    <row r="46" spans="1:9" ht="15">
      <c r="A46" s="43" t="str">
        <f>HLOOKUP(INDICE!$F$2,Nombres!$C$3:$D$636,35,FALSE)</f>
        <v>Net trading income</v>
      </c>
      <c r="B46" s="44">
        <v>531.9452687081889</v>
      </c>
      <c r="C46" s="44">
        <v>505.9755665275535</v>
      </c>
      <c r="D46" s="44">
        <v>376.89350341045406</v>
      </c>
      <c r="E46" s="45">
        <v>389.24033976472697</v>
      </c>
      <c r="F46" s="44">
        <v>574.4876569870421</v>
      </c>
      <c r="G46" s="44">
        <v>520.9803430029579</v>
      </c>
      <c r="H46" s="44">
        <v>0</v>
      </c>
      <c r="I46" s="44">
        <v>0</v>
      </c>
    </row>
    <row r="47" spans="1:9" ht="15">
      <c r="A47" s="43" t="str">
        <f>HLOOKUP(INDICE!$F$2,Nombres!$C$3:$D$636,96,FALSE)</f>
        <v>Dividend income</v>
      </c>
      <c r="B47" s="44">
        <v>5.676448469838297</v>
      </c>
      <c r="C47" s="44">
        <v>119.37492156354675</v>
      </c>
      <c r="D47" s="44">
        <v>3.9026673325069194</v>
      </c>
      <c r="E47" s="45">
        <v>46.08883422490004</v>
      </c>
      <c r="F47" s="44">
        <v>3.7686504743904585</v>
      </c>
      <c r="G47" s="44">
        <v>72.2683495256095</v>
      </c>
      <c r="H47" s="44">
        <v>0</v>
      </c>
      <c r="I47" s="44">
        <v>0</v>
      </c>
    </row>
    <row r="48" spans="1:9" ht="15">
      <c r="A48" s="43" t="str">
        <f>HLOOKUP(INDICE!$F$2,Nombres!$C$3:$D$636,97,FALSE)</f>
        <v>Share of  profit/loss of invest. in subsidaries, joint ventures and associates</v>
      </c>
      <c r="B48" s="44">
        <v>-5.5758869612937865</v>
      </c>
      <c r="C48" s="44">
        <v>0.7012336619357734</v>
      </c>
      <c r="D48" s="44">
        <v>3.9978160935222906</v>
      </c>
      <c r="E48" s="45">
        <v>2.9877636830583367</v>
      </c>
      <c r="F48" s="44">
        <v>5.072808054062257</v>
      </c>
      <c r="G48" s="44">
        <v>9.615191945937744</v>
      </c>
      <c r="H48" s="44">
        <v>0</v>
      </c>
      <c r="I48" s="44">
        <v>0</v>
      </c>
    </row>
    <row r="49" spans="1:9" ht="15">
      <c r="A49" s="43" t="str">
        <f>HLOOKUP(INDICE!$F$2,Nombres!$C$3:$D$636,98,FALSE)</f>
        <v>Other products and expenses</v>
      </c>
      <c r="B49" s="44">
        <v>-13.686273217200567</v>
      </c>
      <c r="C49" s="44">
        <v>-214.69686420717073</v>
      </c>
      <c r="D49" s="44">
        <v>-24.916790775881296</v>
      </c>
      <c r="E49" s="45">
        <v>-223.23448726994235</v>
      </c>
      <c r="F49" s="44">
        <v>-394.0374716994936</v>
      </c>
      <c r="G49" s="44">
        <v>-483.60652831050663</v>
      </c>
      <c r="H49" s="44">
        <v>0</v>
      </c>
      <c r="I49" s="44">
        <v>0</v>
      </c>
    </row>
    <row r="50" spans="1:9" ht="15">
      <c r="A50" s="41" t="str">
        <f>HLOOKUP(INDICE!$F$2,Nombres!$C$3:$D$636,37,FALSE)</f>
        <v>Gross income</v>
      </c>
      <c r="B50" s="41">
        <f>+SUM(B44:B49)</f>
        <v>4934.667643326971</v>
      </c>
      <c r="C50" s="41">
        <f aca="true" t="shared" si="6" ref="C50:I50">+SUM(C44:C49)</f>
        <v>5003.690348797094</v>
      </c>
      <c r="D50" s="41">
        <f t="shared" si="6"/>
        <v>5138.8864548316</v>
      </c>
      <c r="E50" s="42">
        <f t="shared" si="6"/>
        <v>5362.243265117015</v>
      </c>
      <c r="F50" s="41">
        <f t="shared" si="6"/>
        <v>5421.940712177447</v>
      </c>
      <c r="G50" s="50">
        <f t="shared" si="6"/>
        <v>6087.460287682553</v>
      </c>
      <c r="H50" s="50">
        <f t="shared" si="6"/>
        <v>0</v>
      </c>
      <c r="I50" s="50">
        <f t="shared" si="6"/>
        <v>0</v>
      </c>
    </row>
    <row r="51" spans="1:9" ht="15">
      <c r="A51" s="43" t="str">
        <f>HLOOKUP(INDICE!$F$2,Nombres!$C$3:$D$636,38,FALSE)</f>
        <v>Operating expenses</v>
      </c>
      <c r="B51" s="44">
        <v>-2241.0877647396655</v>
      </c>
      <c r="C51" s="44">
        <v>-2270.3235632075975</v>
      </c>
      <c r="D51" s="44">
        <v>-2335.1655012088454</v>
      </c>
      <c r="E51" s="45">
        <v>-2543.301893459413</v>
      </c>
      <c r="F51" s="44">
        <v>-2441.010094620775</v>
      </c>
      <c r="G51" s="44">
        <v>-2612.6049054292253</v>
      </c>
      <c r="H51" s="44">
        <v>0</v>
      </c>
      <c r="I51" s="44">
        <v>0</v>
      </c>
    </row>
    <row r="52" spans="1:9" ht="15">
      <c r="A52" s="43" t="str">
        <f>HLOOKUP(INDICE!$F$2,Nombres!$C$3:$D$636,39,FALSE)</f>
        <v>  Administration expenses</v>
      </c>
      <c r="B52" s="44">
        <v>-1939.6854902952684</v>
      </c>
      <c r="C52" s="44">
        <v>-1966.8702974813284</v>
      </c>
      <c r="D52" s="44">
        <v>-2026.3636295669453</v>
      </c>
      <c r="E52" s="45">
        <v>-2235.2961239271335</v>
      </c>
      <c r="F52" s="44">
        <v>-2125.656646006138</v>
      </c>
      <c r="G52" s="44">
        <v>-2275.842354053862</v>
      </c>
      <c r="H52" s="44">
        <v>0</v>
      </c>
      <c r="I52" s="44">
        <v>0</v>
      </c>
    </row>
    <row r="53" spans="1:9" ht="15">
      <c r="A53" s="46" t="str">
        <f>HLOOKUP(INDICE!$F$2,Nombres!$C$3:$D$636,40,FALSE)</f>
        <v>  Personnel expenses</v>
      </c>
      <c r="B53" s="44">
        <v>-1143.1689313335653</v>
      </c>
      <c r="C53" s="44">
        <v>-1160.5265505243906</v>
      </c>
      <c r="D53" s="44">
        <v>-1246.2917420250608</v>
      </c>
      <c r="E53" s="45">
        <v>-1383.3505743225253</v>
      </c>
      <c r="F53" s="44">
        <v>-1247.1090241630795</v>
      </c>
      <c r="G53" s="44">
        <v>-1339.6799758869206</v>
      </c>
      <c r="H53" s="44">
        <v>0</v>
      </c>
      <c r="I53" s="44">
        <v>0</v>
      </c>
    </row>
    <row r="54" spans="1:9" ht="15">
      <c r="A54" s="46" t="str">
        <f>HLOOKUP(INDICE!$F$2,Nombres!$C$3:$D$636,41,FALSE)</f>
        <v>  General and administrative expenses</v>
      </c>
      <c r="B54" s="44">
        <v>-796.5165589617031</v>
      </c>
      <c r="C54" s="44">
        <v>-806.3437469569376</v>
      </c>
      <c r="D54" s="44">
        <v>-780.0718875418847</v>
      </c>
      <c r="E54" s="45">
        <v>-851.9455496046082</v>
      </c>
      <c r="F54" s="44">
        <v>-878.5476218430586</v>
      </c>
      <c r="G54" s="44">
        <v>-936.1623781669414</v>
      </c>
      <c r="H54" s="44">
        <v>0</v>
      </c>
      <c r="I54" s="44">
        <v>0</v>
      </c>
    </row>
    <row r="55" spans="1:9" ht="15">
      <c r="A55" s="43" t="str">
        <f>HLOOKUP(INDICE!$F$2,Nombres!$C$3:$D$636,42,FALSE)</f>
        <v>  Depreciation</v>
      </c>
      <c r="B55" s="44">
        <v>-301.402274444397</v>
      </c>
      <c r="C55" s="44">
        <v>-303.45326572626914</v>
      </c>
      <c r="D55" s="44">
        <v>-308.8018716418999</v>
      </c>
      <c r="E55" s="45">
        <v>-308.00576953227926</v>
      </c>
      <c r="F55" s="44">
        <v>-315.35344861463665</v>
      </c>
      <c r="G55" s="44">
        <v>-336.7625513753634</v>
      </c>
      <c r="H55" s="44">
        <v>0</v>
      </c>
      <c r="I55" s="44">
        <v>0</v>
      </c>
    </row>
    <row r="56" spans="1:9" ht="15">
      <c r="A56" s="41" t="str">
        <f>HLOOKUP(INDICE!$F$2,Nombres!$C$3:$D$636,43,FALSE)</f>
        <v>Operating income</v>
      </c>
      <c r="B56" s="41">
        <f>+B50+B51</f>
        <v>2693.5798785873058</v>
      </c>
      <c r="C56" s="41">
        <f aca="true" t="shared" si="7" ref="C56:I56">+C50+C51</f>
        <v>2733.3667855894964</v>
      </c>
      <c r="D56" s="41">
        <f t="shared" si="7"/>
        <v>2803.720953622754</v>
      </c>
      <c r="E56" s="42">
        <f t="shared" si="7"/>
        <v>2818.941371657602</v>
      </c>
      <c r="F56" s="41">
        <f t="shared" si="7"/>
        <v>2980.9306175566717</v>
      </c>
      <c r="G56" s="50">
        <f t="shared" si="7"/>
        <v>3474.8553822533277</v>
      </c>
      <c r="H56" s="50">
        <f t="shared" si="7"/>
        <v>0</v>
      </c>
      <c r="I56" s="50">
        <f t="shared" si="7"/>
        <v>0</v>
      </c>
    </row>
    <row r="57" spans="1:9" ht="15">
      <c r="A57" s="43" t="str">
        <f>HLOOKUP(INDICE!$F$2,Nombres!$C$3:$D$636,44,FALSE)</f>
        <v>Impaiment on financial assets not measured at fair value through profit or loss</v>
      </c>
      <c r="B57" s="44">
        <v>-913.0951151708423</v>
      </c>
      <c r="C57" s="44">
        <v>-671.7519539182674</v>
      </c>
      <c r="D57" s="44">
        <v>-628.5483700655994</v>
      </c>
      <c r="E57" s="45">
        <v>-772.460180770906</v>
      </c>
      <c r="F57" s="44">
        <v>-746.9524613770939</v>
      </c>
      <c r="G57" s="44">
        <v>-693.5995386429065</v>
      </c>
      <c r="H57" s="44">
        <v>0</v>
      </c>
      <c r="I57" s="44">
        <v>0</v>
      </c>
    </row>
    <row r="58" spans="1:9" ht="15">
      <c r="A58" s="43" t="str">
        <f>HLOOKUP(INDICE!$F$2,Nombres!$C$3:$D$636,247,FALSE)</f>
        <v>Provisions or reversal of provisions</v>
      </c>
      <c r="B58" s="44">
        <v>-163.77903950022417</v>
      </c>
      <c r="C58" s="44">
        <v>-25.52257552657135</v>
      </c>
      <c r="D58" s="44">
        <v>-56.13887791357976</v>
      </c>
      <c r="E58" s="45">
        <v>-27.76082179099192</v>
      </c>
      <c r="F58" s="44">
        <v>-46.58760129453617</v>
      </c>
      <c r="G58" s="44">
        <v>-65.25539867546382</v>
      </c>
      <c r="H58" s="44">
        <v>0</v>
      </c>
      <c r="I58" s="44">
        <v>0</v>
      </c>
    </row>
    <row r="59" spans="1:9" ht="15">
      <c r="A59" s="43" t="str">
        <f>HLOOKUP(INDICE!$F$2,Nombres!$C$3:$D$636,248,FALSE)</f>
        <v>Other results</v>
      </c>
      <c r="B59" s="44">
        <v>-22.12392735506996</v>
      </c>
      <c r="C59" s="44">
        <v>-7.926205680679734</v>
      </c>
      <c r="D59" s="44">
        <v>18.69457917684639</v>
      </c>
      <c r="E59" s="45">
        <v>8.377607755260119</v>
      </c>
      <c r="F59" s="44">
        <v>19.938049470668552</v>
      </c>
      <c r="G59" s="44">
        <v>-2.215095920668535</v>
      </c>
      <c r="H59" s="44">
        <v>0</v>
      </c>
      <c r="I59" s="44">
        <v>0</v>
      </c>
    </row>
    <row r="60" spans="1:9" ht="15">
      <c r="A60" s="41" t="str">
        <f>HLOOKUP(INDICE!$F$2,Nombres!$C$3:$D$636,46,FALSE)</f>
        <v>Profit/(loss) before tax</v>
      </c>
      <c r="B60" s="50">
        <f aca="true" t="shared" si="8" ref="B60:I60">+B56+B57+B58+B59</f>
        <v>1594.5817965611693</v>
      </c>
      <c r="C60" s="50">
        <f t="shared" si="8"/>
        <v>2028.1660504639779</v>
      </c>
      <c r="D60" s="50">
        <f t="shared" si="8"/>
        <v>2137.7282848204213</v>
      </c>
      <c r="E60" s="42">
        <f t="shared" si="8"/>
        <v>2027.0979768509642</v>
      </c>
      <c r="F60" s="50">
        <f t="shared" si="8"/>
        <v>2207.32860435571</v>
      </c>
      <c r="G60" s="50">
        <f t="shared" si="8"/>
        <v>2713.785349014289</v>
      </c>
      <c r="H60" s="50">
        <f t="shared" si="8"/>
        <v>0</v>
      </c>
      <c r="I60" s="50">
        <f t="shared" si="8"/>
        <v>0</v>
      </c>
    </row>
    <row r="61" spans="1:9" ht="15">
      <c r="A61" s="43" t="str">
        <f>HLOOKUP(INDICE!$F$2,Nombres!$C$3:$D$636,47,FALSE)</f>
        <v>Income tax</v>
      </c>
      <c r="B61" s="44">
        <v>-462.00986818588035</v>
      </c>
      <c r="C61" s="44">
        <v>-588.679901563117</v>
      </c>
      <c r="D61" s="44">
        <v>-594.9152284386978</v>
      </c>
      <c r="E61" s="45">
        <v>-466.1624711655824</v>
      </c>
      <c r="F61" s="44">
        <v>-898.0585530033859</v>
      </c>
      <c r="G61" s="44">
        <v>-702.8982305466142</v>
      </c>
      <c r="H61" s="44">
        <v>0</v>
      </c>
      <c r="I61" s="44">
        <v>0</v>
      </c>
    </row>
    <row r="62" spans="1:9" ht="15">
      <c r="A62" s="41" t="str">
        <f>HLOOKUP(INDICE!$F$2,Nombres!$C$3:$D$636,48,FALSE)</f>
        <v>Profit/(loss) for the year</v>
      </c>
      <c r="B62" s="50">
        <f aca="true" t="shared" si="9" ref="B62:I62">+B60+B61</f>
        <v>1132.571928375289</v>
      </c>
      <c r="C62" s="50">
        <f t="shared" si="9"/>
        <v>1439.4861489008608</v>
      </c>
      <c r="D62" s="50">
        <f t="shared" si="9"/>
        <v>1542.8130563817235</v>
      </c>
      <c r="E62" s="42">
        <f t="shared" si="9"/>
        <v>1560.9355056853817</v>
      </c>
      <c r="F62" s="50">
        <f t="shared" si="9"/>
        <v>1309.2700513523241</v>
      </c>
      <c r="G62" s="50">
        <f t="shared" si="9"/>
        <v>2010.8871184676746</v>
      </c>
      <c r="H62" s="50">
        <f t="shared" si="9"/>
        <v>0</v>
      </c>
      <c r="I62" s="50">
        <f t="shared" si="9"/>
        <v>0</v>
      </c>
    </row>
    <row r="63" spans="1:9" ht="15">
      <c r="A63" s="43" t="str">
        <f>HLOOKUP(INDICE!$F$2,Nombres!$C$3:$D$636,49,FALSE)</f>
        <v>Non-controlling interests</v>
      </c>
      <c r="B63" s="44">
        <v>-139.92608448392258</v>
      </c>
      <c r="C63" s="44">
        <v>-157.69457917743435</v>
      </c>
      <c r="D63" s="44">
        <v>-175.7363039675438</v>
      </c>
      <c r="E63" s="45">
        <v>-198.4428456457405</v>
      </c>
      <c r="F63" s="44">
        <v>25.506525130831633</v>
      </c>
      <c r="G63" s="44">
        <v>-142.94252512083153</v>
      </c>
      <c r="H63" s="44">
        <v>0</v>
      </c>
      <c r="I63" s="44">
        <v>0</v>
      </c>
    </row>
    <row r="64" spans="1:9" ht="15">
      <c r="A64" s="47" t="str">
        <f>HLOOKUP(INDICE!$F$2,Nombres!$C$3:$D$636,305,FALSE)</f>
        <v>Net attributable profit excluding non recurring impacts</v>
      </c>
      <c r="B64" s="47">
        <f>+B62+B63</f>
        <v>992.6458438913664</v>
      </c>
      <c r="C64" s="47">
        <f aca="true" t="shared" si="10" ref="C64:I64">+C62+C63</f>
        <v>1281.7915697234264</v>
      </c>
      <c r="D64" s="47">
        <f t="shared" si="10"/>
        <v>1367.0767524141797</v>
      </c>
      <c r="E64" s="47">
        <f t="shared" si="10"/>
        <v>1362.4926600396411</v>
      </c>
      <c r="F64" s="47">
        <f t="shared" si="10"/>
        <v>1334.7765764831558</v>
      </c>
      <c r="G64" s="47">
        <f t="shared" si="10"/>
        <v>1867.944593346843</v>
      </c>
      <c r="H64" s="47">
        <f t="shared" si="10"/>
        <v>0</v>
      </c>
      <c r="I64" s="47">
        <f t="shared" si="10"/>
        <v>0</v>
      </c>
    </row>
    <row r="65" spans="1:9" ht="15">
      <c r="A65" s="43" t="str">
        <f>HLOOKUP(INDICE!$F$2,Nombres!$C$3:$D$636,315,FALSE)</f>
        <v>Discontinued operations and Others (1)</v>
      </c>
      <c r="B65" s="44">
        <v>195.0889868887254</v>
      </c>
      <c r="C65" s="44">
        <v>-585.4894758289481</v>
      </c>
      <c r="D65" s="44">
        <v>-2.0763531110594684</v>
      </c>
      <c r="E65" s="45">
        <v>-3.073464179542243</v>
      </c>
      <c r="F65" s="44">
        <v>0</v>
      </c>
      <c r="G65" s="44">
        <v>-201.39716995</v>
      </c>
      <c r="H65" s="44">
        <v>0</v>
      </c>
      <c r="I65" s="44">
        <v>0</v>
      </c>
    </row>
    <row r="66" spans="1:9" ht="15">
      <c r="A66" s="47" t="str">
        <f>HLOOKUP(INDICE!$F$2,Nombres!$C$3:$D$636,50,FALSE)</f>
        <v>Net attributable profit</v>
      </c>
      <c r="B66" s="47">
        <f>+B64+B65</f>
        <v>1187.734830780092</v>
      </c>
      <c r="C66" s="47">
        <f aca="true" t="shared" si="11" ref="C66:I66">+C64+C65</f>
        <v>696.3020938944783</v>
      </c>
      <c r="D66" s="47">
        <f t="shared" si="11"/>
        <v>1365.0003993031203</v>
      </c>
      <c r="E66" s="47">
        <f t="shared" si="11"/>
        <v>1359.4191958600989</v>
      </c>
      <c r="F66" s="47">
        <f t="shared" si="11"/>
        <v>1334.7765764831558</v>
      </c>
      <c r="G66" s="47">
        <f t="shared" si="11"/>
        <v>1666.547423396843</v>
      </c>
      <c r="H66" s="47">
        <f t="shared" si="11"/>
        <v>0</v>
      </c>
      <c r="I66" s="47">
        <f t="shared" si="11"/>
        <v>0</v>
      </c>
    </row>
    <row r="67" spans="1:9" ht="15">
      <c r="A67" s="43"/>
      <c r="B67" s="48">
        <v>0</v>
      </c>
      <c r="C67" s="48">
        <v>0</v>
      </c>
      <c r="D67" s="48">
        <v>0</v>
      </c>
      <c r="E67" s="48">
        <v>0</v>
      </c>
      <c r="F67" s="48">
        <v>0</v>
      </c>
      <c r="G67" s="48">
        <v>0</v>
      </c>
      <c r="H67" s="48">
        <v>0</v>
      </c>
      <c r="I67" s="48">
        <v>0</v>
      </c>
    </row>
    <row r="68" spans="1:9" ht="12.75" customHeight="1">
      <c r="A68" s="287"/>
      <c r="B68" s="48">
        <v>0</v>
      </c>
      <c r="C68" s="48">
        <v>0</v>
      </c>
      <c r="D68" s="48">
        <v>0</v>
      </c>
      <c r="E68" s="48">
        <v>0</v>
      </c>
      <c r="F68" s="48">
        <v>0</v>
      </c>
      <c r="G68" s="48">
        <v>0</v>
      </c>
      <c r="H68" s="48">
        <v>0</v>
      </c>
      <c r="I68" s="48">
        <v>0</v>
      </c>
    </row>
    <row r="69" spans="1:9" ht="24" customHeight="1">
      <c r="A69" s="299" t="str">
        <f>HLOOKUP(INDICE!$F$2,Nombres!$C$3:$D$636,316,FALSE)</f>
        <v>(1) Includes the profit generated by BBVA USA and the rest of the US companies sold to PNC on 1st of June of 2021, the net cost related to the reestructuring process. and net impact arisen form the purchase of offices in Spain. (for further detail in Spain and Corporate centre)</v>
      </c>
      <c r="B69" s="299"/>
      <c r="C69" s="299"/>
      <c r="D69" s="299"/>
      <c r="E69" s="299"/>
      <c r="F69" s="299"/>
      <c r="G69" s="299"/>
      <c r="H69" s="299"/>
      <c r="I69" s="299"/>
    </row>
    <row r="70" spans="1:9" ht="15" customHeight="1">
      <c r="A70" s="299"/>
      <c r="B70" s="299"/>
      <c r="C70" s="299"/>
      <c r="D70" s="299"/>
      <c r="E70" s="299"/>
      <c r="F70" s="299"/>
      <c r="G70" s="299"/>
      <c r="H70" s="299"/>
      <c r="I70" s="299"/>
    </row>
    <row r="71" spans="1:9" ht="15">
      <c r="A71" s="43"/>
      <c r="B71" s="268"/>
      <c r="C71" s="268"/>
      <c r="D71" s="268"/>
      <c r="E71" s="268"/>
      <c r="F71" s="268"/>
      <c r="G71" s="268"/>
      <c r="H71" s="268"/>
      <c r="I71" s="268"/>
    </row>
    <row r="72" spans="1:9" ht="15">
      <c r="A72"/>
      <c r="B72" s="268"/>
      <c r="C72" s="268"/>
      <c r="D72" s="268"/>
      <c r="E72" s="268"/>
      <c r="F72" s="268"/>
      <c r="G72" s="268"/>
      <c r="H72" s="268"/>
      <c r="I72" s="268"/>
    </row>
    <row r="73" spans="2:9" ht="15">
      <c r="B73" s="268"/>
      <c r="C73" s="268"/>
      <c r="D73" s="268"/>
      <c r="E73" s="268"/>
      <c r="F73" s="268"/>
      <c r="G73" s="268"/>
      <c r="H73" s="268"/>
      <c r="I73" s="268"/>
    </row>
    <row r="85" ht="15">
      <c r="A85"/>
    </row>
    <row r="999" ht="15">
      <c r="A999" s="31" t="s">
        <v>392</v>
      </c>
    </row>
  </sheetData>
  <sheetProtection/>
  <mergeCells count="9">
    <mergeCell ref="A34:I34"/>
    <mergeCell ref="B42:E42"/>
    <mergeCell ref="F42:I42"/>
    <mergeCell ref="A69:I69"/>
    <mergeCell ref="A70:I70"/>
    <mergeCell ref="B6:E6"/>
    <mergeCell ref="F6:I6"/>
    <mergeCell ref="A35:I35"/>
    <mergeCell ref="A33:I33"/>
  </mergeCells>
  <conditionalFormatting sqref="B36:I36">
    <cfRule type="cellIs" priority="44" dxfId="13" operator="notBetween">
      <formula>0.4</formula>
      <formula>-0.4</formula>
    </cfRule>
  </conditionalFormatting>
  <conditionalFormatting sqref="B37:I37">
    <cfRule type="cellIs" priority="43" dxfId="13" operator="notBetween">
      <formula>0.4</formula>
      <formula>-0.4</formula>
    </cfRule>
  </conditionalFormatting>
  <conditionalFormatting sqref="E31">
    <cfRule type="cellIs" priority="35" dxfId="127" operator="notBetween">
      <formula>0.5</formula>
      <formula>-0.5</formula>
    </cfRule>
  </conditionalFormatting>
  <conditionalFormatting sqref="C31">
    <cfRule type="cellIs" priority="33" dxfId="127" operator="notBetween">
      <formula>0.5</formula>
      <formula>-0.5</formula>
    </cfRule>
  </conditionalFormatting>
  <conditionalFormatting sqref="H31">
    <cfRule type="cellIs" priority="38" dxfId="127" operator="notBetween">
      <formula>0.5</formula>
      <formula>-0.5</formula>
    </cfRule>
  </conditionalFormatting>
  <conditionalFormatting sqref="I31">
    <cfRule type="cellIs" priority="42" dxfId="127" operator="notBetween">
      <formula>0.5</formula>
      <formula>-0.5</formula>
    </cfRule>
  </conditionalFormatting>
  <conditionalFormatting sqref="B71:G71">
    <cfRule type="cellIs" priority="41" dxfId="13" operator="notBetween">
      <formula>0.4</formula>
      <formula>-0.4</formula>
    </cfRule>
  </conditionalFormatting>
  <conditionalFormatting sqref="G31">
    <cfRule type="cellIs" priority="37" dxfId="127" operator="notBetween">
      <formula>0.5</formula>
      <formula>-0.5</formula>
    </cfRule>
  </conditionalFormatting>
  <conditionalFormatting sqref="H71">
    <cfRule type="cellIs" priority="40" dxfId="13" operator="notBetween">
      <formula>0.4</formula>
      <formula>-0.4</formula>
    </cfRule>
  </conditionalFormatting>
  <conditionalFormatting sqref="I71">
    <cfRule type="cellIs" priority="39" dxfId="13" operator="notBetween">
      <formula>0.4</formula>
      <formula>-0.4</formula>
    </cfRule>
  </conditionalFormatting>
  <conditionalFormatting sqref="F31">
    <cfRule type="cellIs" priority="36" dxfId="127" operator="notBetween">
      <formula>0.5</formula>
      <formula>-0.5</formula>
    </cfRule>
  </conditionalFormatting>
  <conditionalFormatting sqref="D31">
    <cfRule type="cellIs" priority="34" dxfId="127" operator="notBetween">
      <formula>0.5</formula>
      <formula>-0.5</formula>
    </cfRule>
  </conditionalFormatting>
  <conditionalFormatting sqref="D32">
    <cfRule type="cellIs" priority="30" dxfId="127" operator="notBetween">
      <formula>0.5</formula>
      <formula>-0.5</formula>
    </cfRule>
  </conditionalFormatting>
  <conditionalFormatting sqref="B31:I31">
    <cfRule type="cellIs" priority="32" dxfId="127" operator="notBetween">
      <formula>0.5</formula>
      <formula>-0.5</formula>
    </cfRule>
  </conditionalFormatting>
  <conditionalFormatting sqref="C32">
    <cfRule type="cellIs" priority="31" dxfId="127" operator="notBetween">
      <formula>0.5</formula>
      <formula>-0.5</formula>
    </cfRule>
  </conditionalFormatting>
  <conditionalFormatting sqref="B32:I32">
    <cfRule type="cellIs" priority="29" dxfId="127" operator="notBetween">
      <formula>0.5</formula>
      <formula>-0.5</formula>
    </cfRule>
  </conditionalFormatting>
  <conditionalFormatting sqref="F31">
    <cfRule type="cellIs" priority="28" dxfId="127" operator="notBetween">
      <formula>0.5</formula>
      <formula>-0.5</formula>
    </cfRule>
  </conditionalFormatting>
  <conditionalFormatting sqref="G31">
    <cfRule type="cellIs" priority="27" dxfId="127" operator="notBetween">
      <formula>0.5</formula>
      <formula>-0.5</formula>
    </cfRule>
  </conditionalFormatting>
  <conditionalFormatting sqref="H31">
    <cfRule type="cellIs" priority="26" dxfId="127" operator="notBetween">
      <formula>0.5</formula>
      <formula>-0.5</formula>
    </cfRule>
  </conditionalFormatting>
  <conditionalFormatting sqref="I31">
    <cfRule type="cellIs" priority="25" dxfId="127" operator="notBetween">
      <formula>0.5</formula>
      <formula>-0.5</formula>
    </cfRule>
  </conditionalFormatting>
  <conditionalFormatting sqref="D31">
    <cfRule type="cellIs" priority="24" dxfId="127" operator="notBetween">
      <formula>0.5</formula>
      <formula>-0.5</formula>
    </cfRule>
  </conditionalFormatting>
  <conditionalFormatting sqref="C31">
    <cfRule type="cellIs" priority="23" dxfId="127" operator="notBetween">
      <formula>0.5</formula>
      <formula>-0.5</formula>
    </cfRule>
  </conditionalFormatting>
  <conditionalFormatting sqref="B31">
    <cfRule type="cellIs" priority="22" dxfId="127" operator="notBetween">
      <formula>0.5</formula>
      <formula>-0.5</formula>
    </cfRule>
  </conditionalFormatting>
  <conditionalFormatting sqref="F32:I32">
    <cfRule type="cellIs" priority="21" dxfId="127" operator="notBetween">
      <formula>0.5</formula>
      <formula>-0.5</formula>
    </cfRule>
  </conditionalFormatting>
  <conditionalFormatting sqref="B72:G72">
    <cfRule type="cellIs" priority="20" dxfId="13" operator="notBetween">
      <formula>0.4</formula>
      <formula>-0.4</formula>
    </cfRule>
  </conditionalFormatting>
  <conditionalFormatting sqref="H72">
    <cfRule type="cellIs" priority="19" dxfId="13" operator="notBetween">
      <formula>0.4</formula>
      <formula>-0.4</formula>
    </cfRule>
  </conditionalFormatting>
  <conditionalFormatting sqref="I72">
    <cfRule type="cellIs" priority="18" dxfId="13" operator="notBetween">
      <formula>0.4</formula>
      <formula>-0.4</formula>
    </cfRule>
  </conditionalFormatting>
  <conditionalFormatting sqref="E67">
    <cfRule type="cellIs" priority="13" dxfId="127" operator="notBetween">
      <formula>0.5</formula>
      <formula>-0.5</formula>
    </cfRule>
  </conditionalFormatting>
  <conditionalFormatting sqref="C67">
    <cfRule type="cellIs" priority="11" dxfId="127" operator="notBetween">
      <formula>0.5</formula>
      <formula>-0.5</formula>
    </cfRule>
  </conditionalFormatting>
  <conditionalFormatting sqref="H67">
    <cfRule type="cellIs" priority="16" dxfId="127" operator="notBetween">
      <formula>0.5</formula>
      <formula>-0.5</formula>
    </cfRule>
  </conditionalFormatting>
  <conditionalFormatting sqref="I67">
    <cfRule type="cellIs" priority="17" dxfId="127" operator="notBetween">
      <formula>0.5</formula>
      <formula>-0.5</formula>
    </cfRule>
  </conditionalFormatting>
  <conditionalFormatting sqref="G67">
    <cfRule type="cellIs" priority="15" dxfId="127" operator="notBetween">
      <formula>0.5</formula>
      <formula>-0.5</formula>
    </cfRule>
  </conditionalFormatting>
  <conditionalFormatting sqref="F67">
    <cfRule type="cellIs" priority="14" dxfId="127" operator="notBetween">
      <formula>0.5</formula>
      <formula>-0.5</formula>
    </cfRule>
  </conditionalFormatting>
  <conditionalFormatting sqref="D67">
    <cfRule type="cellIs" priority="12" dxfId="127" operator="notBetween">
      <formula>0.5</formula>
      <formula>-0.5</formula>
    </cfRule>
  </conditionalFormatting>
  <conditionalFormatting sqref="B67:I67">
    <cfRule type="cellIs" priority="10" dxfId="127" operator="notBetween">
      <formula>0.5</formula>
      <formula>-0.5</formula>
    </cfRule>
  </conditionalFormatting>
  <conditionalFormatting sqref="F67">
    <cfRule type="cellIs" priority="9" dxfId="127" operator="notBetween">
      <formula>0.5</formula>
      <formula>-0.5</formula>
    </cfRule>
  </conditionalFormatting>
  <conditionalFormatting sqref="G67">
    <cfRule type="cellIs" priority="8" dxfId="127" operator="notBetween">
      <formula>0.5</formula>
      <formula>-0.5</formula>
    </cfRule>
  </conditionalFormatting>
  <conditionalFormatting sqref="H67">
    <cfRule type="cellIs" priority="7" dxfId="127" operator="notBetween">
      <formula>0.5</formula>
      <formula>-0.5</formula>
    </cfRule>
  </conditionalFormatting>
  <conditionalFormatting sqref="I67">
    <cfRule type="cellIs" priority="6" dxfId="127" operator="notBetween">
      <formula>0.5</formula>
      <formula>-0.5</formula>
    </cfRule>
  </conditionalFormatting>
  <conditionalFormatting sqref="D67">
    <cfRule type="cellIs" priority="5" dxfId="127" operator="notBetween">
      <formula>0.5</formula>
      <formula>-0.5</formula>
    </cfRule>
  </conditionalFormatting>
  <conditionalFormatting sqref="C67">
    <cfRule type="cellIs" priority="4" dxfId="127" operator="notBetween">
      <formula>0.5</formula>
      <formula>-0.5</formula>
    </cfRule>
  </conditionalFormatting>
  <conditionalFormatting sqref="B67:I67">
    <cfRule type="cellIs" priority="3" dxfId="127" operator="notBetween">
      <formula>0.5</formula>
      <formula>-0.5</formula>
    </cfRule>
  </conditionalFormatting>
  <conditionalFormatting sqref="B68:I68">
    <cfRule type="cellIs" priority="2" dxfId="127" operator="notBetween">
      <formula>0.5</formula>
      <formula>-0.5</formula>
    </cfRule>
  </conditionalFormatting>
  <conditionalFormatting sqref="B68:I6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7" width="11.421875" style="31" customWidth="1"/>
    <col min="8" max="9" width="0" style="31" hidden="1" customWidth="1"/>
    <col min="10" max="18" width="11.421875" style="31" customWidth="1"/>
  </cols>
  <sheetData>
    <row r="1" spans="1:9" ht="18">
      <c r="A1" s="29" t="str">
        <f>HLOOKUP(INDICE!$F$2,Nombres!$C$3:$D$636,104,FALSE)</f>
        <v>BBVA Group. Consolidated balance sheet</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 sheets</v>
      </c>
      <c r="B3" s="34"/>
      <c r="C3" s="34"/>
      <c r="D3" s="34"/>
      <c r="E3" s="34"/>
      <c r="F3" s="34"/>
      <c r="G3" s="34"/>
      <c r="H3" s="34"/>
      <c r="I3" s="34"/>
    </row>
    <row r="4" spans="1:9" ht="15">
      <c r="A4" s="35" t="str">
        <f>HLOOKUP(INDICE!$F$2,Nombres!$C$3:$D$636,32,FALSE)</f>
        <v>(Million euros)</v>
      </c>
      <c r="B4" s="30"/>
      <c r="C4" s="52"/>
      <c r="D4" s="52"/>
      <c r="E4" s="52"/>
      <c r="F4" s="30"/>
      <c r="G4" s="58"/>
      <c r="H4" s="58"/>
      <c r="I4" s="58"/>
    </row>
    <row r="5" spans="1:9" ht="15.75">
      <c r="A5" s="30"/>
      <c r="B5" s="53">
        <f>+España!B32</f>
        <v>44286</v>
      </c>
      <c r="C5" s="53">
        <f>+España!C32</f>
        <v>44377</v>
      </c>
      <c r="D5" s="53">
        <f>+España!D32</f>
        <v>44469</v>
      </c>
      <c r="E5" s="53">
        <f>+España!E32</f>
        <v>44561</v>
      </c>
      <c r="F5" s="53">
        <f>+España!F32</f>
        <v>44651</v>
      </c>
      <c r="G5" s="53">
        <f>+España!G32</f>
        <v>44742</v>
      </c>
      <c r="H5" s="53">
        <f>+España!H32</f>
        <v>44834</v>
      </c>
      <c r="I5" s="53">
        <f>+España!I32</f>
        <v>44926</v>
      </c>
    </row>
    <row r="6" spans="1:18" ht="15">
      <c r="A6" s="43" t="str">
        <f>HLOOKUP(INDICE!$F$2,Nombres!$C$3:$D$636,52,FALSE)</f>
        <v>Cash, cash balances at central banks and other demand deposits</v>
      </c>
      <c r="B6" s="44">
        <v>54949.79</v>
      </c>
      <c r="C6" s="44">
        <v>61686.822</v>
      </c>
      <c r="D6" s="44">
        <v>63232.27</v>
      </c>
      <c r="E6" s="44">
        <v>67799.213</v>
      </c>
      <c r="F6" s="44">
        <v>70936.578</v>
      </c>
      <c r="G6" s="44">
        <v>81507.862</v>
      </c>
      <c r="H6" s="44">
        <v>0</v>
      </c>
      <c r="I6" s="44">
        <v>0</v>
      </c>
      <c r="J6" s="54"/>
      <c r="K6" s="54"/>
      <c r="O6" s="54"/>
      <c r="P6" s="54"/>
      <c r="Q6" s="54"/>
      <c r="R6" s="54"/>
    </row>
    <row r="7" spans="1:18" ht="15">
      <c r="A7" s="43" t="str">
        <f>HLOOKUP(INDICE!$F$2,Nombres!$C$3:$D$636,131,FALSE)</f>
        <v>Financial assets held for trading</v>
      </c>
      <c r="B7" s="44">
        <v>98274.522</v>
      </c>
      <c r="C7" s="44">
        <v>102647.141</v>
      </c>
      <c r="D7" s="44">
        <v>106505.09</v>
      </c>
      <c r="E7" s="44">
        <v>123492.711</v>
      </c>
      <c r="F7" s="44">
        <v>112131.153</v>
      </c>
      <c r="G7" s="44">
        <v>120822.86</v>
      </c>
      <c r="H7" s="44">
        <v>0</v>
      </c>
      <c r="I7" s="44">
        <v>0</v>
      </c>
      <c r="J7" s="54"/>
      <c r="K7" s="54"/>
      <c r="O7" s="54"/>
      <c r="P7" s="54"/>
      <c r="Q7" s="54"/>
      <c r="R7" s="54"/>
    </row>
    <row r="8" spans="1:18" ht="15">
      <c r="A8" s="43" t="str">
        <f>HLOOKUP(INDICE!$F$2,Nombres!$C$3:$D$636,132,FALSE)</f>
        <v>Non-trading financial assets mandatorily at fair value through profit or loss</v>
      </c>
      <c r="B8" s="44">
        <v>5488.333</v>
      </c>
      <c r="C8" s="44">
        <v>5742.114</v>
      </c>
      <c r="D8" s="44">
        <v>5873.735</v>
      </c>
      <c r="E8" s="44">
        <v>6085.755</v>
      </c>
      <c r="F8" s="44">
        <v>6624.612</v>
      </c>
      <c r="G8" s="44">
        <v>6774.555</v>
      </c>
      <c r="H8" s="44">
        <v>0</v>
      </c>
      <c r="I8" s="44">
        <v>0</v>
      </c>
      <c r="J8" s="54"/>
      <c r="K8" s="54"/>
      <c r="O8" s="54"/>
      <c r="P8" s="54"/>
      <c r="Q8" s="54"/>
      <c r="R8" s="54"/>
    </row>
    <row r="9" spans="1:18" ht="15">
      <c r="A9" s="43" t="str">
        <f>HLOOKUP(INDICE!$F$2,Nombres!$C$3:$D$636,133,FALSE)</f>
        <v>Financial assets designated at fair value through profit or loss</v>
      </c>
      <c r="B9" s="44">
        <v>1110.309</v>
      </c>
      <c r="C9" s="44">
        <v>1106.563</v>
      </c>
      <c r="D9" s="44">
        <v>1136.922</v>
      </c>
      <c r="E9" s="44">
        <v>1091.698</v>
      </c>
      <c r="F9" s="44">
        <v>1035.864</v>
      </c>
      <c r="G9" s="44">
        <v>1003.087</v>
      </c>
      <c r="H9" s="44">
        <v>0</v>
      </c>
      <c r="I9" s="44">
        <v>0</v>
      </c>
      <c r="J9" s="54"/>
      <c r="K9" s="54"/>
      <c r="O9" s="54"/>
      <c r="P9" s="54"/>
      <c r="Q9" s="54"/>
      <c r="R9" s="54"/>
    </row>
    <row r="10" spans="1:18" ht="15">
      <c r="A10" s="43" t="str">
        <f>HLOOKUP(INDICE!$F$2,Nombres!$C$3:$D$636,134,FALSE)</f>
        <v>Financial assets at fair value through accumulated other comprehensive income</v>
      </c>
      <c r="B10" s="44">
        <v>72771.319</v>
      </c>
      <c r="C10" s="44">
        <v>73185.632</v>
      </c>
      <c r="D10" s="44">
        <v>69962.881</v>
      </c>
      <c r="E10" s="44">
        <v>60421.173</v>
      </c>
      <c r="F10" s="44">
        <v>65103.1</v>
      </c>
      <c r="G10" s="44">
        <v>63222.847</v>
      </c>
      <c r="H10" s="44">
        <v>0</v>
      </c>
      <c r="I10" s="44">
        <v>0</v>
      </c>
      <c r="J10" s="54"/>
      <c r="K10" s="54"/>
      <c r="O10" s="54"/>
      <c r="P10" s="54"/>
      <c r="Q10" s="54"/>
      <c r="R10" s="54"/>
    </row>
    <row r="11" spans="1:18" ht="15">
      <c r="A11" s="43" t="str">
        <f>HLOOKUP(INDICE!$F$2,Nombres!$C$3:$D$636,135,FALSE)</f>
        <v>Financial assets at amortized cost</v>
      </c>
      <c r="B11" s="44">
        <v>363753.935</v>
      </c>
      <c r="C11" s="44">
        <v>368025.67999999993</v>
      </c>
      <c r="D11" s="44">
        <v>370217.123</v>
      </c>
      <c r="E11" s="44">
        <v>372675.89300000004</v>
      </c>
      <c r="F11" s="44">
        <v>388412.92799999996</v>
      </c>
      <c r="G11" s="44">
        <v>408147.555</v>
      </c>
      <c r="H11" s="44">
        <v>0</v>
      </c>
      <c r="I11" s="44">
        <v>0</v>
      </c>
      <c r="J11" s="54"/>
      <c r="K11" s="54"/>
      <c r="O11" s="54"/>
      <c r="P11" s="54"/>
      <c r="Q11" s="54"/>
      <c r="R11" s="54"/>
    </row>
    <row r="12" spans="1:18" ht="15">
      <c r="A12" s="55" t="str">
        <f>HLOOKUP(INDICE!$F$2,Nombres!$C$3:$D$636,136,FALSE)</f>
        <v>. Loans and advances to central banks and credit institutions </v>
      </c>
      <c r="B12" s="56">
        <v>16963.208</v>
      </c>
      <c r="C12" s="56">
        <v>16946.555</v>
      </c>
      <c r="D12" s="56">
        <v>18237.243</v>
      </c>
      <c r="E12" s="56">
        <v>18956.595999999998</v>
      </c>
      <c r="F12" s="56">
        <v>16749.572</v>
      </c>
      <c r="G12" s="56">
        <v>19761.975</v>
      </c>
      <c r="H12" s="56">
        <v>0</v>
      </c>
      <c r="I12" s="56">
        <v>0</v>
      </c>
      <c r="J12" s="54"/>
      <c r="K12" s="54"/>
      <c r="O12" s="54"/>
      <c r="P12" s="54"/>
      <c r="Q12" s="54"/>
      <c r="R12" s="54"/>
    </row>
    <row r="13" spans="1:18" ht="15">
      <c r="A13" s="55" t="str">
        <f>HLOOKUP(INDICE!$F$2,Nombres!$C$3:$D$636,137,FALSE)</f>
        <v>. Loans and advances to customers</v>
      </c>
      <c r="B13" s="56">
        <v>310683.014</v>
      </c>
      <c r="C13" s="56">
        <v>315751.932</v>
      </c>
      <c r="D13" s="56">
        <v>316499.159</v>
      </c>
      <c r="E13" s="56">
        <v>318938.684</v>
      </c>
      <c r="F13" s="56">
        <v>335016.241</v>
      </c>
      <c r="G13" s="56">
        <v>350109.576</v>
      </c>
      <c r="H13" s="56">
        <v>0</v>
      </c>
      <c r="I13" s="56">
        <v>0</v>
      </c>
      <c r="J13" s="54"/>
      <c r="K13" s="54"/>
      <c r="O13" s="54"/>
      <c r="P13" s="54"/>
      <c r="Q13" s="54"/>
      <c r="R13" s="54"/>
    </row>
    <row r="14" spans="1:18" ht="15">
      <c r="A14" s="55" t="str">
        <f>HLOOKUP(INDICE!$F$2,Nombres!$C$3:$D$636,138,FALSE)</f>
        <v>. Debt securities</v>
      </c>
      <c r="B14" s="56">
        <v>36107.713</v>
      </c>
      <c r="C14" s="56">
        <v>35327.193</v>
      </c>
      <c r="D14" s="56">
        <v>35480.721</v>
      </c>
      <c r="E14" s="56">
        <v>34780.613</v>
      </c>
      <c r="F14" s="56">
        <v>36647.115</v>
      </c>
      <c r="G14" s="56">
        <v>38276.004</v>
      </c>
      <c r="H14" s="56">
        <v>0</v>
      </c>
      <c r="I14" s="56">
        <v>0</v>
      </c>
      <c r="J14" s="54"/>
      <c r="K14" s="54"/>
      <c r="O14" s="54"/>
      <c r="P14" s="54"/>
      <c r="Q14" s="54"/>
      <c r="R14" s="54"/>
    </row>
    <row r="15" spans="1:18" ht="15" customHeight="1" hidden="1">
      <c r="A15" s="43" t="str">
        <f>HLOOKUP(INDICE!$F$2,Nombres!$C$3:$D$636,139,FALSE)</f>
        <v>Held-to-maturity investments</v>
      </c>
      <c r="B15" s="57"/>
      <c r="C15" s="57"/>
      <c r="D15" s="57"/>
      <c r="E15" s="57"/>
      <c r="F15" s="57"/>
      <c r="G15" s="57"/>
      <c r="H15" s="57"/>
      <c r="I15" s="57"/>
      <c r="J15" s="54"/>
      <c r="K15" s="54"/>
      <c r="O15" s="54"/>
      <c r="P15" s="54"/>
      <c r="Q15" s="54"/>
      <c r="R15" s="54"/>
    </row>
    <row r="16" spans="1:18" ht="15">
      <c r="A16" s="43" t="str">
        <f>HLOOKUP(INDICE!$F$2,Nombres!$C$3:$D$636,140,FALSE)</f>
        <v>Investments in subsidiaries, joint ventures and associates</v>
      </c>
      <c r="B16" s="44">
        <v>1416.136</v>
      </c>
      <c r="C16" s="44">
        <v>1399.922</v>
      </c>
      <c r="D16" s="44">
        <v>880.324</v>
      </c>
      <c r="E16" s="44">
        <v>900.377</v>
      </c>
      <c r="F16" s="44">
        <v>911.008</v>
      </c>
      <c r="G16" s="44">
        <v>894.393</v>
      </c>
      <c r="H16" s="44">
        <v>0</v>
      </c>
      <c r="I16" s="44">
        <v>0</v>
      </c>
      <c r="J16" s="54"/>
      <c r="K16" s="54"/>
      <c r="O16" s="54"/>
      <c r="P16" s="54"/>
      <c r="Q16" s="54"/>
      <c r="R16" s="54"/>
    </row>
    <row r="17" spans="1:18" ht="15">
      <c r="A17" s="43" t="str">
        <f>HLOOKUP(INDICE!$F$2,Nombres!$C$3:$D$636,56,FALSE)</f>
        <v>Tangible assets</v>
      </c>
      <c r="B17" s="44">
        <v>7703.314</v>
      </c>
      <c r="C17" s="44">
        <v>7321.364</v>
      </c>
      <c r="D17" s="44">
        <v>7291.122</v>
      </c>
      <c r="E17" s="44">
        <v>7297.848</v>
      </c>
      <c r="F17" s="44">
        <v>7628.42</v>
      </c>
      <c r="G17" s="44">
        <v>8336.727</v>
      </c>
      <c r="H17" s="44">
        <v>0</v>
      </c>
      <c r="I17" s="44">
        <v>0</v>
      </c>
      <c r="J17" s="54"/>
      <c r="K17" s="54"/>
      <c r="O17" s="54"/>
      <c r="P17" s="54"/>
      <c r="Q17" s="54"/>
      <c r="R17" s="54"/>
    </row>
    <row r="18" spans="1:18" ht="15">
      <c r="A18" s="43" t="str">
        <f>HLOOKUP(INDICE!$F$2,Nombres!$C$3:$D$636,141,FALSE)</f>
        <v>Intangible assets</v>
      </c>
      <c r="B18" s="44">
        <v>2297.155</v>
      </c>
      <c r="C18" s="44">
        <v>2303.017</v>
      </c>
      <c r="D18" s="44">
        <v>2270.716</v>
      </c>
      <c r="E18" s="44">
        <v>2197.305</v>
      </c>
      <c r="F18" s="44">
        <v>2055.793</v>
      </c>
      <c r="G18" s="44">
        <v>2139.492</v>
      </c>
      <c r="H18" s="44">
        <v>0</v>
      </c>
      <c r="I18" s="44">
        <v>0</v>
      </c>
      <c r="J18" s="54"/>
      <c r="K18" s="54"/>
      <c r="O18" s="54"/>
      <c r="P18" s="54"/>
      <c r="Q18" s="54"/>
      <c r="R18" s="54"/>
    </row>
    <row r="19" spans="1:18" ht="15">
      <c r="A19" s="43" t="str">
        <f>HLOOKUP(INDICE!$F$2,Nombres!$C$3:$D$636,57,FALSE)</f>
        <v>Other assets</v>
      </c>
      <c r="B19" s="44">
        <v>109164.539</v>
      </c>
      <c r="C19" s="44">
        <v>21874.225000000002</v>
      </c>
      <c r="D19" s="44">
        <v>21890.901</v>
      </c>
      <c r="E19" s="44">
        <v>20922.711</v>
      </c>
      <c r="F19" s="44">
        <v>21419.78</v>
      </c>
      <c r="G19" s="44">
        <v>22444.371</v>
      </c>
      <c r="H19" s="44">
        <v>0</v>
      </c>
      <c r="I19" s="44">
        <v>0</v>
      </c>
      <c r="J19" s="54"/>
      <c r="K19" s="54"/>
      <c r="O19" s="54"/>
      <c r="P19" s="54"/>
      <c r="Q19" s="54"/>
      <c r="R19" s="54"/>
    </row>
    <row r="20" spans="1:18" ht="15">
      <c r="A20" s="47" t="str">
        <f>HLOOKUP(INDICE!$F$2,Nombres!$C$3:$D$636,58,FALSE)</f>
        <v>Total assets / Liabilities and equity</v>
      </c>
      <c r="B20" s="47">
        <f aca="true" t="shared" si="0" ref="B20:I20">+SUM(B6:B11,B16:B19)</f>
        <v>716929.3520000002</v>
      </c>
      <c r="C20" s="47">
        <f t="shared" si="0"/>
        <v>645292.4799999999</v>
      </c>
      <c r="D20" s="47">
        <f t="shared" si="0"/>
        <v>649261.0839999999</v>
      </c>
      <c r="E20" s="47">
        <f t="shared" si="0"/>
        <v>662884.6840000001</v>
      </c>
      <c r="F20" s="47">
        <f t="shared" si="0"/>
        <v>676259.236</v>
      </c>
      <c r="G20" s="47">
        <f t="shared" si="0"/>
        <v>715293.7490000001</v>
      </c>
      <c r="H20" s="47">
        <f t="shared" si="0"/>
        <v>0</v>
      </c>
      <c r="I20" s="47">
        <f t="shared" si="0"/>
        <v>0</v>
      </c>
      <c r="J20" s="54"/>
      <c r="K20" s="54"/>
      <c r="O20" s="54"/>
      <c r="P20" s="54"/>
      <c r="Q20" s="54"/>
      <c r="R20" s="54"/>
    </row>
    <row r="21" spans="1:18" ht="15">
      <c r="A21" s="43" t="str">
        <f>HLOOKUP(INDICE!$F$2,Nombres!$C$3:$D$636,59,FALSE)</f>
        <v>Financial liabilities held for trading and designated at fair value through profit or loss</v>
      </c>
      <c r="B21" s="58">
        <v>78477.095</v>
      </c>
      <c r="C21" s="58">
        <v>79985.634</v>
      </c>
      <c r="D21" s="58">
        <v>80785.706</v>
      </c>
      <c r="E21" s="58">
        <v>91134.514</v>
      </c>
      <c r="F21" s="58">
        <v>85960.376</v>
      </c>
      <c r="G21" s="58">
        <v>102304.847</v>
      </c>
      <c r="H21" s="58">
        <v>0</v>
      </c>
      <c r="I21" s="58">
        <v>0</v>
      </c>
      <c r="O21" s="54"/>
      <c r="P21" s="54"/>
      <c r="Q21" s="54"/>
      <c r="R21" s="54"/>
    </row>
    <row r="22" spans="1:18" ht="15">
      <c r="A22" s="43" t="str">
        <f>HLOOKUP(INDICE!$F$2,Nombres!$C$3:$D$636,142,FALSE)</f>
        <v>Other financial liabilities designated at fair value through profit or loss</v>
      </c>
      <c r="B22" s="58">
        <v>9713.58</v>
      </c>
      <c r="C22" s="58">
        <v>9811.104</v>
      </c>
      <c r="D22" s="58">
        <v>9725.514</v>
      </c>
      <c r="E22" s="58">
        <v>9683.471</v>
      </c>
      <c r="F22" s="58">
        <v>9761.475</v>
      </c>
      <c r="G22" s="58">
        <v>9878.266</v>
      </c>
      <c r="H22" s="58">
        <v>0</v>
      </c>
      <c r="I22" s="58">
        <v>0</v>
      </c>
      <c r="J22" s="59"/>
      <c r="K22" s="59"/>
      <c r="L22" s="59"/>
      <c r="M22" s="59"/>
      <c r="N22" s="59"/>
      <c r="O22" s="54"/>
      <c r="P22" s="54"/>
      <c r="Q22" s="54"/>
      <c r="R22" s="54"/>
    </row>
    <row r="23" spans="1:18" ht="15">
      <c r="A23" s="43" t="str">
        <f>HLOOKUP(INDICE!$F$2,Nombres!$C$3:$D$636,143,FALSE)</f>
        <v>Financial liabilities at amortized cost</v>
      </c>
      <c r="B23" s="58">
        <v>475812.855</v>
      </c>
      <c r="C23" s="58">
        <v>479617.829</v>
      </c>
      <c r="D23" s="58">
        <v>481662.365</v>
      </c>
      <c r="E23" s="58">
        <v>487892.72</v>
      </c>
      <c r="F23" s="58">
        <v>504479.77</v>
      </c>
      <c r="G23" s="58">
        <v>527274.907</v>
      </c>
      <c r="H23" s="58">
        <v>0</v>
      </c>
      <c r="I23" s="58">
        <v>0</v>
      </c>
      <c r="J23" s="59"/>
      <c r="K23" s="59"/>
      <c r="L23" s="59"/>
      <c r="M23" s="59"/>
      <c r="N23" s="59"/>
      <c r="O23" s="54"/>
      <c r="P23" s="54"/>
      <c r="Q23" s="54"/>
      <c r="R23" s="54"/>
    </row>
    <row r="24" spans="1:18" ht="15">
      <c r="A24" s="55" t="str">
        <f>HLOOKUP(INDICE!$F$2,Nombres!$C$3:$D$636,60,FALSE)</f>
        <v>Deposits from central banks and credit institutions</v>
      </c>
      <c r="B24" s="58">
        <v>74123.35800000001</v>
      </c>
      <c r="C24" s="58">
        <v>71644.65699999999</v>
      </c>
      <c r="D24" s="58">
        <v>71507.343</v>
      </c>
      <c r="E24" s="58">
        <v>67185.341</v>
      </c>
      <c r="F24" s="58">
        <v>73160.91500000001</v>
      </c>
      <c r="G24" s="58">
        <v>79126.674</v>
      </c>
      <c r="H24" s="58">
        <v>0</v>
      </c>
      <c r="I24" s="58">
        <v>0</v>
      </c>
      <c r="O24" s="54"/>
      <c r="P24" s="54"/>
      <c r="Q24" s="54"/>
      <c r="R24" s="54"/>
    </row>
    <row r="25" spans="1:18" ht="15">
      <c r="A25" s="55" t="str">
        <f>HLOOKUP(INDICE!$F$2,Nombres!$C$3:$D$636,61,FALSE)</f>
        <v>Deposits from customers</v>
      </c>
      <c r="B25" s="58">
        <v>331063.659</v>
      </c>
      <c r="C25" s="58">
        <v>338794.954</v>
      </c>
      <c r="D25" s="58">
        <v>340827.854</v>
      </c>
      <c r="E25" s="58">
        <v>349761.487</v>
      </c>
      <c r="F25" s="58">
        <v>360716.419</v>
      </c>
      <c r="G25" s="58">
        <v>376973.2</v>
      </c>
      <c r="H25" s="58">
        <v>0</v>
      </c>
      <c r="I25" s="58">
        <v>0</v>
      </c>
      <c r="O25" s="54"/>
      <c r="P25" s="54"/>
      <c r="Q25" s="54"/>
      <c r="R25" s="54"/>
    </row>
    <row r="26" spans="1:18" ht="15">
      <c r="A26" s="55" t="str">
        <f>HLOOKUP(INDICE!$F$2,Nombres!$C$3:$D$636,62,FALSE)</f>
        <v>Debt certificates</v>
      </c>
      <c r="B26" s="58">
        <v>57417.941</v>
      </c>
      <c r="C26" s="58">
        <v>55046.618</v>
      </c>
      <c r="D26" s="58">
        <v>55396.81</v>
      </c>
      <c r="E26" s="58">
        <v>55763.274</v>
      </c>
      <c r="F26" s="58">
        <v>53539.702</v>
      </c>
      <c r="G26" s="58">
        <v>54757.069</v>
      </c>
      <c r="H26" s="58">
        <v>0</v>
      </c>
      <c r="I26" s="58">
        <v>0</v>
      </c>
      <c r="O26" s="54"/>
      <c r="P26" s="54"/>
      <c r="Q26" s="54"/>
      <c r="R26" s="54"/>
    </row>
    <row r="27" spans="1:18" ht="15">
      <c r="A27" s="55" t="str">
        <f>HLOOKUP(INDICE!$F$2,Nombres!$C$3:$D$636,144,FALSE)</f>
        <v>. Other financial liabilities</v>
      </c>
      <c r="B27" s="58">
        <v>13207.897</v>
      </c>
      <c r="C27" s="58">
        <v>14131.6</v>
      </c>
      <c r="D27" s="58">
        <v>13930.358</v>
      </c>
      <c r="E27" s="58">
        <v>15182.618</v>
      </c>
      <c r="F27" s="58">
        <v>17062.734</v>
      </c>
      <c r="G27" s="58">
        <v>16417.964</v>
      </c>
      <c r="H27" s="58">
        <v>0</v>
      </c>
      <c r="I27" s="58">
        <v>0</v>
      </c>
      <c r="O27" s="54"/>
      <c r="P27" s="54"/>
      <c r="Q27" s="54"/>
      <c r="R27" s="54"/>
    </row>
    <row r="28" spans="1:18" ht="15">
      <c r="A28" s="43" t="str">
        <f>HLOOKUP(INDICE!$F$2,Nombres!$C$3:$D$636,145,FALSE)</f>
        <v>Liabilities under insurance and reinsurance contracts</v>
      </c>
      <c r="B28" s="58">
        <v>10325.477</v>
      </c>
      <c r="C28" s="58">
        <v>10535.323</v>
      </c>
      <c r="D28" s="58">
        <v>10564.065</v>
      </c>
      <c r="E28" s="58">
        <v>10864.78</v>
      </c>
      <c r="F28" s="58">
        <v>11093.977</v>
      </c>
      <c r="G28" s="58">
        <v>11622.079</v>
      </c>
      <c r="H28" s="58">
        <v>0</v>
      </c>
      <c r="I28" s="58">
        <v>0</v>
      </c>
      <c r="O28" s="54"/>
      <c r="P28" s="54"/>
      <c r="Q28" s="54"/>
      <c r="R28" s="54"/>
    </row>
    <row r="29" spans="1:18" ht="15">
      <c r="A29" s="43" t="str">
        <f>HLOOKUP(INDICE!$F$2,Nombres!$C$3:$D$636,63,FALSE)</f>
        <v>Other liabilities</v>
      </c>
      <c r="B29" s="58">
        <v>91889.053</v>
      </c>
      <c r="C29" s="58">
        <v>15398.419999999998</v>
      </c>
      <c r="D29" s="58">
        <v>15956.514</v>
      </c>
      <c r="E29" s="58">
        <v>14549.081</v>
      </c>
      <c r="F29" s="58">
        <v>16338.436</v>
      </c>
      <c r="G29" s="58">
        <v>15420.692</v>
      </c>
      <c r="H29" s="58">
        <v>0</v>
      </c>
      <c r="I29" s="58">
        <v>0</v>
      </c>
      <c r="O29" s="54"/>
      <c r="P29" s="54"/>
      <c r="Q29" s="54"/>
      <c r="R29" s="54"/>
    </row>
    <row r="30" spans="1:18" ht="15">
      <c r="A30" s="41" t="str">
        <f>HLOOKUP(INDICE!$F$2,Nombres!$C$3:$D$636,146,FALSE)</f>
        <v>Total liabilities</v>
      </c>
      <c r="B30" s="60">
        <f aca="true" t="shared" si="1" ref="B30:I30">+SUM(B21:B23,B28:B29)</f>
        <v>666218.0599999999</v>
      </c>
      <c r="C30" s="60">
        <f t="shared" si="1"/>
        <v>595348.31</v>
      </c>
      <c r="D30" s="60">
        <f t="shared" si="1"/>
        <v>598694.1639999999</v>
      </c>
      <c r="E30" s="60">
        <f t="shared" si="1"/>
        <v>614124.566</v>
      </c>
      <c r="F30" s="60">
        <f t="shared" si="1"/>
        <v>627634.034</v>
      </c>
      <c r="G30" s="60">
        <f t="shared" si="1"/>
        <v>666500.7910000001</v>
      </c>
      <c r="H30" s="60">
        <f t="shared" si="1"/>
        <v>0</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Non-controlling interests</v>
      </c>
      <c r="B32" s="58">
        <v>5395.961</v>
      </c>
      <c r="C32" s="58">
        <v>5428.254</v>
      </c>
      <c r="D32" s="58">
        <v>5628.132</v>
      </c>
      <c r="E32" s="58">
        <v>4853.013</v>
      </c>
      <c r="F32" s="58">
        <v>5513.72</v>
      </c>
      <c r="G32" s="58">
        <v>3350.523</v>
      </c>
      <c r="H32" s="58">
        <v>0</v>
      </c>
      <c r="I32" s="58">
        <v>0</v>
      </c>
      <c r="O32" s="54"/>
      <c r="P32" s="54"/>
      <c r="Q32" s="54"/>
      <c r="R32" s="54"/>
    </row>
    <row r="33" spans="1:18" ht="15" customHeight="1" hidden="1">
      <c r="A33" s="43" t="str">
        <f>HLOOKUP(INDICE!$F$2,Nombres!$C$3:$D$636,148,FALSE)</f>
        <v>Accumulated other comprehensive income</v>
      </c>
      <c r="B33" s="58">
        <v>-14718.02</v>
      </c>
      <c r="C33" s="58">
        <v>-15348.029</v>
      </c>
      <c r="D33" s="58">
        <v>-15683.671</v>
      </c>
      <c r="E33" s="58">
        <v>-16476.235</v>
      </c>
      <c r="F33" s="58">
        <v>-14158.546</v>
      </c>
      <c r="G33" s="58">
        <v>-16451.839</v>
      </c>
      <c r="H33" s="58">
        <v>0</v>
      </c>
      <c r="I33" s="58">
        <v>0</v>
      </c>
      <c r="O33" s="54"/>
      <c r="P33" s="54"/>
      <c r="Q33" s="54"/>
      <c r="R33" s="54"/>
    </row>
    <row r="34" spans="1:18" ht="15" customHeight="1" hidden="1">
      <c r="A34" s="43" t="str">
        <f>HLOOKUP(INDICE!$F$2,Nombres!$C$3:$D$636,149,FALSE)</f>
        <v>Shareholders' funds</v>
      </c>
      <c r="B34" s="58">
        <v>60033.351</v>
      </c>
      <c r="C34" s="58">
        <v>59863.941</v>
      </c>
      <c r="D34" s="58">
        <v>60622.46</v>
      </c>
      <c r="E34" s="58">
        <v>60383.344</v>
      </c>
      <c r="F34" s="58">
        <v>57270.026</v>
      </c>
      <c r="G34" s="58">
        <v>61894.274</v>
      </c>
      <c r="H34" s="58">
        <v>0</v>
      </c>
      <c r="I34" s="58">
        <v>0</v>
      </c>
      <c r="O34" s="54"/>
      <c r="P34" s="54"/>
      <c r="Q34" s="54"/>
      <c r="R34" s="54"/>
    </row>
    <row r="35" spans="1:18" ht="15">
      <c r="A35" s="41" t="str">
        <f>HLOOKUP(INDICE!$F$2,Nombres!$C$3:$D$636,150,FALSE)</f>
        <v>Total equity</v>
      </c>
      <c r="B35" s="60">
        <f aca="true" t="shared" si="2" ref="B35:I35">+B32+B33+B34</f>
        <v>50711.292</v>
      </c>
      <c r="C35" s="60">
        <f t="shared" si="2"/>
        <v>49944.166</v>
      </c>
      <c r="D35" s="60">
        <f t="shared" si="2"/>
        <v>50566.921</v>
      </c>
      <c r="E35" s="60">
        <f t="shared" si="2"/>
        <v>48760.121999999996</v>
      </c>
      <c r="F35" s="60">
        <f t="shared" si="2"/>
        <v>48625.2</v>
      </c>
      <c r="G35" s="60">
        <f t="shared" si="2"/>
        <v>48792.958</v>
      </c>
      <c r="H35" s="60">
        <f t="shared" si="2"/>
        <v>0</v>
      </c>
      <c r="I35" s="60">
        <f t="shared" si="2"/>
        <v>0</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equity and liabilities</v>
      </c>
      <c r="B37" s="47">
        <f>+B20</f>
        <v>716929.3520000002</v>
      </c>
      <c r="C37" s="47">
        <f aca="true" t="shared" si="3" ref="C37:I37">+C20</f>
        <v>645292.4799999999</v>
      </c>
      <c r="D37" s="47">
        <f t="shared" si="3"/>
        <v>649261.0839999999</v>
      </c>
      <c r="E37" s="47">
        <f t="shared" si="3"/>
        <v>662884.6840000001</v>
      </c>
      <c r="F37" s="47">
        <f t="shared" si="3"/>
        <v>676259.236</v>
      </c>
      <c r="G37" s="47">
        <f t="shared" si="3"/>
        <v>715293.7490000001</v>
      </c>
      <c r="H37" s="47">
        <f t="shared" si="3"/>
        <v>0</v>
      </c>
      <c r="I37" s="47">
        <f t="shared" si="3"/>
        <v>0</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299" t="str">
        <f>HLOOKUP(INDICE!$F$2,Nombres!$C$3:$D$636,297,FALSE)</f>
        <v>General note: figures considering companies in the United States included in the sale agreement signed with PNC as Non-current Assets and Liabilities Held for Sale</v>
      </c>
      <c r="B40" s="299"/>
      <c r="C40" s="299"/>
      <c r="D40" s="299"/>
      <c r="E40" s="299"/>
      <c r="F40" s="299"/>
      <c r="G40" s="299"/>
      <c r="H40" s="299"/>
      <c r="I40" s="299"/>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82">
        <v>5.0175003707408905E-08</v>
      </c>
      <c r="C43" s="282">
        <v>5.972106009721756E-08</v>
      </c>
      <c r="D43" s="282">
        <v>-6.007030606269836E-08</v>
      </c>
      <c r="E43" s="282">
        <v>-1.0989606380462646E-07</v>
      </c>
      <c r="F43" s="282">
        <v>-0.0010000496404245496</v>
      </c>
      <c r="G43" s="282">
        <v>-1.0011717677116394E-08</v>
      </c>
      <c r="H43" s="282">
        <v>0</v>
      </c>
      <c r="I43" s="282">
        <v>0</v>
      </c>
    </row>
    <row r="44" ht="15">
      <c r="B44" s="54"/>
    </row>
    <row r="46" ht="15">
      <c r="B46" s="54"/>
    </row>
    <row r="1000" ht="15">
      <c r="A1000" s="31" t="s">
        <v>392</v>
      </c>
    </row>
  </sheetData>
  <sheetProtection/>
  <mergeCells count="1">
    <mergeCell ref="A40:I40"/>
  </mergeCells>
  <conditionalFormatting sqref="F39:I39">
    <cfRule type="cellIs" priority="11" dxfId="127" operator="notBetween">
      <formula>0.5</formula>
      <formula>-0.5</formula>
    </cfRule>
  </conditionalFormatting>
  <conditionalFormatting sqref="I38">
    <cfRule type="cellIs" priority="10" dxfId="73" operator="notBetween">
      <formula>0.001</formula>
      <formula>-0.001</formula>
    </cfRule>
  </conditionalFormatting>
  <conditionalFormatting sqref="H38">
    <cfRule type="cellIs" priority="9" dxfId="73" operator="notBetween">
      <formula>0.001</formula>
      <formula>-0.001</formula>
    </cfRule>
  </conditionalFormatting>
  <conditionalFormatting sqref="G38">
    <cfRule type="cellIs" priority="8" dxfId="73" operator="notBetween">
      <formula>0.001</formula>
      <formula>-0.001</formula>
    </cfRule>
  </conditionalFormatting>
  <conditionalFormatting sqref="F38">
    <cfRule type="cellIs" priority="7" dxfId="73" operator="notBetween">
      <formula>0.001</formula>
      <formula>-0.001</formula>
    </cfRule>
  </conditionalFormatting>
  <conditionalFormatting sqref="B39:E39">
    <cfRule type="cellIs" priority="6" dxfId="127" operator="notBetween">
      <formula>0.5</formula>
      <formula>-0.5</formula>
    </cfRule>
  </conditionalFormatting>
  <conditionalFormatting sqref="E38">
    <cfRule type="cellIs" priority="5" dxfId="73" operator="notBetween">
      <formula>0.001</formula>
      <formula>-0.001</formula>
    </cfRule>
  </conditionalFormatting>
  <conditionalFormatting sqref="D38">
    <cfRule type="cellIs" priority="4" dxfId="73" operator="notBetween">
      <formula>0.001</formula>
      <formula>-0.001</formula>
    </cfRule>
  </conditionalFormatting>
  <conditionalFormatting sqref="C38">
    <cfRule type="cellIs" priority="3" dxfId="73" operator="notBetween">
      <formula>0.001</formula>
      <formula>-0.001</formula>
    </cfRule>
  </conditionalFormatting>
  <conditionalFormatting sqref="B38">
    <cfRule type="cellIs" priority="2" dxfId="73" operator="notBetween">
      <formula>0.001</formula>
      <formula>-0.001</formula>
    </cfRule>
  </conditionalFormatting>
  <conditionalFormatting sqref="B43:I43">
    <cfRule type="cellIs" priority="1" dxfId="127"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28">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HLOOKUP(INDICE!$F$2,Nombres!$C$3:$D$636,7,FALSE)</f>
        <v>Spain</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v>2021</v>
      </c>
      <c r="C6" s="300"/>
      <c r="D6" s="300"/>
      <c r="E6" s="301"/>
      <c r="F6" s="300">
        <v>2022</v>
      </c>
      <c r="G6" s="300"/>
      <c r="H6" s="300"/>
      <c r="I6" s="300"/>
    </row>
    <row r="7" spans="1:9" ht="15.75">
      <c r="A7" s="38"/>
      <c r="B7" s="39" t="str">
        <f>HLOOKUP(INDICE!$F$2,Nombres!$C$3:$D$636,167,FALSE)</f>
        <v>1Q</v>
      </c>
      <c r="C7" s="39" t="str">
        <f>HLOOKUP(INDICE!$F$2,Nombres!$C$3:$D$636,168,FALSE)</f>
        <v>2Q</v>
      </c>
      <c r="D7" s="39" t="str">
        <f>HLOOKUP(INDICE!$F$2,Nombres!$C$3:$D$636,169,FALSE)</f>
        <v>3Q</v>
      </c>
      <c r="E7" s="40" t="str">
        <f>HLOOKUP(INDICE!$F$2,Nombres!$C$3:$D$636,170,FALSE)</f>
        <v>4Q</v>
      </c>
      <c r="F7" s="39" t="str">
        <f>HLOOKUP(INDICE!$F$2,Nombres!$C$3:$D$636,167,FALSE)</f>
        <v>1Q</v>
      </c>
      <c r="G7" s="39" t="str">
        <f>HLOOKUP(INDICE!$F$2,Nombres!$C$3:$D$636,168,FALSE)</f>
        <v>2Q</v>
      </c>
      <c r="H7" s="39" t="str">
        <f>HLOOKUP(INDICE!$F$2,Nombres!$C$3:$D$636,169,FALSE)</f>
        <v>3Q</v>
      </c>
      <c r="I7" s="39" t="str">
        <f>HLOOKUP(INDICE!$F$2,Nombres!$C$3:$D$636,170,FALSE)</f>
        <v>4Q</v>
      </c>
    </row>
    <row r="8" spans="1:9" ht="15">
      <c r="A8" s="41" t="str">
        <f>HLOOKUP(INDICE!$F$2,Nombres!$C$3:$D$636,33,FALSE)</f>
        <v>Net interest income</v>
      </c>
      <c r="B8" s="41">
        <v>866.1733313800001</v>
      </c>
      <c r="C8" s="41">
        <v>894.9913202700002</v>
      </c>
      <c r="D8" s="41">
        <v>872.3806724699999</v>
      </c>
      <c r="E8" s="42">
        <v>867.0898095700002</v>
      </c>
      <c r="F8" s="50">
        <v>859.0991665799999</v>
      </c>
      <c r="G8" s="50">
        <v>904.0867053699999</v>
      </c>
      <c r="H8" s="50">
        <v>0</v>
      </c>
      <c r="I8" s="50">
        <v>0</v>
      </c>
    </row>
    <row r="9" spans="1:9" ht="15">
      <c r="A9" s="43" t="str">
        <f>HLOOKUP(INDICE!$F$2,Nombres!$C$3:$D$636,34,FALSE)</f>
        <v>Net fees and commissions</v>
      </c>
      <c r="B9" s="44">
        <v>508.5603078900001</v>
      </c>
      <c r="C9" s="44">
        <v>552.2360509</v>
      </c>
      <c r="D9" s="44">
        <v>535.41188663</v>
      </c>
      <c r="E9" s="45">
        <v>598.4288345199999</v>
      </c>
      <c r="F9" s="44">
        <v>535.9141621699999</v>
      </c>
      <c r="G9" s="44">
        <v>573.70344127</v>
      </c>
      <c r="H9" s="44">
        <v>0</v>
      </c>
      <c r="I9" s="44">
        <v>0</v>
      </c>
    </row>
    <row r="10" spans="1:9" ht="15">
      <c r="A10" s="43" t="str">
        <f>HLOOKUP(INDICE!$F$2,Nombres!$C$3:$D$636,35,FALSE)</f>
        <v>Net trading income</v>
      </c>
      <c r="B10" s="44">
        <v>187.42350033999998</v>
      </c>
      <c r="C10" s="44">
        <v>71.74822754</v>
      </c>
      <c r="D10" s="44">
        <v>6.268376649999986</v>
      </c>
      <c r="E10" s="45">
        <v>38.771783889999995</v>
      </c>
      <c r="F10" s="44">
        <v>189.81198705999998</v>
      </c>
      <c r="G10" s="44">
        <v>98.41779986</v>
      </c>
      <c r="H10" s="44">
        <v>0</v>
      </c>
      <c r="I10" s="44">
        <v>0</v>
      </c>
    </row>
    <row r="11" spans="1:9" ht="15">
      <c r="A11" s="43" t="str">
        <f>HLOOKUP(INDICE!$F$2,Nombres!$C$3:$D$636,36,FALSE)</f>
        <v>Other operating income and expenses</v>
      </c>
      <c r="B11" s="44">
        <v>70.82128579</v>
      </c>
      <c r="C11" s="44">
        <v>-117.29963506999995</v>
      </c>
      <c r="D11" s="44">
        <v>65.01331009999991</v>
      </c>
      <c r="E11" s="45">
        <v>-127.63029758999994</v>
      </c>
      <c r="F11" s="44">
        <v>78.52728025999998</v>
      </c>
      <c r="G11" s="44">
        <v>-170.95063194</v>
      </c>
      <c r="H11" s="44">
        <v>0</v>
      </c>
      <c r="I11" s="44">
        <v>0</v>
      </c>
    </row>
    <row r="12" spans="1:9" ht="15">
      <c r="A12" s="41" t="str">
        <f>HLOOKUP(INDICE!$F$2,Nombres!$C$3:$D$636,37,FALSE)</f>
        <v>Gross income</v>
      </c>
      <c r="B12" s="41">
        <f>+SUM(B8:B11)</f>
        <v>1632.9784254000003</v>
      </c>
      <c r="C12" s="41">
        <f aca="true" t="shared" si="0" ref="C12:I12">+SUM(C8:C11)</f>
        <v>1401.6759636400002</v>
      </c>
      <c r="D12" s="41">
        <f t="shared" si="0"/>
        <v>1479.0742458499997</v>
      </c>
      <c r="E12" s="42">
        <f t="shared" si="0"/>
        <v>1376.6601303900002</v>
      </c>
      <c r="F12" s="50">
        <f t="shared" si="0"/>
        <v>1663.3525960699997</v>
      </c>
      <c r="G12" s="50">
        <f t="shared" si="0"/>
        <v>1405.25731456</v>
      </c>
      <c r="H12" s="50">
        <f t="shared" si="0"/>
        <v>0</v>
      </c>
      <c r="I12" s="50">
        <f t="shared" si="0"/>
        <v>0</v>
      </c>
    </row>
    <row r="13" spans="1:9" ht="15">
      <c r="A13" s="43" t="str">
        <f>HLOOKUP(INDICE!$F$2,Nombres!$C$3:$D$636,38,FALSE)</f>
        <v>Operating expenses</v>
      </c>
      <c r="B13" s="44">
        <v>-756.01776594</v>
      </c>
      <c r="C13" s="44">
        <v>-749.490817</v>
      </c>
      <c r="D13" s="44">
        <v>-748.9192592500001</v>
      </c>
      <c r="E13" s="45">
        <v>-788.5616905500001</v>
      </c>
      <c r="F13" s="44">
        <v>-713.5149379100001</v>
      </c>
      <c r="G13" s="44">
        <v>-720.4461926700001</v>
      </c>
      <c r="H13" s="44">
        <v>0</v>
      </c>
      <c r="I13" s="44">
        <v>0</v>
      </c>
    </row>
    <row r="14" spans="1:9" ht="15">
      <c r="A14" s="43" t="str">
        <f>HLOOKUP(INDICE!$F$2,Nombres!$C$3:$D$636,39,FALSE)</f>
        <v>  Administration expenses</v>
      </c>
      <c r="B14" s="44">
        <v>-645.9175883</v>
      </c>
      <c r="C14" s="44">
        <v>-640.0504873599999</v>
      </c>
      <c r="D14" s="44">
        <v>-641.95983161</v>
      </c>
      <c r="E14" s="45">
        <v>-684.2307109100001</v>
      </c>
      <c r="F14" s="44">
        <v>-608.89190927</v>
      </c>
      <c r="G14" s="44">
        <v>-616.31195703</v>
      </c>
      <c r="H14" s="44">
        <v>0</v>
      </c>
      <c r="I14" s="44">
        <v>0</v>
      </c>
    </row>
    <row r="15" spans="1:9" ht="15">
      <c r="A15" s="46" t="str">
        <f>HLOOKUP(INDICE!$F$2,Nombres!$C$3:$D$636,40,FALSE)</f>
        <v>  Personnel expenses</v>
      </c>
      <c r="B15" s="44">
        <v>-427.62491108000006</v>
      </c>
      <c r="C15" s="44">
        <v>-423.71259944999997</v>
      </c>
      <c r="D15" s="44">
        <v>-428.12319434</v>
      </c>
      <c r="E15" s="45">
        <v>-458.05536249000005</v>
      </c>
      <c r="F15" s="44">
        <v>-382.61152745000004</v>
      </c>
      <c r="G15" s="44">
        <v>-385.73259383000004</v>
      </c>
      <c r="H15" s="44">
        <v>0</v>
      </c>
      <c r="I15" s="44">
        <v>0</v>
      </c>
    </row>
    <row r="16" spans="1:9" ht="15">
      <c r="A16" s="46" t="str">
        <f>HLOOKUP(INDICE!$F$2,Nombres!$C$3:$D$636,41,FALSE)</f>
        <v>  General and administrative expenses</v>
      </c>
      <c r="B16" s="44">
        <v>-218.29267722</v>
      </c>
      <c r="C16" s="44">
        <v>-216.33788791</v>
      </c>
      <c r="D16" s="44">
        <v>-213.83663726999998</v>
      </c>
      <c r="E16" s="45">
        <v>-226.17534842</v>
      </c>
      <c r="F16" s="44">
        <v>-226.28038182000003</v>
      </c>
      <c r="G16" s="44">
        <v>-230.57936320000005</v>
      </c>
      <c r="H16" s="44">
        <v>0</v>
      </c>
      <c r="I16" s="44">
        <v>0</v>
      </c>
    </row>
    <row r="17" spans="1:9" ht="15">
      <c r="A17" s="43" t="str">
        <f>HLOOKUP(INDICE!$F$2,Nombres!$C$3:$D$636,42,FALSE)</f>
        <v>  Depreciation</v>
      </c>
      <c r="B17" s="44">
        <v>-110.10017764</v>
      </c>
      <c r="C17" s="44">
        <v>-109.44032964000002</v>
      </c>
      <c r="D17" s="44">
        <v>-106.95942764000002</v>
      </c>
      <c r="E17" s="45">
        <v>-104.33097963999998</v>
      </c>
      <c r="F17" s="44">
        <v>-104.62302864</v>
      </c>
      <c r="G17" s="44">
        <v>-104.13423564</v>
      </c>
      <c r="H17" s="44">
        <v>0</v>
      </c>
      <c r="I17" s="44">
        <v>0</v>
      </c>
    </row>
    <row r="18" spans="1:9" ht="15">
      <c r="A18" s="41" t="str">
        <f>HLOOKUP(INDICE!$F$2,Nombres!$C$3:$D$636,43,FALSE)</f>
        <v>Operating income</v>
      </c>
      <c r="B18" s="41">
        <f>+B12+B13</f>
        <v>876.9606594600003</v>
      </c>
      <c r="C18" s="41">
        <f aca="true" t="shared" si="1" ref="C18:I18">+C12+C13</f>
        <v>652.1851466400002</v>
      </c>
      <c r="D18" s="41">
        <f t="shared" si="1"/>
        <v>730.1549865999996</v>
      </c>
      <c r="E18" s="42">
        <f t="shared" si="1"/>
        <v>588.0984398400001</v>
      </c>
      <c r="F18" s="50">
        <f t="shared" si="1"/>
        <v>949.8376581599996</v>
      </c>
      <c r="G18" s="50">
        <f t="shared" si="1"/>
        <v>684.8111218899999</v>
      </c>
      <c r="H18" s="50">
        <f t="shared" si="1"/>
        <v>0</v>
      </c>
      <c r="I18" s="50">
        <f t="shared" si="1"/>
        <v>0</v>
      </c>
    </row>
    <row r="19" spans="1:9" ht="15">
      <c r="A19" s="43" t="str">
        <f>HLOOKUP(INDICE!$F$2,Nombres!$C$3:$D$636,44,FALSE)</f>
        <v>Impaiment on financial assets not measured at fair value through profit or loss</v>
      </c>
      <c r="B19" s="44">
        <v>-185.07156827999998</v>
      </c>
      <c r="C19" s="44">
        <v>-157.79771086000002</v>
      </c>
      <c r="D19" s="44">
        <v>-58.88365385999998</v>
      </c>
      <c r="E19" s="45">
        <v>-100.76156113000005</v>
      </c>
      <c r="F19" s="44">
        <v>-89.41895372000002</v>
      </c>
      <c r="G19" s="44">
        <v>-103.64080966000006</v>
      </c>
      <c r="H19" s="44">
        <v>0</v>
      </c>
      <c r="I19" s="44">
        <v>0</v>
      </c>
    </row>
    <row r="20" spans="1:9" ht="15">
      <c r="A20" s="43" t="str">
        <f>HLOOKUP(INDICE!$F$2,Nombres!$C$3:$D$636,45,FALSE)</f>
        <v>Provisions or reversal of provisions and other results</v>
      </c>
      <c r="B20" s="44">
        <v>-185.51916521</v>
      </c>
      <c r="C20" s="44">
        <v>-16.201349169999986</v>
      </c>
      <c r="D20" s="44">
        <v>-40.184533</v>
      </c>
      <c r="E20" s="45">
        <v>-28.34556425999998</v>
      </c>
      <c r="F20" s="44">
        <v>-19.42208866</v>
      </c>
      <c r="G20" s="44">
        <v>-7.68210607999999</v>
      </c>
      <c r="H20" s="44">
        <v>0</v>
      </c>
      <c r="I20" s="44">
        <v>0</v>
      </c>
    </row>
    <row r="21" spans="1:9" ht="15">
      <c r="A21" s="41" t="str">
        <f>HLOOKUP(INDICE!$F$2,Nombres!$C$3:$D$636,46,FALSE)</f>
        <v>Profit/(loss) before tax</v>
      </c>
      <c r="B21" s="41">
        <f>+B18+B19+B20</f>
        <v>506.3699259700004</v>
      </c>
      <c r="C21" s="41">
        <f aca="true" t="shared" si="2" ref="C21:I21">+C18+C19+C20</f>
        <v>478.1860866100002</v>
      </c>
      <c r="D21" s="41">
        <f t="shared" si="2"/>
        <v>631.0867997399996</v>
      </c>
      <c r="E21" s="42">
        <f t="shared" si="2"/>
        <v>458.99131445000006</v>
      </c>
      <c r="F21" s="50">
        <f t="shared" si="2"/>
        <v>840.9966157799996</v>
      </c>
      <c r="G21" s="50">
        <f t="shared" si="2"/>
        <v>573.4882061499998</v>
      </c>
      <c r="H21" s="50">
        <f t="shared" si="2"/>
        <v>0</v>
      </c>
      <c r="I21" s="50">
        <f t="shared" si="2"/>
        <v>0</v>
      </c>
    </row>
    <row r="22" spans="1:9" ht="15">
      <c r="A22" s="43" t="str">
        <f>HLOOKUP(INDICE!$F$2,Nombres!$C$3:$D$636,47,FALSE)</f>
        <v>Income tax</v>
      </c>
      <c r="B22" s="44">
        <v>-135.70944273</v>
      </c>
      <c r="C22" s="44">
        <v>-122.18198357999998</v>
      </c>
      <c r="D22" s="44">
        <v>-165.33251455999996</v>
      </c>
      <c r="E22" s="45">
        <v>-100.86645799000004</v>
      </c>
      <c r="F22" s="44">
        <v>-239.42309053999998</v>
      </c>
      <c r="G22" s="44">
        <v>-163.28002520999996</v>
      </c>
      <c r="H22" s="44">
        <v>0</v>
      </c>
      <c r="I22" s="44">
        <v>0</v>
      </c>
    </row>
    <row r="23" spans="1:9" ht="15">
      <c r="A23" s="41" t="str">
        <f>HLOOKUP(INDICE!$F$2,Nombres!$C$3:$D$636,48,FALSE)</f>
        <v>Profit/(loss) for the year</v>
      </c>
      <c r="B23" s="41">
        <f>+B21+B22</f>
        <v>370.6604832400004</v>
      </c>
      <c r="C23" s="41">
        <f aca="true" t="shared" si="3" ref="C23:I23">+C21+C22</f>
        <v>356.00410303000024</v>
      </c>
      <c r="D23" s="41">
        <f t="shared" si="3"/>
        <v>465.75428517999967</v>
      </c>
      <c r="E23" s="42">
        <f t="shared" si="3"/>
        <v>358.12485646000005</v>
      </c>
      <c r="F23" s="50">
        <f t="shared" si="3"/>
        <v>601.5735252399996</v>
      </c>
      <c r="G23" s="50">
        <f t="shared" si="3"/>
        <v>410.2081809399998</v>
      </c>
      <c r="H23" s="50">
        <f t="shared" si="3"/>
        <v>0</v>
      </c>
      <c r="I23" s="50">
        <f t="shared" si="3"/>
        <v>0</v>
      </c>
    </row>
    <row r="24" spans="1:9" ht="15">
      <c r="A24" s="43" t="str">
        <f>HLOOKUP(INDICE!$F$2,Nombres!$C$3:$D$636,49,FALSE)</f>
        <v>Non-controlling interests</v>
      </c>
      <c r="B24" s="44">
        <v>-0.6923230899999999</v>
      </c>
      <c r="C24" s="44">
        <v>-0.7216836099999999</v>
      </c>
      <c r="D24" s="44">
        <v>-0.4960173900000002</v>
      </c>
      <c r="E24" s="45">
        <v>-0.43946732999999993</v>
      </c>
      <c r="F24" s="44">
        <v>-0.9564782700000001</v>
      </c>
      <c r="G24" s="44">
        <v>-0.9767035999999999</v>
      </c>
      <c r="H24" s="44">
        <v>0</v>
      </c>
      <c r="I24" s="44">
        <v>0</v>
      </c>
    </row>
    <row r="25" spans="1:9" ht="15">
      <c r="A25" s="47" t="str">
        <f>HLOOKUP(INDICE!$F$2,Nombres!$C$3:$D$636,305,FALSE)</f>
        <v>Net attributable profit excluding non recurring impacts</v>
      </c>
      <c r="B25" s="47">
        <f>+B23+B24</f>
        <v>369.9681601500004</v>
      </c>
      <c r="C25" s="47">
        <f aca="true" t="shared" si="4" ref="C25:I25">+C23+C24</f>
        <v>355.2824194200002</v>
      </c>
      <c r="D25" s="47">
        <f t="shared" si="4"/>
        <v>465.25826778999965</v>
      </c>
      <c r="E25" s="70">
        <f t="shared" si="4"/>
        <v>357.68538913000003</v>
      </c>
      <c r="F25" s="51">
        <f t="shared" si="4"/>
        <v>600.6170469699996</v>
      </c>
      <c r="G25" s="51">
        <f t="shared" si="4"/>
        <v>409.2314773399998</v>
      </c>
      <c r="H25" s="51">
        <f t="shared" si="4"/>
        <v>0</v>
      </c>
      <c r="I25" s="51">
        <f t="shared" si="4"/>
        <v>0</v>
      </c>
    </row>
    <row r="26" spans="1:9" ht="15">
      <c r="A26" s="43" t="str">
        <f>HLOOKUP(INDICE!$F$2,Nombres!$C$3:$D$636,319,FALSE)</f>
        <v>Net impact arisen from the purchase of offices in Spain</v>
      </c>
      <c r="B26" s="44">
        <v>0</v>
      </c>
      <c r="C26" s="44">
        <v>0</v>
      </c>
      <c r="D26" s="44">
        <v>0</v>
      </c>
      <c r="E26" s="45">
        <v>0</v>
      </c>
      <c r="F26" s="44">
        <v>0</v>
      </c>
      <c r="G26" s="44">
        <v>-201.39716995</v>
      </c>
      <c r="H26" s="44">
        <v>0</v>
      </c>
      <c r="I26" s="44">
        <v>0</v>
      </c>
    </row>
    <row r="27" spans="1:9" ht="15">
      <c r="A27" s="47" t="str">
        <f>HLOOKUP(INDICE!$F$2,Nombres!$C$3:$D$636,50,FALSE)</f>
        <v>Net attributable profit</v>
      </c>
      <c r="B27" s="47">
        <f>+B25+B26</f>
        <v>369.9681601500004</v>
      </c>
      <c r="C27" s="47">
        <f aca="true" t="shared" si="5" ref="C27:I27">+C25+C26</f>
        <v>355.2824194200002</v>
      </c>
      <c r="D27" s="47">
        <f t="shared" si="5"/>
        <v>465.25826778999965</v>
      </c>
      <c r="E27" s="70">
        <f t="shared" si="5"/>
        <v>357.68538913000003</v>
      </c>
      <c r="F27" s="47">
        <f t="shared" si="5"/>
        <v>600.6170469699996</v>
      </c>
      <c r="G27" s="47">
        <f t="shared" si="5"/>
        <v>207.8343073899998</v>
      </c>
      <c r="H27" s="47">
        <f t="shared" si="5"/>
        <v>0</v>
      </c>
      <c r="I27" s="47">
        <f t="shared" si="5"/>
        <v>0</v>
      </c>
    </row>
    <row r="28" spans="1:9" ht="15">
      <c r="A28" s="299"/>
      <c r="B28" s="299"/>
      <c r="C28" s="299"/>
      <c r="D28" s="299"/>
      <c r="E28" s="299"/>
      <c r="F28" s="299"/>
      <c r="G28" s="299"/>
      <c r="H28" s="299"/>
      <c r="I28" s="299"/>
    </row>
    <row r="29" spans="1:9" ht="15">
      <c r="A29" s="41"/>
      <c r="B29" s="41"/>
      <c r="C29" s="41"/>
      <c r="D29" s="41"/>
      <c r="E29" s="41"/>
      <c r="F29" s="41"/>
      <c r="G29" s="41"/>
      <c r="H29" s="41"/>
      <c r="I29" s="41"/>
    </row>
    <row r="30" spans="1:9" ht="18">
      <c r="A30" s="33" t="str">
        <f>HLOOKUP(INDICE!$F$2,Nombres!$C$3:$D$636,51,FALSE)</f>
        <v>Balance sheets</v>
      </c>
      <c r="B30" s="34"/>
      <c r="C30" s="34"/>
      <c r="D30" s="34"/>
      <c r="E30" s="34"/>
      <c r="F30" s="34"/>
      <c r="G30" s="34"/>
      <c r="H30" s="34"/>
      <c r="I30" s="34"/>
    </row>
    <row r="31" spans="1:11" ht="15">
      <c r="A31" s="35" t="str">
        <f>HLOOKUP(INDICE!$F$2,Nombres!$C$3:$D$636,32,FALSE)</f>
        <v>(Million euros)</v>
      </c>
      <c r="B31" s="30"/>
      <c r="C31" s="52"/>
      <c r="D31" s="52"/>
      <c r="E31" s="52"/>
      <c r="F31" s="30"/>
      <c r="G31" s="58"/>
      <c r="H31" s="58"/>
      <c r="I31" s="58"/>
      <c r="K31" s="54"/>
    </row>
    <row r="32" spans="1:11" ht="15.75">
      <c r="A32" s="30"/>
      <c r="B32" s="53">
        <v>44286</v>
      </c>
      <c r="C32" s="53">
        <v>44377</v>
      </c>
      <c r="D32" s="53">
        <v>44469</v>
      </c>
      <c r="E32" s="53">
        <v>44561</v>
      </c>
      <c r="F32" s="53">
        <v>44651</v>
      </c>
      <c r="G32" s="53">
        <v>44742</v>
      </c>
      <c r="H32" s="53">
        <v>44834</v>
      </c>
      <c r="I32" s="53">
        <v>44926</v>
      </c>
      <c r="K32" s="54"/>
    </row>
    <row r="33" spans="1:11" ht="15">
      <c r="A33" s="43" t="str">
        <f>HLOOKUP(INDICE!$F$2,Nombres!$C$3:$D$636,52,FALSE)</f>
        <v>Cash, cash balances at central banks and other demand deposits</v>
      </c>
      <c r="B33" s="44">
        <v>26118.438437</v>
      </c>
      <c r="C33" s="44">
        <v>22583.024074</v>
      </c>
      <c r="D33" s="44">
        <v>23137.774776000002</v>
      </c>
      <c r="E33" s="45">
        <v>26386.000189</v>
      </c>
      <c r="F33" s="44">
        <v>28567.499893</v>
      </c>
      <c r="G33" s="44">
        <v>37732.410629</v>
      </c>
      <c r="H33" s="44">
        <v>0</v>
      </c>
      <c r="I33" s="44">
        <v>0</v>
      </c>
      <c r="K33" s="54"/>
    </row>
    <row r="34" spans="1:11" ht="15">
      <c r="A34" s="43" t="str">
        <f>HLOOKUP(INDICE!$F$2,Nombres!$C$3:$D$636,53,FALSE)</f>
        <v>Financial assets designated at fair value </v>
      </c>
      <c r="B34" s="58">
        <v>133138.23764593</v>
      </c>
      <c r="C34" s="58">
        <v>137229.11167526</v>
      </c>
      <c r="D34" s="58">
        <v>138939.90451837002</v>
      </c>
      <c r="E34" s="64">
        <v>145545.80849313</v>
      </c>
      <c r="F34" s="44">
        <v>136353.24551016</v>
      </c>
      <c r="G34" s="44">
        <v>140377.23086860002</v>
      </c>
      <c r="H34" s="44">
        <v>0</v>
      </c>
      <c r="I34" s="44">
        <v>0</v>
      </c>
      <c r="K34" s="54"/>
    </row>
    <row r="35" spans="1:11" ht="15">
      <c r="A35" s="43" t="str">
        <f>HLOOKUP(INDICE!$F$2,Nombres!$C$3:$D$636,54,FALSE)</f>
        <v>Financial assets at amortized cost</v>
      </c>
      <c r="B35" s="44">
        <v>195608.45913719</v>
      </c>
      <c r="C35" s="44">
        <v>198897.14261369998</v>
      </c>
      <c r="D35" s="44">
        <v>197505.0617502</v>
      </c>
      <c r="E35" s="45">
        <v>199646.47363823</v>
      </c>
      <c r="F35" s="44">
        <v>199698.84029615996</v>
      </c>
      <c r="G35" s="44">
        <v>204749.47282411</v>
      </c>
      <c r="H35" s="44">
        <v>0</v>
      </c>
      <c r="I35" s="44">
        <v>0</v>
      </c>
      <c r="K35" s="54"/>
    </row>
    <row r="36" spans="1:11" ht="15">
      <c r="A36" s="43" t="str">
        <f>HLOOKUP(INDICE!$F$2,Nombres!$C$3:$D$636,55,FALSE)</f>
        <v>    of which loans and advances to customers</v>
      </c>
      <c r="B36" s="44">
        <v>166080.40653619</v>
      </c>
      <c r="C36" s="44">
        <v>169916.61111769997</v>
      </c>
      <c r="D36" s="44">
        <v>168385.3284432</v>
      </c>
      <c r="E36" s="45">
        <v>171081.07912722998</v>
      </c>
      <c r="F36" s="44">
        <v>171949.96412115998</v>
      </c>
      <c r="G36" s="44">
        <v>176108.72322811</v>
      </c>
      <c r="H36" s="44">
        <v>0</v>
      </c>
      <c r="I36" s="44">
        <v>0</v>
      </c>
      <c r="K36" s="54"/>
    </row>
    <row r="37" spans="1:11" ht="15">
      <c r="A37" s="43" t="str">
        <f>HLOOKUP(INDICE!$F$2,Nombres!$C$3:$D$636,121,FALSE)</f>
        <v>Inter-area positions</v>
      </c>
      <c r="B37" s="44">
        <v>28497.30744309991</v>
      </c>
      <c r="C37" s="44">
        <v>28861.87703562004</v>
      </c>
      <c r="D37" s="44">
        <v>30083.44213207008</v>
      </c>
      <c r="E37" s="45">
        <v>33971.89627377008</v>
      </c>
      <c r="F37" s="44">
        <v>37241.85153339</v>
      </c>
      <c r="G37" s="44">
        <v>39466.278595489915</v>
      </c>
      <c r="H37" s="44">
        <v>0</v>
      </c>
      <c r="I37" s="44">
        <v>0</v>
      </c>
      <c r="K37" s="54"/>
    </row>
    <row r="38" spans="1:11" ht="15">
      <c r="A38" s="43" t="str">
        <f>HLOOKUP(INDICE!$F$2,Nombres!$C$3:$D$636,56,FALSE)</f>
        <v>Tangible assets</v>
      </c>
      <c r="B38" s="58">
        <v>2825.418143</v>
      </c>
      <c r="C38" s="58">
        <v>2499.116668</v>
      </c>
      <c r="D38" s="58">
        <v>2458.447295</v>
      </c>
      <c r="E38" s="64">
        <v>2533.746048</v>
      </c>
      <c r="F38" s="44">
        <v>2508.384579</v>
      </c>
      <c r="G38" s="44">
        <v>2972.7728279999997</v>
      </c>
      <c r="H38" s="44">
        <v>0</v>
      </c>
      <c r="I38" s="44">
        <v>0</v>
      </c>
      <c r="K38" s="54"/>
    </row>
    <row r="39" spans="1:11" ht="15">
      <c r="A39" s="43" t="str">
        <f>HLOOKUP(INDICE!$F$2,Nombres!$C$3:$D$636,57,FALSE)</f>
        <v>Other assets</v>
      </c>
      <c r="B39" s="58">
        <f aca="true" t="shared" si="6" ref="B39:I39">+B40-B38-B35-B34-B33-B37</f>
        <v>5926.097213200032</v>
      </c>
      <c r="C39" s="58">
        <f t="shared" si="6"/>
        <v>6205.514388499942</v>
      </c>
      <c r="D39" s="58">
        <f t="shared" si="6"/>
        <v>6105.163002499932</v>
      </c>
      <c r="E39" s="64">
        <f t="shared" si="6"/>
        <v>5345.920737759981</v>
      </c>
      <c r="F39" s="44">
        <f t="shared" si="6"/>
        <v>5675.292589749966</v>
      </c>
      <c r="G39" s="44">
        <f t="shared" si="6"/>
        <v>6714.101317719957</v>
      </c>
      <c r="H39" s="44">
        <f t="shared" si="6"/>
        <v>0</v>
      </c>
      <c r="I39" s="44">
        <f t="shared" si="6"/>
        <v>0</v>
      </c>
      <c r="K39" s="54"/>
    </row>
    <row r="40" spans="1:11" ht="15">
      <c r="A40" s="47" t="str">
        <f>HLOOKUP(INDICE!$F$2,Nombres!$C$3:$D$636,58,FALSE)</f>
        <v>Total assets / Liabilities and equity</v>
      </c>
      <c r="B40" s="47">
        <v>392113.9580194199</v>
      </c>
      <c r="C40" s="47">
        <v>396275.78645508</v>
      </c>
      <c r="D40" s="47">
        <v>398229.79347414005</v>
      </c>
      <c r="E40" s="47">
        <v>413429.84537989006</v>
      </c>
      <c r="F40" s="51">
        <v>410045.1144014599</v>
      </c>
      <c r="G40" s="51">
        <v>432012.2670629199</v>
      </c>
      <c r="H40" s="51">
        <v>0</v>
      </c>
      <c r="I40" s="51">
        <v>0</v>
      </c>
      <c r="K40" s="54"/>
    </row>
    <row r="41" spans="1:11" ht="15.75" customHeight="1">
      <c r="A41" s="43" t="str">
        <f>HLOOKUP(INDICE!$F$2,Nombres!$C$3:$D$636,59,FALSE)</f>
        <v>Financial liabilities held for trading and designated at fair value through profit or loss</v>
      </c>
      <c r="B41" s="58">
        <v>68174.10991900001</v>
      </c>
      <c r="C41" s="58">
        <v>68217.13019400001</v>
      </c>
      <c r="D41" s="58">
        <v>70081.506403</v>
      </c>
      <c r="E41" s="64">
        <v>81375.588126</v>
      </c>
      <c r="F41" s="44">
        <v>75723.90047499997</v>
      </c>
      <c r="G41" s="44">
        <v>89118.859321</v>
      </c>
      <c r="H41" s="44">
        <v>0</v>
      </c>
      <c r="I41" s="44">
        <v>0</v>
      </c>
      <c r="K41" s="54"/>
    </row>
    <row r="42" spans="1:11" ht="15">
      <c r="A42" s="43" t="str">
        <f>HLOOKUP(INDICE!$F$2,Nombres!$C$3:$D$636,60,FALSE)</f>
        <v>Deposits from central banks and credit institutions</v>
      </c>
      <c r="B42" s="58">
        <v>59594.62790700001</v>
      </c>
      <c r="C42" s="58">
        <v>58397.536383</v>
      </c>
      <c r="D42" s="58">
        <v>58351.436717</v>
      </c>
      <c r="E42" s="64">
        <v>54759.088316</v>
      </c>
      <c r="F42" s="44">
        <v>59875.795284</v>
      </c>
      <c r="G42" s="44">
        <v>62815.157738</v>
      </c>
      <c r="H42" s="44">
        <v>0</v>
      </c>
      <c r="I42" s="44">
        <v>0</v>
      </c>
      <c r="K42" s="54"/>
    </row>
    <row r="43" spans="1:11" ht="15">
      <c r="A43" s="43" t="str">
        <f>HLOOKUP(INDICE!$F$2,Nombres!$C$3:$D$636,61,FALSE)</f>
        <v>Deposits from customers</v>
      </c>
      <c r="B43" s="58">
        <v>196589.82502999998</v>
      </c>
      <c r="C43" s="58">
        <v>200196.62135399994</v>
      </c>
      <c r="D43" s="58">
        <v>200221.75234999997</v>
      </c>
      <c r="E43" s="64">
        <v>206662.599628</v>
      </c>
      <c r="F43" s="44">
        <v>206451.20086399995</v>
      </c>
      <c r="G43" s="44">
        <v>211023.38771599997</v>
      </c>
      <c r="H43" s="44">
        <v>0</v>
      </c>
      <c r="I43" s="44">
        <v>0</v>
      </c>
      <c r="K43" s="54"/>
    </row>
    <row r="44" spans="1:11" ht="15">
      <c r="A44" s="43" t="str">
        <f>HLOOKUP(INDICE!$F$2,Nombres!$C$3:$D$636,62,FALSE)</f>
        <v>Debt certificates</v>
      </c>
      <c r="B44" s="44">
        <v>37855.50019108</v>
      </c>
      <c r="C44" s="44">
        <v>36939.20894884</v>
      </c>
      <c r="D44" s="44">
        <v>37604.80932516</v>
      </c>
      <c r="E44" s="45">
        <v>38224.42574456</v>
      </c>
      <c r="F44" s="44">
        <v>36027.34682829</v>
      </c>
      <c r="G44" s="44">
        <v>36804.73515928</v>
      </c>
      <c r="H44" s="44">
        <v>0</v>
      </c>
      <c r="I44" s="44">
        <v>0</v>
      </c>
      <c r="K44" s="54"/>
    </row>
    <row r="45" spans="1:11" ht="15">
      <c r="A45" s="43" t="str">
        <f>HLOOKUP(INDICE!$F$2,Nombres!$C$3:$D$636,122,FALSE)</f>
        <v>Inter-area positions</v>
      </c>
      <c r="B45" s="44">
        <v>0</v>
      </c>
      <c r="C45" s="44">
        <v>0</v>
      </c>
      <c r="D45" s="44">
        <v>0</v>
      </c>
      <c r="E45" s="45">
        <v>0</v>
      </c>
      <c r="F45" s="44">
        <v>0</v>
      </c>
      <c r="G45" s="44">
        <v>0</v>
      </c>
      <c r="H45" s="44">
        <v>0</v>
      </c>
      <c r="I45" s="44">
        <v>0</v>
      </c>
      <c r="K45" s="54"/>
    </row>
    <row r="46" spans="1:9" ht="15">
      <c r="A46" s="43" t="str">
        <f>HLOOKUP(INDICE!$F$2,Nombres!$C$3:$D$636,63,FALSE)</f>
        <v>Other liabilities</v>
      </c>
      <c r="B46" s="44">
        <f>+B40-B41-B42-B43-B44-B47-B45</f>
        <v>17240.302730739917</v>
      </c>
      <c r="C46" s="44">
        <f aca="true" t="shared" si="7" ref="C46:I46">+C40-C41-C42-C43-C44-C47-C45</f>
        <v>19348.15331624003</v>
      </c>
      <c r="D46" s="44">
        <f t="shared" si="7"/>
        <v>18449.931319000076</v>
      </c>
      <c r="E46" s="45">
        <f t="shared" si="7"/>
        <v>18405.911814720035</v>
      </c>
      <c r="F46" s="44">
        <f t="shared" si="7"/>
        <v>17622.15769804001</v>
      </c>
      <c r="G46" s="44">
        <f t="shared" si="7"/>
        <v>17744.713558699972</v>
      </c>
      <c r="H46" s="44">
        <f t="shared" si="7"/>
        <v>0</v>
      </c>
      <c r="I46" s="44">
        <f t="shared" si="7"/>
        <v>0</v>
      </c>
    </row>
    <row r="47" spans="1:9" ht="15">
      <c r="A47" s="43" t="str">
        <f>HLOOKUP(INDICE!$F$2,Nombres!$C$3:$D$636,282,FALSE)</f>
        <v>Regulatory capital allocated</v>
      </c>
      <c r="B47" s="44">
        <v>12659.592241600001</v>
      </c>
      <c r="C47" s="44">
        <v>13177.136259</v>
      </c>
      <c r="D47" s="44">
        <v>13520.357359980002</v>
      </c>
      <c r="E47" s="45">
        <v>14002.23175061</v>
      </c>
      <c r="F47" s="44">
        <v>14344.713252129997</v>
      </c>
      <c r="G47" s="44">
        <v>14505.41356994</v>
      </c>
      <c r="H47" s="44">
        <v>0</v>
      </c>
      <c r="I47" s="44">
        <v>0</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Relevant business indicators</v>
      </c>
      <c r="B50" s="66"/>
      <c r="C50" s="66"/>
      <c r="D50" s="66"/>
      <c r="E50" s="66"/>
      <c r="F50" s="66"/>
      <c r="G50" s="66"/>
      <c r="H50" s="66"/>
      <c r="I50" s="66"/>
    </row>
    <row r="51" spans="1:9" ht="15">
      <c r="A51" s="35" t="str">
        <f>HLOOKUP(INDICE!$F$2,Nombres!$C$3:$D$636,32,FALSE)</f>
        <v>(Million euros)</v>
      </c>
      <c r="B51" s="30"/>
      <c r="C51" s="30"/>
      <c r="D51" s="30"/>
      <c r="E51" s="30"/>
      <c r="F51" s="30"/>
      <c r="G51" s="58"/>
      <c r="H51" s="58"/>
      <c r="I51" s="58"/>
    </row>
    <row r="52" spans="1:9" ht="15.75">
      <c r="A52" s="30"/>
      <c r="B52" s="53">
        <f aca="true" t="shared" si="8" ref="B52:I52">+B$32</f>
        <v>44286</v>
      </c>
      <c r="C52" s="53">
        <f t="shared" si="8"/>
        <v>44377</v>
      </c>
      <c r="D52" s="53">
        <f t="shared" si="8"/>
        <v>44469</v>
      </c>
      <c r="E52" s="67">
        <f t="shared" si="8"/>
        <v>44561</v>
      </c>
      <c r="F52" s="53">
        <f t="shared" si="8"/>
        <v>44651</v>
      </c>
      <c r="G52" s="53">
        <f t="shared" si="8"/>
        <v>44742</v>
      </c>
      <c r="H52" s="53">
        <f t="shared" si="8"/>
        <v>44834</v>
      </c>
      <c r="I52" s="53">
        <f t="shared" si="8"/>
        <v>44926</v>
      </c>
    </row>
    <row r="53" spans="1:9" ht="15">
      <c r="A53" s="43" t="str">
        <f>HLOOKUP(INDICE!$F$2,Nombres!$C$3:$D$636,66,FALSE)</f>
        <v>Loans and advances to customers (gross) (*)</v>
      </c>
      <c r="B53" s="44">
        <v>171552.249247</v>
      </c>
      <c r="C53" s="44">
        <v>175059.77363900002</v>
      </c>
      <c r="D53" s="44">
        <v>173463.88169537002</v>
      </c>
      <c r="E53" s="45">
        <v>176132.589933</v>
      </c>
      <c r="F53" s="44">
        <v>176978.40858599998</v>
      </c>
      <c r="G53" s="44">
        <v>181107.749283</v>
      </c>
      <c r="H53" s="44">
        <v>0</v>
      </c>
      <c r="I53" s="44">
        <v>0</v>
      </c>
    </row>
    <row r="54" spans="1:9" ht="15">
      <c r="A54" s="43" t="str">
        <f>HLOOKUP(INDICE!$F$2,Nombres!$C$3:$D$636,67,FALSE)</f>
        <v>Customer deposits under management (*)</v>
      </c>
      <c r="B54" s="44">
        <v>196004.84808</v>
      </c>
      <c r="C54" s="44">
        <v>199580.71829100003</v>
      </c>
      <c r="D54" s="44">
        <v>199599.51979</v>
      </c>
      <c r="E54" s="45">
        <v>205908.21971</v>
      </c>
      <c r="F54" s="44">
        <v>205926.96363399999</v>
      </c>
      <c r="G54" s="44">
        <v>210532.6971</v>
      </c>
      <c r="H54" s="44">
        <v>0</v>
      </c>
      <c r="I54" s="44">
        <v>0</v>
      </c>
    </row>
    <row r="55" spans="1:9" ht="15">
      <c r="A55" s="43" t="str">
        <f>HLOOKUP(INDICE!$F$2,Nombres!$C$3:$D$636,68,FALSE)</f>
        <v>Investment funds and managed portfolios</v>
      </c>
      <c r="B55" s="44">
        <v>61372.16300718999</v>
      </c>
      <c r="C55" s="44">
        <v>64034.103564149984</v>
      </c>
      <c r="D55" s="44">
        <v>64957.206182949994</v>
      </c>
      <c r="E55" s="45">
        <v>68596.89542821</v>
      </c>
      <c r="F55" s="44">
        <v>66158.73053186998</v>
      </c>
      <c r="G55" s="44">
        <v>63270.89122094001</v>
      </c>
      <c r="H55" s="44">
        <v>0</v>
      </c>
      <c r="I55" s="44">
        <v>0</v>
      </c>
    </row>
    <row r="56" spans="1:9" ht="15">
      <c r="A56" s="43" t="str">
        <f>HLOOKUP(INDICE!$F$2,Nombres!$C$3:$D$636,69,FALSE)</f>
        <v>Pension funds</v>
      </c>
      <c r="B56" s="44">
        <v>24581.019303769997</v>
      </c>
      <c r="C56" s="44">
        <v>24953.45475065</v>
      </c>
      <c r="D56" s="44">
        <v>24964.93470501</v>
      </c>
      <c r="E56" s="45">
        <v>25498.115497730003</v>
      </c>
      <c r="F56" s="44">
        <v>24669.120722600004</v>
      </c>
      <c r="G56" s="44">
        <v>23557.51709119</v>
      </c>
      <c r="H56" s="44">
        <v>0</v>
      </c>
      <c r="I56" s="44">
        <v>0</v>
      </c>
    </row>
    <row r="57" spans="1:9" ht="15">
      <c r="A57" s="43" t="str">
        <f>HLOOKUP(INDICE!$F$2,Nombres!$C$3:$D$636,70,FALSE)</f>
        <v>Other off balance-sheet funds</v>
      </c>
      <c r="B57" s="44">
        <v>0</v>
      </c>
      <c r="C57" s="44">
        <v>0</v>
      </c>
      <c r="D57" s="44">
        <v>0</v>
      </c>
      <c r="E57" s="45">
        <v>0</v>
      </c>
      <c r="F57" s="44">
        <v>0</v>
      </c>
      <c r="G57" s="44">
        <v>0</v>
      </c>
      <c r="H57" s="44">
        <v>0</v>
      </c>
      <c r="I57" s="44">
        <v>0</v>
      </c>
    </row>
    <row r="58" spans="1:9" ht="15">
      <c r="A58" s="62" t="str">
        <f>HLOOKUP(INDICE!$F$2,Nombres!$C$3:$D$636,71,FALSE)</f>
        <v>(*) Excluding repos. </v>
      </c>
      <c r="B58" s="58"/>
      <c r="C58" s="58"/>
      <c r="D58" s="58"/>
      <c r="E58" s="58"/>
      <c r="F58" s="58"/>
      <c r="G58" s="58"/>
      <c r="H58" s="58"/>
      <c r="I58" s="58"/>
    </row>
    <row r="59" spans="1:9" ht="15">
      <c r="A59" s="62">
        <f>HLOOKUP(INDICE!$F$2,Nombres!$C$3:$D$636,72,FALSE)</f>
        <v>0</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392</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34">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HLOOKUP(INDICE!$F$2,Nombres!$C$3:$D$636,11,FALSE)</f>
        <v>Mexico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1366.2208904400004</v>
      </c>
      <c r="C8" s="41">
        <v>1404.86537968</v>
      </c>
      <c r="D8" s="41">
        <v>1508.9767515400004</v>
      </c>
      <c r="E8" s="42">
        <v>1556.1925747199998</v>
      </c>
      <c r="F8" s="50">
        <v>1746.27672984</v>
      </c>
      <c r="G8" s="50">
        <v>1937.7151103</v>
      </c>
      <c r="H8" s="50">
        <v>0</v>
      </c>
      <c r="I8" s="50">
        <v>0</v>
      </c>
    </row>
    <row r="9" spans="1:9" ht="15">
      <c r="A9" s="43" t="str">
        <f>HLOOKUP(INDICE!$F$2,Nombres!$C$3:$D$636,34,FALSE)</f>
        <v>Net fees and commissions</v>
      </c>
      <c r="B9" s="44">
        <v>281.56553275000005</v>
      </c>
      <c r="C9" s="44">
        <v>299.25340747000007</v>
      </c>
      <c r="D9" s="44">
        <v>317.05162781</v>
      </c>
      <c r="E9" s="45">
        <v>313.07270378</v>
      </c>
      <c r="F9" s="44">
        <v>342.73184430000003</v>
      </c>
      <c r="G9" s="44">
        <v>400.7794829999999</v>
      </c>
      <c r="H9" s="44">
        <v>0</v>
      </c>
      <c r="I9" s="44">
        <v>0</v>
      </c>
    </row>
    <row r="10" spans="1:9" ht="15">
      <c r="A10" s="43" t="str">
        <f>HLOOKUP(INDICE!$F$2,Nombres!$C$3:$D$636,35,FALSE)</f>
        <v>Net trading income</v>
      </c>
      <c r="B10" s="44">
        <v>69.14014961999999</v>
      </c>
      <c r="C10" s="44">
        <v>95.77761064</v>
      </c>
      <c r="D10" s="44">
        <v>87.99758012</v>
      </c>
      <c r="E10" s="45">
        <v>113.48441278000001</v>
      </c>
      <c r="F10" s="44">
        <v>91.93280934999999</v>
      </c>
      <c r="G10" s="44">
        <v>135.35992679</v>
      </c>
      <c r="H10" s="44">
        <v>0</v>
      </c>
      <c r="I10" s="44">
        <v>0</v>
      </c>
    </row>
    <row r="11" spans="1:9" ht="15">
      <c r="A11" s="43" t="str">
        <f>HLOOKUP(INDICE!$F$2,Nombres!$C$3:$D$636,36,FALSE)</f>
        <v>Other operating income and expenses</v>
      </c>
      <c r="B11" s="44">
        <v>43.80699996999996</v>
      </c>
      <c r="C11" s="44">
        <v>43.580000020000156</v>
      </c>
      <c r="D11" s="44">
        <v>39.27400001999999</v>
      </c>
      <c r="E11" s="45">
        <v>63.059000019999765</v>
      </c>
      <c r="F11" s="44">
        <v>63.78499999999998</v>
      </c>
      <c r="G11" s="44">
        <v>168.39799999000007</v>
      </c>
      <c r="H11" s="44">
        <v>0</v>
      </c>
      <c r="I11" s="44">
        <v>0</v>
      </c>
    </row>
    <row r="12" spans="1:9" ht="15">
      <c r="A12" s="41" t="str">
        <f>HLOOKUP(INDICE!$F$2,Nombres!$C$3:$D$636,37,FALSE)</f>
        <v>Gross income</v>
      </c>
      <c r="B12" s="41">
        <f>+SUM(B8:B11)</f>
        <v>1760.7335727800003</v>
      </c>
      <c r="C12" s="41">
        <f aca="true" t="shared" si="0" ref="C12:I12">+SUM(C8:C11)</f>
        <v>1843.4763978100002</v>
      </c>
      <c r="D12" s="41">
        <f t="shared" si="0"/>
        <v>1953.2999594900002</v>
      </c>
      <c r="E12" s="42">
        <f t="shared" si="0"/>
        <v>2045.8086912999995</v>
      </c>
      <c r="F12" s="50">
        <f t="shared" si="0"/>
        <v>2244.7263834899995</v>
      </c>
      <c r="G12" s="50">
        <f t="shared" si="0"/>
        <v>2642.25252008</v>
      </c>
      <c r="H12" s="50">
        <f t="shared" si="0"/>
        <v>0</v>
      </c>
      <c r="I12" s="50">
        <f t="shared" si="0"/>
        <v>0</v>
      </c>
    </row>
    <row r="13" spans="1:9" ht="15">
      <c r="A13" s="43" t="str">
        <f>HLOOKUP(INDICE!$F$2,Nombres!$C$3:$D$636,38,FALSE)</f>
        <v>Operating expenses</v>
      </c>
      <c r="B13" s="44">
        <v>-628.11218591</v>
      </c>
      <c r="C13" s="44">
        <v>-650.6963467599999</v>
      </c>
      <c r="D13" s="44">
        <v>-686.9838591500001</v>
      </c>
      <c r="E13" s="45">
        <v>-716.50771291</v>
      </c>
      <c r="F13" s="44">
        <v>-756.39848289</v>
      </c>
      <c r="G13" s="44">
        <v>-814.8303415300002</v>
      </c>
      <c r="H13" s="44">
        <v>0</v>
      </c>
      <c r="I13" s="44">
        <v>0</v>
      </c>
    </row>
    <row r="14" spans="1:9" ht="15">
      <c r="A14" s="43" t="str">
        <f>HLOOKUP(INDICE!$F$2,Nombres!$C$3:$D$636,39,FALSE)</f>
        <v>  Administration expenses</v>
      </c>
      <c r="B14" s="44">
        <v>-549.71538089</v>
      </c>
      <c r="C14" s="44">
        <v>-571.39577177</v>
      </c>
      <c r="D14" s="44">
        <v>-602.89568223</v>
      </c>
      <c r="E14" s="45">
        <v>-632.4380449199999</v>
      </c>
      <c r="F14" s="44">
        <v>-665.9002018599999</v>
      </c>
      <c r="G14" s="44">
        <v>-717.3522109700001</v>
      </c>
      <c r="H14" s="44">
        <v>0</v>
      </c>
      <c r="I14" s="44">
        <v>0</v>
      </c>
    </row>
    <row r="15" spans="1:9" ht="15">
      <c r="A15" s="46" t="str">
        <f>HLOOKUP(INDICE!$F$2,Nombres!$C$3:$D$636,40,FALSE)</f>
        <v>  Personnel expenses</v>
      </c>
      <c r="B15" s="44">
        <v>-255.18485251</v>
      </c>
      <c r="C15" s="44">
        <v>-269.27963647</v>
      </c>
      <c r="D15" s="44">
        <v>-328.77337014000005</v>
      </c>
      <c r="E15" s="45">
        <v>-345.93384104999996</v>
      </c>
      <c r="F15" s="44">
        <v>-334.39717567</v>
      </c>
      <c r="G15" s="44">
        <v>-364.68165961000005</v>
      </c>
      <c r="H15" s="44">
        <v>0</v>
      </c>
      <c r="I15" s="44">
        <v>0</v>
      </c>
    </row>
    <row r="16" spans="1:9" ht="15">
      <c r="A16" s="46" t="str">
        <f>HLOOKUP(INDICE!$F$2,Nombres!$C$3:$D$636,41,FALSE)</f>
        <v>  General and administrative expenses</v>
      </c>
      <c r="B16" s="44">
        <v>-294.53052838</v>
      </c>
      <c r="C16" s="44">
        <v>-302.1161353</v>
      </c>
      <c r="D16" s="44">
        <v>-274.12231209</v>
      </c>
      <c r="E16" s="45">
        <v>-286.50420386999997</v>
      </c>
      <c r="F16" s="44">
        <v>-331.50302619</v>
      </c>
      <c r="G16" s="44">
        <v>-352.67055136</v>
      </c>
      <c r="H16" s="44">
        <v>0</v>
      </c>
      <c r="I16" s="44">
        <v>0</v>
      </c>
    </row>
    <row r="17" spans="1:9" ht="15">
      <c r="A17" s="43" t="str">
        <f>HLOOKUP(INDICE!$F$2,Nombres!$C$3:$D$636,42,FALSE)</f>
        <v>  Depreciation</v>
      </c>
      <c r="B17" s="44">
        <v>-78.39680502</v>
      </c>
      <c r="C17" s="44">
        <v>-79.30057498999999</v>
      </c>
      <c r="D17" s="44">
        <v>-84.08817692</v>
      </c>
      <c r="E17" s="45">
        <v>-84.06966799</v>
      </c>
      <c r="F17" s="44">
        <v>-90.49828102999999</v>
      </c>
      <c r="G17" s="44">
        <v>-97.47813055999998</v>
      </c>
      <c r="H17" s="44">
        <v>0</v>
      </c>
      <c r="I17" s="44">
        <v>0</v>
      </c>
    </row>
    <row r="18" spans="1:9" ht="15">
      <c r="A18" s="41" t="str">
        <f>HLOOKUP(INDICE!$F$2,Nombres!$C$3:$D$636,43,FALSE)</f>
        <v>Operating income</v>
      </c>
      <c r="B18" s="41">
        <f>+B12+B13</f>
        <v>1132.6213868700002</v>
      </c>
      <c r="C18" s="41">
        <f aca="true" t="shared" si="1" ref="C18:I18">+C12+C13</f>
        <v>1192.7800510500003</v>
      </c>
      <c r="D18" s="41">
        <f t="shared" si="1"/>
        <v>1266.31610034</v>
      </c>
      <c r="E18" s="42">
        <f t="shared" si="1"/>
        <v>1329.3009783899995</v>
      </c>
      <c r="F18" s="50">
        <f t="shared" si="1"/>
        <v>1488.3279005999996</v>
      </c>
      <c r="G18" s="50">
        <f t="shared" si="1"/>
        <v>1827.42217855</v>
      </c>
      <c r="H18" s="50">
        <f t="shared" si="1"/>
        <v>0</v>
      </c>
      <c r="I18" s="50">
        <f t="shared" si="1"/>
        <v>0</v>
      </c>
    </row>
    <row r="19" spans="1:9" ht="15">
      <c r="A19" s="43" t="str">
        <f>HLOOKUP(INDICE!$F$2,Nombres!$C$3:$D$636,44,FALSE)</f>
        <v>Impaiment on financial assets not measured at fair value through profit or loss</v>
      </c>
      <c r="B19" s="44">
        <v>-457.89600006</v>
      </c>
      <c r="C19" s="44">
        <v>-283.35099992</v>
      </c>
      <c r="D19" s="44">
        <v>-334.22599998000004</v>
      </c>
      <c r="E19" s="45">
        <v>-365.00800002000005</v>
      </c>
      <c r="F19" s="44">
        <v>-418.7609999500001</v>
      </c>
      <c r="G19" s="44">
        <v>-386.5470000499996</v>
      </c>
      <c r="H19" s="44">
        <v>0</v>
      </c>
      <c r="I19" s="44">
        <v>0</v>
      </c>
    </row>
    <row r="20" spans="1:9" ht="15">
      <c r="A20" s="43" t="str">
        <f>HLOOKUP(INDICE!$F$2,Nombres!$C$3:$D$636,45,FALSE)</f>
        <v>Provisions or reversal of provisions and other results</v>
      </c>
      <c r="B20" s="44">
        <v>1.8089999800000047</v>
      </c>
      <c r="C20" s="44">
        <v>7.059000009999996</v>
      </c>
      <c r="D20" s="44">
        <v>8.894000000000005</v>
      </c>
      <c r="E20" s="45">
        <v>6.701999990000015</v>
      </c>
      <c r="F20" s="44">
        <v>-1.2699999999999996</v>
      </c>
      <c r="G20" s="44">
        <v>-7.59599998</v>
      </c>
      <c r="H20" s="44">
        <v>0</v>
      </c>
      <c r="I20" s="44">
        <v>0</v>
      </c>
    </row>
    <row r="21" spans="1:9" ht="15">
      <c r="A21" s="41" t="str">
        <f>HLOOKUP(INDICE!$F$2,Nombres!$C$3:$D$636,46,FALSE)</f>
        <v>Profit/(loss) before tax</v>
      </c>
      <c r="B21" s="41">
        <f>+B18+B19+B20</f>
        <v>676.5343867900001</v>
      </c>
      <c r="C21" s="41">
        <f aca="true" t="shared" si="2" ref="C21:I21">+C18+C19+C20</f>
        <v>916.4880511400003</v>
      </c>
      <c r="D21" s="41">
        <f t="shared" si="2"/>
        <v>940.98410036</v>
      </c>
      <c r="E21" s="42">
        <f t="shared" si="2"/>
        <v>970.9949783599994</v>
      </c>
      <c r="F21" s="50">
        <f t="shared" si="2"/>
        <v>1068.2969006499995</v>
      </c>
      <c r="G21" s="50">
        <f t="shared" si="2"/>
        <v>1433.2791785200004</v>
      </c>
      <c r="H21" s="50">
        <f t="shared" si="2"/>
        <v>0</v>
      </c>
      <c r="I21" s="50">
        <f t="shared" si="2"/>
        <v>0</v>
      </c>
    </row>
    <row r="22" spans="1:9" ht="15">
      <c r="A22" s="43" t="str">
        <f>HLOOKUP(INDICE!$F$2,Nombres!$C$3:$D$636,47,FALSE)</f>
        <v>Income tax</v>
      </c>
      <c r="B22" s="44">
        <v>-187.61025693999994</v>
      </c>
      <c r="C22" s="44">
        <v>-286.5987951000001</v>
      </c>
      <c r="D22" s="44">
        <v>-260.32351461</v>
      </c>
      <c r="E22" s="45">
        <v>-218.54690595</v>
      </c>
      <c r="F22" s="44">
        <v>-290.98884173999994</v>
      </c>
      <c r="G22" s="44">
        <v>-389.63307662</v>
      </c>
      <c r="H22" s="44">
        <v>0</v>
      </c>
      <c r="I22" s="44">
        <v>0</v>
      </c>
    </row>
    <row r="23" spans="1:9" ht="15">
      <c r="A23" s="41" t="str">
        <f>HLOOKUP(INDICE!$F$2,Nombres!$C$3:$D$636,48,FALSE)</f>
        <v>Profit/(loss) for the year</v>
      </c>
      <c r="B23" s="41">
        <f>+B21+B22</f>
        <v>488.92412985000016</v>
      </c>
      <c r="C23" s="41">
        <f aca="true" t="shared" si="3" ref="C23:I23">+C21+C22</f>
        <v>629.8892560400002</v>
      </c>
      <c r="D23" s="41">
        <f t="shared" si="3"/>
        <v>680.6605857499999</v>
      </c>
      <c r="E23" s="42">
        <f t="shared" si="3"/>
        <v>752.4480724099994</v>
      </c>
      <c r="F23" s="50">
        <f t="shared" si="3"/>
        <v>777.3080589099995</v>
      </c>
      <c r="G23" s="50">
        <f t="shared" si="3"/>
        <v>1043.6461019000003</v>
      </c>
      <c r="H23" s="50">
        <f t="shared" si="3"/>
        <v>0</v>
      </c>
      <c r="I23" s="50">
        <f t="shared" si="3"/>
        <v>0</v>
      </c>
    </row>
    <row r="24" spans="1:9" ht="15">
      <c r="A24" s="43" t="str">
        <f>HLOOKUP(INDICE!$F$2,Nombres!$C$3:$D$636,49,FALSE)</f>
        <v>Non-controlling interests</v>
      </c>
      <c r="B24" s="44">
        <v>-0.085</v>
      </c>
      <c r="C24" s="44">
        <v>-0.121</v>
      </c>
      <c r="D24" s="44">
        <v>-0.123</v>
      </c>
      <c r="E24" s="45">
        <v>-0.14200000000000002</v>
      </c>
      <c r="F24" s="44">
        <v>-0.139</v>
      </c>
      <c r="G24" s="44">
        <v>-0.18500000000000003</v>
      </c>
      <c r="H24" s="44">
        <v>0</v>
      </c>
      <c r="I24" s="44">
        <v>0</v>
      </c>
    </row>
    <row r="25" spans="1:9" ht="15">
      <c r="A25" s="47" t="str">
        <f>HLOOKUP(INDICE!$F$2,Nombres!$C$3:$D$636,50,FALSE)</f>
        <v>Net attributable profit</v>
      </c>
      <c r="B25" s="47">
        <f>+B23+B24</f>
        <v>488.8391298500002</v>
      </c>
      <c r="C25" s="47">
        <f aca="true" t="shared" si="4" ref="C25:I25">+C23+C24</f>
        <v>629.7682560400002</v>
      </c>
      <c r="D25" s="47">
        <f t="shared" si="4"/>
        <v>680.5375857499998</v>
      </c>
      <c r="E25" s="47">
        <f t="shared" si="4"/>
        <v>752.3060724099994</v>
      </c>
      <c r="F25" s="51">
        <f t="shared" si="4"/>
        <v>777.1690589099995</v>
      </c>
      <c r="G25" s="51">
        <f t="shared" si="4"/>
        <v>1043.4611019000004</v>
      </c>
      <c r="H25" s="51">
        <f t="shared" si="4"/>
        <v>0</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10641.473</v>
      </c>
      <c r="C31" s="44">
        <v>13097.19699999</v>
      </c>
      <c r="D31" s="44">
        <v>13776.94199999</v>
      </c>
      <c r="E31" s="45">
        <v>12984.86099999</v>
      </c>
      <c r="F31" s="44">
        <v>14926.70000001</v>
      </c>
      <c r="G31" s="44">
        <v>16588.829999989997</v>
      </c>
      <c r="H31" s="44">
        <v>0</v>
      </c>
      <c r="I31" s="44">
        <v>0</v>
      </c>
    </row>
    <row r="32" spans="1:9" ht="15">
      <c r="A32" s="43" t="str">
        <f>HLOOKUP(INDICE!$F$2,Nombres!$C$3:$D$636,53,FALSE)</f>
        <v>Financial assets designated at fair value </v>
      </c>
      <c r="B32" s="58">
        <v>33914.793000030004</v>
      </c>
      <c r="C32" s="58">
        <v>34697.42699999</v>
      </c>
      <c r="D32" s="58">
        <v>33472.055000019995</v>
      </c>
      <c r="E32" s="64">
        <v>35125.59400001</v>
      </c>
      <c r="F32" s="44">
        <v>37487.704</v>
      </c>
      <c r="G32" s="44">
        <v>39991.07999997</v>
      </c>
      <c r="H32" s="44">
        <v>0</v>
      </c>
      <c r="I32" s="44">
        <v>0</v>
      </c>
    </row>
    <row r="33" spans="1:9" ht="15">
      <c r="A33" s="43" t="str">
        <f>HLOOKUP(INDICE!$F$2,Nombres!$C$3:$D$636,54,FALSE)</f>
        <v>Financial assets at amortized cost</v>
      </c>
      <c r="B33" s="44">
        <v>60857.970999929996</v>
      </c>
      <c r="C33" s="44">
        <v>61847.353999880004</v>
      </c>
      <c r="D33" s="44">
        <v>62195.73199995</v>
      </c>
      <c r="E33" s="45">
        <v>65311.473000109996</v>
      </c>
      <c r="F33" s="44">
        <v>70951.68300008001</v>
      </c>
      <c r="G33" s="44">
        <v>78487.42600005</v>
      </c>
      <c r="H33" s="44">
        <v>0</v>
      </c>
      <c r="I33" s="44">
        <v>0</v>
      </c>
    </row>
    <row r="34" spans="1:9" ht="15">
      <c r="A34" s="43" t="str">
        <f>HLOOKUP(INDICE!$F$2,Nombres!$C$3:$D$636,55,FALSE)</f>
        <v>    of which loans and advances to customers</v>
      </c>
      <c r="B34" s="44">
        <v>51524.61899994</v>
      </c>
      <c r="C34" s="44">
        <v>52873.54899988</v>
      </c>
      <c r="D34" s="44">
        <v>53014.019999970005</v>
      </c>
      <c r="E34" s="45">
        <v>55808.891000100004</v>
      </c>
      <c r="F34" s="44">
        <v>60743.74800004</v>
      </c>
      <c r="G34" s="44">
        <v>67020.08700003</v>
      </c>
      <c r="H34" s="44">
        <v>0</v>
      </c>
      <c r="I34" s="44">
        <v>0</v>
      </c>
    </row>
    <row r="35" spans="1:9" ht="15" hidden="1">
      <c r="A35" s="43"/>
      <c r="B35" s="44"/>
      <c r="C35" s="44"/>
      <c r="D35" s="44"/>
      <c r="E35" s="45"/>
      <c r="F35" s="44"/>
      <c r="G35" s="44"/>
      <c r="H35" s="44"/>
      <c r="I35" s="44"/>
    </row>
    <row r="36" spans="1:9" ht="15">
      <c r="A36" s="43" t="str">
        <f>HLOOKUP(INDICE!$F$2,Nombres!$C$3:$D$636,56,FALSE)</f>
        <v>Tangible assets</v>
      </c>
      <c r="B36" s="44">
        <v>1643.95599999</v>
      </c>
      <c r="C36" s="44">
        <v>1661.2619999899998</v>
      </c>
      <c r="D36" s="44">
        <v>1643.6710000100002</v>
      </c>
      <c r="E36" s="45">
        <v>1731.02100002</v>
      </c>
      <c r="F36" s="44">
        <v>1770.6509999999998</v>
      </c>
      <c r="G36" s="44">
        <v>1853.8629999999998</v>
      </c>
      <c r="H36" s="44">
        <v>0</v>
      </c>
      <c r="I36" s="44">
        <v>0</v>
      </c>
    </row>
    <row r="37" spans="1:9" ht="15">
      <c r="A37" s="43" t="str">
        <f>HLOOKUP(INDICE!$F$2,Nombres!$C$3:$D$636,57,FALSE)</f>
        <v>Other assets</v>
      </c>
      <c r="B37" s="58">
        <f>+B38-B36-B33-B32-B31</f>
        <v>3354.1150824799897</v>
      </c>
      <c r="C37" s="58">
        <f aca="true" t="shared" si="5" ref="C37:I37">+C38-C36-C33-C32-C31</f>
        <v>3197.313482180016</v>
      </c>
      <c r="D37" s="58">
        <f t="shared" si="5"/>
        <v>2866.143132019997</v>
      </c>
      <c r="E37" s="64">
        <f t="shared" si="5"/>
        <v>2952.7950398300018</v>
      </c>
      <c r="F37" s="44">
        <f t="shared" si="5"/>
        <v>3084.5814611400074</v>
      </c>
      <c r="G37" s="44">
        <f t="shared" si="5"/>
        <v>3438.695897040001</v>
      </c>
      <c r="H37" s="44">
        <f t="shared" si="5"/>
        <v>0</v>
      </c>
      <c r="I37" s="44">
        <f t="shared" si="5"/>
        <v>0</v>
      </c>
    </row>
    <row r="38" spans="1:9" ht="15">
      <c r="A38" s="47" t="str">
        <f>HLOOKUP(INDICE!$F$2,Nombres!$C$3:$D$636,58,FALSE)</f>
        <v>Total assets / Liabilities and equity</v>
      </c>
      <c r="B38" s="47">
        <v>110412.30808242998</v>
      </c>
      <c r="C38" s="47">
        <v>114500.55348203002</v>
      </c>
      <c r="D38" s="47">
        <v>113954.54313199</v>
      </c>
      <c r="E38" s="70">
        <v>118105.74403996</v>
      </c>
      <c r="F38" s="47">
        <v>128221.31946123001</v>
      </c>
      <c r="G38" s="51">
        <v>140359.89489705002</v>
      </c>
      <c r="H38" s="51">
        <v>0</v>
      </c>
      <c r="I38" s="51">
        <v>0</v>
      </c>
    </row>
    <row r="39" spans="1:9" ht="15">
      <c r="A39" s="43" t="str">
        <f>HLOOKUP(INDICE!$F$2,Nombres!$C$3:$D$636,59,FALSE)</f>
        <v>Financial liabilities held for trading and designated at fair value through profit or loss</v>
      </c>
      <c r="B39" s="58">
        <v>21138.311000000005</v>
      </c>
      <c r="C39" s="58">
        <v>22387.819</v>
      </c>
      <c r="D39" s="58">
        <v>21232.270999999997</v>
      </c>
      <c r="E39" s="64">
        <v>19843.148</v>
      </c>
      <c r="F39" s="44">
        <v>22773.464000000004</v>
      </c>
      <c r="G39" s="44">
        <v>26796.22899999</v>
      </c>
      <c r="H39" s="44">
        <v>0</v>
      </c>
      <c r="I39" s="44">
        <v>0</v>
      </c>
    </row>
    <row r="40" spans="1:9" ht="15.75" customHeight="1">
      <c r="A40" s="43" t="str">
        <f>HLOOKUP(INDICE!$F$2,Nombres!$C$3:$D$636,60,FALSE)</f>
        <v>Deposits from central banks and credit institutions</v>
      </c>
      <c r="B40" s="58">
        <v>5023.461999990001</v>
      </c>
      <c r="C40" s="58">
        <v>5348.857</v>
      </c>
      <c r="D40" s="58">
        <v>5509.04000001</v>
      </c>
      <c r="E40" s="64">
        <v>3267.822</v>
      </c>
      <c r="F40" s="44">
        <v>2797.4640000100003</v>
      </c>
      <c r="G40" s="44">
        <v>5140.61300001</v>
      </c>
      <c r="H40" s="44">
        <v>0</v>
      </c>
      <c r="I40" s="44">
        <v>0</v>
      </c>
    </row>
    <row r="41" spans="1:9" ht="15">
      <c r="A41" s="43" t="str">
        <f>HLOOKUP(INDICE!$F$2,Nombres!$C$3:$D$636,61,FALSE)</f>
        <v>Deposits from customers</v>
      </c>
      <c r="B41" s="58">
        <v>56832.47199999</v>
      </c>
      <c r="C41" s="58">
        <v>58727.88499998</v>
      </c>
      <c r="D41" s="58">
        <v>58440.05500003</v>
      </c>
      <c r="E41" s="64">
        <v>64003.282999970004</v>
      </c>
      <c r="F41" s="44">
        <v>69536.84699998</v>
      </c>
      <c r="G41" s="44">
        <v>72691.78799998</v>
      </c>
      <c r="H41" s="44">
        <v>0</v>
      </c>
      <c r="I41" s="44">
        <v>0</v>
      </c>
    </row>
    <row r="42" spans="1:9" ht="15">
      <c r="A42" s="43" t="str">
        <f>HLOOKUP(INDICE!$F$2,Nombres!$C$3:$D$636,62,FALSE)</f>
        <v>Debt certificates</v>
      </c>
      <c r="B42" s="44">
        <v>7575.2311366700005</v>
      </c>
      <c r="C42" s="44">
        <v>7896.9549924</v>
      </c>
      <c r="D42" s="44">
        <v>7810.507309169999</v>
      </c>
      <c r="E42" s="45">
        <v>7983.72892324</v>
      </c>
      <c r="F42" s="44">
        <v>8285.599972</v>
      </c>
      <c r="G42" s="44">
        <v>9353.47107761</v>
      </c>
      <c r="H42" s="44">
        <v>0</v>
      </c>
      <c r="I42" s="44">
        <v>0</v>
      </c>
    </row>
    <row r="43" spans="1:9" ht="15" hidden="1">
      <c r="A43" s="43"/>
      <c r="B43" s="44"/>
      <c r="C43" s="44"/>
      <c r="D43" s="44"/>
      <c r="E43" s="45"/>
      <c r="F43" s="44"/>
      <c r="G43" s="44"/>
      <c r="H43" s="44"/>
      <c r="I43" s="44"/>
    </row>
    <row r="44" spans="1:9" ht="15">
      <c r="A44" s="43" t="str">
        <f>HLOOKUP(INDICE!$F$2,Nombres!$C$3:$D$636,63,FALSE)</f>
        <v>Other liabilities</v>
      </c>
      <c r="B44" s="58">
        <f>+B38-B39-B40-B41-B42-B45</f>
        <v>12742.700482829983</v>
      </c>
      <c r="C44" s="58">
        <f aca="true" t="shared" si="6" ref="C44:I44">+C38-C39-C40-C41-C42-C45</f>
        <v>12923.637425000012</v>
      </c>
      <c r="D44" s="58">
        <f t="shared" si="6"/>
        <v>13623.665553149996</v>
      </c>
      <c r="E44" s="64">
        <f t="shared" si="6"/>
        <v>15779.165142289998</v>
      </c>
      <c r="F44" s="44">
        <f t="shared" si="6"/>
        <v>16986.916416210002</v>
      </c>
      <c r="G44" s="44">
        <f t="shared" si="6"/>
        <v>17428.650425560023</v>
      </c>
      <c r="H44" s="44">
        <f t="shared" si="6"/>
        <v>0</v>
      </c>
      <c r="I44" s="44">
        <f t="shared" si="6"/>
        <v>0</v>
      </c>
    </row>
    <row r="45" spans="1:9" ht="15">
      <c r="A45" s="43" t="str">
        <f>HLOOKUP(INDICE!$F$2,Nombres!$C$3:$D$636,282,FALSE)</f>
        <v>Regulatory capital allocated</v>
      </c>
      <c r="B45" s="44">
        <v>7100.131462949998</v>
      </c>
      <c r="C45" s="44">
        <v>7215.400064650003</v>
      </c>
      <c r="D45" s="44">
        <v>7339.004269630001</v>
      </c>
      <c r="E45" s="44">
        <v>7228.596974459999</v>
      </c>
      <c r="F45" s="44">
        <v>7841.02807303</v>
      </c>
      <c r="G45" s="44">
        <v>8949.143393900002</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Relevant business indicators</v>
      </c>
      <c r="B48" s="66"/>
      <c r="C48" s="66"/>
      <c r="D48" s="66"/>
      <c r="E48" s="66"/>
      <c r="F48" s="77"/>
      <c r="G48" s="77"/>
      <c r="H48" s="77"/>
      <c r="I48" s="77"/>
    </row>
    <row r="49" spans="1:9" ht="15">
      <c r="A49" s="35" t="str">
        <f>HLOOKUP(INDICE!$F$2,Nombres!$C$3:$D$636,32,FALSE)</f>
        <v>(Million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Loans and advances to customers (gross) (*)</v>
      </c>
      <c r="B51" s="44">
        <v>53660.75163941001</v>
      </c>
      <c r="C51" s="44">
        <v>54930.873690910004</v>
      </c>
      <c r="D51" s="44">
        <v>54922.70150473</v>
      </c>
      <c r="E51" s="45">
        <v>57846.47314939001</v>
      </c>
      <c r="F51" s="44">
        <v>62982.134498679996</v>
      </c>
      <c r="G51" s="44">
        <v>69442.47632366998</v>
      </c>
      <c r="H51" s="44">
        <v>0</v>
      </c>
      <c r="I51" s="44">
        <v>0</v>
      </c>
    </row>
    <row r="52" spans="1:9" ht="15">
      <c r="A52" s="43" t="str">
        <f>HLOOKUP(INDICE!$F$2,Nombres!$C$3:$D$636,67,FALSE)</f>
        <v>Customer deposits under management (*)</v>
      </c>
      <c r="B52" s="44">
        <v>56488.99468851</v>
      </c>
      <c r="C52" s="44">
        <v>57410.62207279001</v>
      </c>
      <c r="D52" s="44">
        <v>57893.08033935</v>
      </c>
      <c r="E52" s="45">
        <v>63348.80836991</v>
      </c>
      <c r="F52" s="44">
        <v>69088.75408645002</v>
      </c>
      <c r="G52" s="44">
        <v>72038.34278516001</v>
      </c>
      <c r="H52" s="44">
        <v>0</v>
      </c>
      <c r="I52" s="44">
        <v>0</v>
      </c>
    </row>
    <row r="53" spans="1:9" ht="15">
      <c r="A53" s="43" t="str">
        <f>HLOOKUP(INDICE!$F$2,Nombres!$C$3:$D$636,68,FALSE)</f>
        <v>Investment funds and managed portfolios</v>
      </c>
      <c r="B53" s="44">
        <v>27614.32512653</v>
      </c>
      <c r="C53" s="44">
        <v>28698.502462099998</v>
      </c>
      <c r="D53" s="44">
        <v>28985.397012190002</v>
      </c>
      <c r="E53" s="45">
        <v>30185.21800207</v>
      </c>
      <c r="F53" s="44">
        <v>31973.31093321</v>
      </c>
      <c r="G53" s="44">
        <v>33942.19299997</v>
      </c>
      <c r="H53" s="44">
        <v>0</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1898.5095293499999</v>
      </c>
      <c r="C55" s="44">
        <v>2074.3120314</v>
      </c>
      <c r="D55" s="44">
        <v>2036.87402643</v>
      </c>
      <c r="E55" s="45">
        <v>2194.56725774</v>
      </c>
      <c r="F55" s="44">
        <v>2461.04517101</v>
      </c>
      <c r="G55" s="44">
        <v>2965.88928613</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1512.0436575161048</v>
      </c>
      <c r="C64" s="41">
        <v>1529.3377957452506</v>
      </c>
      <c r="D64" s="41">
        <v>1608.4090674955419</v>
      </c>
      <c r="E64" s="42">
        <v>1666.3805090231058</v>
      </c>
      <c r="F64" s="50">
        <v>1811.6840708980278</v>
      </c>
      <c r="G64" s="50">
        <v>1872.307769241972</v>
      </c>
      <c r="H64" s="50">
        <v>0</v>
      </c>
      <c r="I64" s="50">
        <v>0</v>
      </c>
    </row>
    <row r="65" spans="1:9" ht="15">
      <c r="A65" s="43" t="str">
        <f>HLOOKUP(INDICE!$F$2,Nombres!$C$3:$D$636,34,FALSE)</f>
        <v>Net fees and commissions</v>
      </c>
      <c r="B65" s="44">
        <v>311.61826096266805</v>
      </c>
      <c r="C65" s="44">
        <v>325.85447726843984</v>
      </c>
      <c r="D65" s="44">
        <v>337.9591736273506</v>
      </c>
      <c r="E65" s="45">
        <v>335.08725335038076</v>
      </c>
      <c r="F65" s="44">
        <v>355.5689727164286</v>
      </c>
      <c r="G65" s="44">
        <v>387.9423545835715</v>
      </c>
      <c r="H65" s="44">
        <v>0</v>
      </c>
      <c r="I65" s="44">
        <v>0</v>
      </c>
    </row>
    <row r="66" spans="1:9" ht="15">
      <c r="A66" s="43" t="str">
        <f>HLOOKUP(INDICE!$F$2,Nombres!$C$3:$D$636,35,FALSE)</f>
        <v>Net trading income</v>
      </c>
      <c r="B66" s="44">
        <v>76.51978200901817</v>
      </c>
      <c r="C66" s="44">
        <v>104.48426062096681</v>
      </c>
      <c r="D66" s="44">
        <v>93.75904994635314</v>
      </c>
      <c r="E66" s="45">
        <v>121.76572080585348</v>
      </c>
      <c r="F66" s="44">
        <v>95.37618147586521</v>
      </c>
      <c r="G66" s="44">
        <v>131.9165546641348</v>
      </c>
      <c r="H66" s="44">
        <v>0</v>
      </c>
      <c r="I66" s="44">
        <v>0</v>
      </c>
    </row>
    <row r="67" spans="1:9" ht="15">
      <c r="A67" s="43" t="str">
        <f>HLOOKUP(INDICE!$F$2,Nombres!$C$3:$D$636,36,FALSE)</f>
        <v>Other operating income and expenses</v>
      </c>
      <c r="B67" s="44">
        <v>48.482713829763085</v>
      </c>
      <c r="C67" s="44">
        <v>47.428122253383194</v>
      </c>
      <c r="D67" s="44">
        <v>41.6916043985988</v>
      </c>
      <c r="E67" s="45">
        <v>67.71823956225559</v>
      </c>
      <c r="F67" s="44">
        <v>66.17408712353296</v>
      </c>
      <c r="G67" s="44">
        <v>166.00891286646709</v>
      </c>
      <c r="H67" s="44">
        <v>0</v>
      </c>
      <c r="I67" s="44">
        <v>0</v>
      </c>
    </row>
    <row r="68" spans="1:9" ht="15">
      <c r="A68" s="41" t="str">
        <f>HLOOKUP(INDICE!$F$2,Nombres!$C$3:$D$636,37,FALSE)</f>
        <v>Gross income</v>
      </c>
      <c r="B68" s="41">
        <f>+SUM(B64:B67)</f>
        <v>1948.664414317554</v>
      </c>
      <c r="C68" s="41">
        <f aca="true" t="shared" si="9" ref="C68:I68">+SUM(C64:C67)</f>
        <v>2007.1046558880403</v>
      </c>
      <c r="D68" s="41">
        <f t="shared" si="9"/>
        <v>2081.8188954678444</v>
      </c>
      <c r="E68" s="42">
        <f t="shared" si="9"/>
        <v>2190.951722741596</v>
      </c>
      <c r="F68" s="50">
        <f t="shared" si="9"/>
        <v>2328.8033122138545</v>
      </c>
      <c r="G68" s="50">
        <f t="shared" si="9"/>
        <v>2558.1755913561456</v>
      </c>
      <c r="H68" s="50">
        <f t="shared" si="9"/>
        <v>0</v>
      </c>
      <c r="I68" s="50">
        <f t="shared" si="9"/>
        <v>0</v>
      </c>
    </row>
    <row r="69" spans="1:9" ht="15">
      <c r="A69" s="43" t="str">
        <f>HLOOKUP(INDICE!$F$2,Nombres!$C$3:$D$636,38,FALSE)</f>
        <v>Operating expenses</v>
      </c>
      <c r="B69" s="44">
        <v>-695.1533632368369</v>
      </c>
      <c r="C69" s="44">
        <v>-708.3917358359831</v>
      </c>
      <c r="D69" s="44">
        <v>-732.0596298770732</v>
      </c>
      <c r="E69" s="45">
        <v>-767.2609757632229</v>
      </c>
      <c r="F69" s="44">
        <v>-784.7296246275951</v>
      </c>
      <c r="G69" s="44">
        <v>-786.4991997924049</v>
      </c>
      <c r="H69" s="44">
        <v>0</v>
      </c>
      <c r="I69" s="44">
        <v>0</v>
      </c>
    </row>
    <row r="70" spans="1:9" ht="15">
      <c r="A70" s="43" t="str">
        <f>HLOOKUP(INDICE!$F$2,Nombres!$C$3:$D$636,39,FALSE)</f>
        <v>  Administration expenses</v>
      </c>
      <c r="B70" s="44">
        <v>-608.3889222672353</v>
      </c>
      <c r="C70" s="44">
        <v>-622.0767992481502</v>
      </c>
      <c r="D70" s="44">
        <v>-642.4671297122478</v>
      </c>
      <c r="E70" s="45">
        <v>-677.2825458432428</v>
      </c>
      <c r="F70" s="44">
        <v>-690.8417021785991</v>
      </c>
      <c r="G70" s="44">
        <v>-692.4107106514009</v>
      </c>
      <c r="H70" s="44">
        <v>0</v>
      </c>
      <c r="I70" s="44">
        <v>0</v>
      </c>
    </row>
    <row r="71" spans="1:9" ht="15">
      <c r="A71" s="46" t="str">
        <f>HLOOKUP(INDICE!$F$2,Nombres!$C$3:$D$636,40,FALSE)</f>
        <v>  Personnel expenses</v>
      </c>
      <c r="B71" s="44">
        <v>-282.4218546443559</v>
      </c>
      <c r="C71" s="44">
        <v>-293.1995494517685</v>
      </c>
      <c r="D71" s="44">
        <v>-351.3222622025926</v>
      </c>
      <c r="E71" s="45">
        <v>-370.8359506604424</v>
      </c>
      <c r="F71" s="44">
        <v>-346.92212646625376</v>
      </c>
      <c r="G71" s="44">
        <v>-352.15670881374626</v>
      </c>
      <c r="H71" s="44">
        <v>0</v>
      </c>
      <c r="I71" s="44">
        <v>0</v>
      </c>
    </row>
    <row r="72" spans="1:9" ht="15">
      <c r="A72" s="46" t="str">
        <f>HLOOKUP(INDICE!$F$2,Nombres!$C$3:$D$636,41,FALSE)</f>
        <v>  General and administrative expenses</v>
      </c>
      <c r="B72" s="44">
        <v>-325.96706762287954</v>
      </c>
      <c r="C72" s="44">
        <v>-328.87724979638165</v>
      </c>
      <c r="D72" s="44">
        <v>-291.1448675096553</v>
      </c>
      <c r="E72" s="45">
        <v>-306.44659518280037</v>
      </c>
      <c r="F72" s="44">
        <v>-343.91957571234536</v>
      </c>
      <c r="G72" s="44">
        <v>-340.25400183765464</v>
      </c>
      <c r="H72" s="44">
        <v>0</v>
      </c>
      <c r="I72" s="44">
        <v>0</v>
      </c>
    </row>
    <row r="73" spans="1:9" ht="15">
      <c r="A73" s="43" t="str">
        <f>HLOOKUP(INDICE!$F$2,Nombres!$C$3:$D$636,42,FALSE)</f>
        <v>  Depreciation</v>
      </c>
      <c r="B73" s="44">
        <v>-86.76444096960148</v>
      </c>
      <c r="C73" s="44">
        <v>-86.3149365878329</v>
      </c>
      <c r="D73" s="44">
        <v>-89.59250016482541</v>
      </c>
      <c r="E73" s="45">
        <v>-89.9784299199801</v>
      </c>
      <c r="F73" s="44">
        <v>-93.88792244899595</v>
      </c>
      <c r="G73" s="44">
        <v>-94.08848914100405</v>
      </c>
      <c r="H73" s="44">
        <v>0</v>
      </c>
      <c r="I73" s="44">
        <v>0</v>
      </c>
    </row>
    <row r="74" spans="1:9" ht="15">
      <c r="A74" s="41" t="str">
        <f>HLOOKUP(INDICE!$F$2,Nombres!$C$3:$D$636,43,FALSE)</f>
        <v>Operating income</v>
      </c>
      <c r="B74" s="41">
        <f>+B68+B69</f>
        <v>1253.5110510807172</v>
      </c>
      <c r="C74" s="41">
        <f aca="true" t="shared" si="10" ref="C74:I74">+C68+C69</f>
        <v>1298.7129200520571</v>
      </c>
      <c r="D74" s="41">
        <f t="shared" si="10"/>
        <v>1349.759265590771</v>
      </c>
      <c r="E74" s="42">
        <f t="shared" si="10"/>
        <v>1423.690746978373</v>
      </c>
      <c r="F74" s="50">
        <f t="shared" si="10"/>
        <v>1544.0736875862594</v>
      </c>
      <c r="G74" s="50">
        <f t="shared" si="10"/>
        <v>1771.6763915637407</v>
      </c>
      <c r="H74" s="50">
        <f t="shared" si="10"/>
        <v>0</v>
      </c>
      <c r="I74" s="50">
        <f t="shared" si="10"/>
        <v>0</v>
      </c>
    </row>
    <row r="75" spans="1:9" ht="15">
      <c r="A75" s="43" t="str">
        <f>HLOOKUP(INDICE!$F$2,Nombres!$C$3:$D$636,44,FALSE)</f>
        <v>Impaiment on financial assets not measured at fair value through profit or loss</v>
      </c>
      <c r="B75" s="44">
        <v>-506.76925491143567</v>
      </c>
      <c r="C75" s="44">
        <v>-306.77989450828494</v>
      </c>
      <c r="D75" s="44">
        <v>-354.82714205939095</v>
      </c>
      <c r="E75" s="45">
        <v>-390.5554946245573</v>
      </c>
      <c r="F75" s="44">
        <v>-434.44582416914886</v>
      </c>
      <c r="G75" s="44">
        <v>-370.86217583085147</v>
      </c>
      <c r="H75" s="44">
        <v>0</v>
      </c>
      <c r="I75" s="44">
        <v>0</v>
      </c>
    </row>
    <row r="76" spans="1:9" ht="15">
      <c r="A76" s="43" t="str">
        <f>HLOOKUP(INDICE!$F$2,Nombres!$C$3:$D$636,45,FALSE)</f>
        <v>Provisions or reversal of provisions and other results</v>
      </c>
      <c r="B76" s="44">
        <v>2.0020825075547313</v>
      </c>
      <c r="C76" s="44">
        <v>7.730913172850391</v>
      </c>
      <c r="D76" s="44">
        <v>9.563350837210926</v>
      </c>
      <c r="E76" s="45">
        <v>7.179328749597499</v>
      </c>
      <c r="F76" s="44">
        <v>-1.317568247188012</v>
      </c>
      <c r="G76" s="44">
        <v>-7.54843173281199</v>
      </c>
      <c r="H76" s="44">
        <v>0</v>
      </c>
      <c r="I76" s="44">
        <v>0</v>
      </c>
    </row>
    <row r="77" spans="1:9" ht="15">
      <c r="A77" s="41" t="str">
        <f>HLOOKUP(INDICE!$F$2,Nombres!$C$3:$D$636,46,FALSE)</f>
        <v>Profit/(loss) before tax</v>
      </c>
      <c r="B77" s="41">
        <f>+B74+B75+B76</f>
        <v>748.7438786768363</v>
      </c>
      <c r="C77" s="41">
        <f aca="true" t="shared" si="11" ref="C77:I77">+C74+C75+C76</f>
        <v>999.6639387166225</v>
      </c>
      <c r="D77" s="41">
        <f t="shared" si="11"/>
        <v>1004.495474368591</v>
      </c>
      <c r="E77" s="42">
        <f t="shared" si="11"/>
        <v>1040.3145811034133</v>
      </c>
      <c r="F77" s="50">
        <f t="shared" si="11"/>
        <v>1108.3102951699225</v>
      </c>
      <c r="G77" s="50">
        <f t="shared" si="11"/>
        <v>1393.2657840000775</v>
      </c>
      <c r="H77" s="50">
        <f t="shared" si="11"/>
        <v>0</v>
      </c>
      <c r="I77" s="50">
        <f t="shared" si="11"/>
        <v>0</v>
      </c>
    </row>
    <row r="78" spans="1:9" ht="15">
      <c r="A78" s="43" t="str">
        <f>HLOOKUP(INDICE!$F$2,Nombres!$C$3:$D$636,47,FALSE)</f>
        <v>Income tax</v>
      </c>
      <c r="B78" s="44">
        <v>-207.6347251576094</v>
      </c>
      <c r="C78" s="44">
        <v>-312.82926450397895</v>
      </c>
      <c r="D78" s="44">
        <v>-277.52018681246517</v>
      </c>
      <c r="E78" s="45">
        <v>-233.46704331967487</v>
      </c>
      <c r="F78" s="44">
        <v>-301.8879198131027</v>
      </c>
      <c r="G78" s="44">
        <v>-378.7339985468973</v>
      </c>
      <c r="H78" s="44">
        <v>0</v>
      </c>
      <c r="I78" s="44">
        <v>0</v>
      </c>
    </row>
    <row r="79" spans="1:9" ht="15">
      <c r="A79" s="41" t="str">
        <f>HLOOKUP(INDICE!$F$2,Nombres!$C$3:$D$636,48,FALSE)</f>
        <v>Profit/(loss) for the year</v>
      </c>
      <c r="B79" s="41">
        <f>+B77+B78</f>
        <v>541.1091535192269</v>
      </c>
      <c r="C79" s="41">
        <f aca="true" t="shared" si="12" ref="C79:I79">+C77+C78</f>
        <v>686.8346742126436</v>
      </c>
      <c r="D79" s="41">
        <f t="shared" si="12"/>
        <v>726.9752875561257</v>
      </c>
      <c r="E79" s="42">
        <f t="shared" si="12"/>
        <v>806.8475377837384</v>
      </c>
      <c r="F79" s="50">
        <f t="shared" si="12"/>
        <v>806.4223753568198</v>
      </c>
      <c r="G79" s="50">
        <f t="shared" si="12"/>
        <v>1014.5317854531802</v>
      </c>
      <c r="H79" s="50">
        <f t="shared" si="12"/>
        <v>0</v>
      </c>
      <c r="I79" s="50">
        <f t="shared" si="12"/>
        <v>0</v>
      </c>
    </row>
    <row r="80" spans="1:9" ht="15">
      <c r="A80" s="43" t="str">
        <f>HLOOKUP(INDICE!$F$2,Nombres!$C$3:$D$636,49,FALSE)</f>
        <v>Non-controlling interests</v>
      </c>
      <c r="B80" s="44">
        <v>-0.09407242400420116</v>
      </c>
      <c r="C80" s="44">
        <v>-0.1320210708564652</v>
      </c>
      <c r="D80" s="44">
        <v>-0.13132672853027377</v>
      </c>
      <c r="E80" s="45">
        <v>-0.15231011756116036</v>
      </c>
      <c r="F80" s="44">
        <v>-0.14420628847175834</v>
      </c>
      <c r="G80" s="44">
        <v>-0.17979371152824167</v>
      </c>
      <c r="H80" s="44">
        <v>0</v>
      </c>
      <c r="I80" s="44">
        <v>0</v>
      </c>
    </row>
    <row r="81" spans="1:9" ht="15">
      <c r="A81" s="47" t="str">
        <f>HLOOKUP(INDICE!$F$2,Nombres!$C$3:$D$636,50,FALSE)</f>
        <v>Net attributable profit</v>
      </c>
      <c r="B81" s="47">
        <f>+B79+B80</f>
        <v>541.0150810952226</v>
      </c>
      <c r="C81" s="47">
        <f aca="true" t="shared" si="13" ref="C81:I81">+C79+C80</f>
        <v>686.7026531417871</v>
      </c>
      <c r="D81" s="47">
        <f t="shared" si="13"/>
        <v>726.8439608275954</v>
      </c>
      <c r="E81" s="47">
        <f t="shared" si="13"/>
        <v>806.6952276661773</v>
      </c>
      <c r="F81" s="51">
        <f t="shared" si="13"/>
        <v>806.278169068348</v>
      </c>
      <c r="G81" s="51">
        <f t="shared" si="13"/>
        <v>1014.351991741652</v>
      </c>
      <c r="H81" s="51">
        <f t="shared" si="13"/>
        <v>0</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12208.194510227047</v>
      </c>
      <c r="C87" s="44">
        <v>14730.465402389487</v>
      </c>
      <c r="D87" s="44">
        <v>15603.738445637508</v>
      </c>
      <c r="E87" s="45">
        <v>14334.935723742181</v>
      </c>
      <c r="F87" s="44">
        <v>15728.56841028195</v>
      </c>
      <c r="G87" s="44">
        <v>16588.829999989997</v>
      </c>
      <c r="H87" s="44">
        <v>0</v>
      </c>
      <c r="I87" s="44">
        <v>0</v>
      </c>
    </row>
    <row r="88" spans="1:9" ht="15">
      <c r="A88" s="43" t="str">
        <f>HLOOKUP(INDICE!$F$2,Nombres!$C$3:$D$636,53,FALSE)</f>
        <v>Financial assets designated at fair value </v>
      </c>
      <c r="B88" s="58">
        <v>38907.99607520998</v>
      </c>
      <c r="C88" s="58">
        <v>39024.32314148424</v>
      </c>
      <c r="D88" s="58">
        <v>37910.38616978168</v>
      </c>
      <c r="E88" s="64">
        <v>38777.70676550139</v>
      </c>
      <c r="F88" s="44">
        <v>39501.558744263995</v>
      </c>
      <c r="G88" s="44">
        <v>39991.07999997</v>
      </c>
      <c r="H88" s="44">
        <v>0</v>
      </c>
      <c r="I88" s="44">
        <v>0</v>
      </c>
    </row>
    <row r="89" spans="1:9" ht="15">
      <c r="A89" s="43" t="str">
        <f>HLOOKUP(INDICE!$F$2,Nombres!$C$3:$D$636,54,FALSE)</f>
        <v>Financial assets at amortized cost</v>
      </c>
      <c r="B89" s="44">
        <v>69817.96105340889</v>
      </c>
      <c r="C89" s="44">
        <v>69559.94540856821</v>
      </c>
      <c r="D89" s="44">
        <v>70442.76839975745</v>
      </c>
      <c r="E89" s="45">
        <v>72102.10163052348</v>
      </c>
      <c r="F89" s="44">
        <v>74763.2363409628</v>
      </c>
      <c r="G89" s="44">
        <v>78487.42600005</v>
      </c>
      <c r="H89" s="44">
        <v>0</v>
      </c>
      <c r="I89" s="44">
        <v>0</v>
      </c>
    </row>
    <row r="90" spans="1:9" ht="15">
      <c r="A90" s="43" t="str">
        <f>HLOOKUP(INDICE!$F$2,Nombres!$C$3:$D$636,55,FALSE)</f>
        <v>    of which loans and advances to customers</v>
      </c>
      <c r="B90" s="44">
        <v>59110.47942485104</v>
      </c>
      <c r="C90" s="44">
        <v>59467.07408042136</v>
      </c>
      <c r="D90" s="44">
        <v>60043.57875876432</v>
      </c>
      <c r="E90" s="45">
        <v>61611.50783981308</v>
      </c>
      <c r="F90" s="44">
        <v>64006.92691049706</v>
      </c>
      <c r="G90" s="44">
        <v>67020.08700003</v>
      </c>
      <c r="H90" s="44">
        <v>0</v>
      </c>
      <c r="I90" s="44">
        <v>0</v>
      </c>
    </row>
    <row r="91" spans="1:9" ht="15" hidden="1">
      <c r="A91" s="43"/>
      <c r="B91" s="44"/>
      <c r="C91" s="44"/>
      <c r="D91" s="44"/>
      <c r="E91" s="45"/>
      <c r="F91" s="44"/>
      <c r="G91" s="44"/>
      <c r="H91" s="44"/>
      <c r="I91" s="44"/>
    </row>
    <row r="92" spans="1:9" ht="15">
      <c r="A92" s="43" t="str">
        <f>HLOOKUP(INDICE!$F$2,Nombres!$C$3:$D$636,56,FALSE)</f>
        <v>Tangible assets</v>
      </c>
      <c r="B92" s="44">
        <v>1885.992156737393</v>
      </c>
      <c r="C92" s="44">
        <v>1868.4274517040362</v>
      </c>
      <c r="D92" s="44">
        <v>1861.618665074884</v>
      </c>
      <c r="E92" s="45">
        <v>1911.0004159269567</v>
      </c>
      <c r="F92" s="44">
        <v>1865.771093692208</v>
      </c>
      <c r="G92" s="44">
        <v>1853.8629999999998</v>
      </c>
      <c r="H92" s="44">
        <v>0</v>
      </c>
      <c r="I92" s="44">
        <v>0</v>
      </c>
    </row>
    <row r="93" spans="1:9" ht="15">
      <c r="A93" s="43" t="str">
        <f>HLOOKUP(INDICE!$F$2,Nombres!$C$3:$D$636,57,FALSE)</f>
        <v>Other assets</v>
      </c>
      <c r="B93" s="58">
        <f>+B94-B92-B89-B88-B87</f>
        <v>3847.934335462982</v>
      </c>
      <c r="C93" s="58">
        <f aca="true" t="shared" si="15" ref="C93:I93">+C94-C92-C89-C88-C87</f>
        <v>3596.0301757606685</v>
      </c>
      <c r="D93" s="58">
        <f t="shared" si="15"/>
        <v>3246.1882890871348</v>
      </c>
      <c r="E93" s="64">
        <f t="shared" si="15"/>
        <v>3259.805946431041</v>
      </c>
      <c r="F93" s="44">
        <f t="shared" si="15"/>
        <v>3250.286434951806</v>
      </c>
      <c r="G93" s="44">
        <f t="shared" si="15"/>
        <v>3438.695897040001</v>
      </c>
      <c r="H93" s="44">
        <f t="shared" si="15"/>
        <v>0</v>
      </c>
      <c r="I93" s="44">
        <f t="shared" si="15"/>
        <v>0</v>
      </c>
    </row>
    <row r="94" spans="1:9" ht="15">
      <c r="A94" s="47" t="str">
        <f>HLOOKUP(INDICE!$F$2,Nombres!$C$3:$D$636,58,FALSE)</f>
        <v>Total assets / Liabilities and equity</v>
      </c>
      <c r="B94" s="47">
        <v>126668.07813104629</v>
      </c>
      <c r="C94" s="47">
        <v>128779.19157990663</v>
      </c>
      <c r="D94" s="47">
        <v>129064.69996933866</v>
      </c>
      <c r="E94" s="47">
        <v>130385.55048212505</v>
      </c>
      <c r="F94" s="51">
        <v>135109.42102415275</v>
      </c>
      <c r="G94" s="51">
        <v>140359.89489705002</v>
      </c>
      <c r="H94" s="51">
        <v>0</v>
      </c>
      <c r="I94" s="51">
        <v>0</v>
      </c>
    </row>
    <row r="95" spans="1:9" ht="15">
      <c r="A95" s="43" t="str">
        <f>HLOOKUP(INDICE!$F$2,Nombres!$C$3:$D$636,59,FALSE)</f>
        <v>Financial liabilities held for trading and designated at fair value through profit or loss</v>
      </c>
      <c r="B95" s="58">
        <v>24250.459716025405</v>
      </c>
      <c r="C95" s="58">
        <v>25179.66197001617</v>
      </c>
      <c r="D95" s="58">
        <v>24047.629966877612</v>
      </c>
      <c r="E95" s="64">
        <v>21906.299277052123</v>
      </c>
      <c r="F95" s="44">
        <v>23996.863771821852</v>
      </c>
      <c r="G95" s="44">
        <v>26796.22899999</v>
      </c>
      <c r="H95" s="44">
        <v>0</v>
      </c>
      <c r="I95" s="44">
        <v>0</v>
      </c>
    </row>
    <row r="96" spans="1:9" ht="15">
      <c r="A96" s="43" t="str">
        <f>HLOOKUP(INDICE!$F$2,Nombres!$C$3:$D$636,60,FALSE)</f>
        <v>Deposits from central banks and credit institutions</v>
      </c>
      <c r="B96" s="58">
        <v>5763.05566067894</v>
      </c>
      <c r="C96" s="58">
        <v>6015.879045026886</v>
      </c>
      <c r="D96" s="58">
        <v>6239.528281876581</v>
      </c>
      <c r="E96" s="64">
        <v>3607.587199175</v>
      </c>
      <c r="F96" s="44">
        <v>2947.7449067395196</v>
      </c>
      <c r="G96" s="44">
        <v>5140.61300001</v>
      </c>
      <c r="H96" s="44">
        <v>0</v>
      </c>
      <c r="I96" s="44">
        <v>0</v>
      </c>
    </row>
    <row r="97" spans="1:9" ht="15">
      <c r="A97" s="43" t="str">
        <f>HLOOKUP(INDICE!$F$2,Nombres!$C$3:$D$636,61,FALSE)</f>
        <v>Deposits from customers</v>
      </c>
      <c r="B97" s="58">
        <v>65199.7963696295</v>
      </c>
      <c r="C97" s="58">
        <v>66051.46720694318</v>
      </c>
      <c r="D97" s="58">
        <v>66189.0957347284</v>
      </c>
      <c r="E97" s="64">
        <v>70657.89521457005</v>
      </c>
      <c r="F97" s="44">
        <v>73272.39477404664</v>
      </c>
      <c r="G97" s="44">
        <v>72691.78799998</v>
      </c>
      <c r="H97" s="44">
        <v>0</v>
      </c>
      <c r="I97" s="44">
        <v>0</v>
      </c>
    </row>
    <row r="98" spans="1:9" ht="15">
      <c r="A98" s="43" t="str">
        <f>HLOOKUP(INDICE!$F$2,Nombres!$C$3:$D$636,62,FALSE)</f>
        <v>Debt certificates</v>
      </c>
      <c r="B98" s="44">
        <v>8690.516357688048</v>
      </c>
      <c r="C98" s="44">
        <v>8881.734183265622</v>
      </c>
      <c r="D98" s="44">
        <v>8846.165802259831</v>
      </c>
      <c r="E98" s="45">
        <v>8813.821029775747</v>
      </c>
      <c r="F98" s="44">
        <v>8730.705780898987</v>
      </c>
      <c r="G98" s="44">
        <v>9353.47107761</v>
      </c>
      <c r="H98" s="44">
        <v>0</v>
      </c>
      <c r="I98" s="44">
        <v>0</v>
      </c>
    </row>
    <row r="99" spans="1:9" ht="15" hidden="1">
      <c r="A99" s="43"/>
      <c r="B99" s="44"/>
      <c r="C99" s="44"/>
      <c r="D99" s="44"/>
      <c r="E99" s="45"/>
      <c r="F99" s="44"/>
      <c r="G99" s="44"/>
      <c r="H99" s="44"/>
      <c r="I99" s="44"/>
    </row>
    <row r="100" spans="1:9" ht="15">
      <c r="A100" s="43" t="str">
        <f>HLOOKUP(INDICE!$F$2,Nombres!$C$3:$D$636,63,FALSE)</f>
        <v>Other liabilities</v>
      </c>
      <c r="B100" s="58">
        <f>+B94-B95-B96-B97-B98-B101</f>
        <v>14618.781260822914</v>
      </c>
      <c r="C100" s="58">
        <f aca="true" t="shared" si="16" ref="C100:I100">+C94-C95-C96-C97-C98-C101</f>
        <v>14535.262313160143</v>
      </c>
      <c r="D100" s="58">
        <f t="shared" si="16"/>
        <v>15430.137831918591</v>
      </c>
      <c r="E100" s="64">
        <f t="shared" si="16"/>
        <v>17419.772001349455</v>
      </c>
      <c r="F100" s="44">
        <f t="shared" si="16"/>
        <v>17899.460492400925</v>
      </c>
      <c r="G100" s="44">
        <f t="shared" si="16"/>
        <v>17428.650425560023</v>
      </c>
      <c r="H100" s="44">
        <f t="shared" si="16"/>
        <v>0</v>
      </c>
      <c r="I100" s="44">
        <f t="shared" si="16"/>
        <v>0</v>
      </c>
    </row>
    <row r="101" spans="1:9" ht="15">
      <c r="A101" s="43" t="str">
        <f>HLOOKUP(INDICE!$F$2,Nombres!$C$3:$D$636,282,FALSE)</f>
        <v>Regulatory capital allocated</v>
      </c>
      <c r="B101" s="44">
        <v>8145.468766201495</v>
      </c>
      <c r="C101" s="44">
        <v>8115.186861494629</v>
      </c>
      <c r="D101" s="44">
        <v>8312.14235167765</v>
      </c>
      <c r="E101" s="44">
        <v>7980.175760202677</v>
      </c>
      <c r="F101" s="44">
        <v>8262.251298244822</v>
      </c>
      <c r="G101" s="44">
        <v>8949.143393900002</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Relevant business indicators</v>
      </c>
      <c r="B104" s="66"/>
      <c r="C104" s="66"/>
      <c r="D104" s="66"/>
      <c r="E104" s="66"/>
      <c r="F104" s="71"/>
      <c r="G104" s="71"/>
      <c r="H104" s="71"/>
      <c r="I104" s="71"/>
    </row>
    <row r="105" spans="1:9" ht="15">
      <c r="A105" s="35" t="str">
        <f>HLOOKUP(INDICE!$F$2,Nombres!$C$3:$D$636,73,FALSE)</f>
        <v>(Constant million euros)    </v>
      </c>
      <c r="B105" s="30"/>
      <c r="C105" s="30"/>
      <c r="D105" s="30"/>
      <c r="E105" s="30"/>
      <c r="F105" s="69"/>
      <c r="G105" s="69"/>
      <c r="H105" s="69"/>
      <c r="I105" s="69"/>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61561.110344301225</v>
      </c>
      <c r="C107" s="44">
        <v>61780.9546903505</v>
      </c>
      <c r="D107" s="44">
        <v>62205.34782016579</v>
      </c>
      <c r="E107" s="45">
        <v>63860.943481976596</v>
      </c>
      <c r="F107" s="44">
        <v>66365.56044453253</v>
      </c>
      <c r="G107" s="44">
        <v>69442.47632366998</v>
      </c>
      <c r="H107" s="44">
        <v>0</v>
      </c>
      <c r="I107" s="44">
        <v>0</v>
      </c>
    </row>
    <row r="108" spans="1:9" ht="15">
      <c r="A108" s="43" t="str">
        <f>HLOOKUP(INDICE!$F$2,Nombres!$C$3:$D$636,67,FALSE)</f>
        <v>Customer deposits under management (*)</v>
      </c>
      <c r="B108" s="44">
        <v>64805.74962174058</v>
      </c>
      <c r="C108" s="44">
        <v>64569.93677147386</v>
      </c>
      <c r="D108" s="44">
        <v>65569.59326882208</v>
      </c>
      <c r="E108" s="45">
        <v>69935.37290534105</v>
      </c>
      <c r="F108" s="44">
        <v>72800.23012649463</v>
      </c>
      <c r="G108" s="44">
        <v>72038.34278516001</v>
      </c>
      <c r="H108" s="44">
        <v>0</v>
      </c>
      <c r="I108" s="44">
        <v>0</v>
      </c>
    </row>
    <row r="109" spans="1:9" ht="15">
      <c r="A109" s="43" t="str">
        <f>HLOOKUP(INDICE!$F$2,Nombres!$C$3:$D$636,68,FALSE)</f>
        <v>Investment funds and managed portfolios</v>
      </c>
      <c r="B109" s="44">
        <v>31679.92367347343</v>
      </c>
      <c r="C109" s="44">
        <v>32277.31075730757</v>
      </c>
      <c r="D109" s="44">
        <v>32828.80582073322</v>
      </c>
      <c r="E109" s="45">
        <v>33323.66514105558</v>
      </c>
      <c r="F109" s="44">
        <v>33690.9302334657</v>
      </c>
      <c r="G109" s="44">
        <v>33942.19299997</v>
      </c>
      <c r="H109" s="44">
        <v>0</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2178.0230625801905</v>
      </c>
      <c r="C111" s="44">
        <v>2332.9863338179375</v>
      </c>
      <c r="D111" s="44">
        <v>2306.9596689272066</v>
      </c>
      <c r="E111" s="45">
        <v>2422.742960525821</v>
      </c>
      <c r="F111" s="44">
        <v>2593.253521072902</v>
      </c>
      <c r="G111" s="44">
        <v>2965.88928613</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HLOOKUP(INDICE!$F$2,Nombres!$C$3:$D$636,74,FALSE)</f>
        <v>(Million Mexican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41">
        <v>33509.60308059932</v>
      </c>
      <c r="C120" s="41">
        <v>33892.87224402525</v>
      </c>
      <c r="D120" s="41">
        <v>35645.2336379966</v>
      </c>
      <c r="E120" s="42">
        <v>36929.98489894235</v>
      </c>
      <c r="F120" s="50">
        <v>40150.17279525254</v>
      </c>
      <c r="G120" s="50">
        <v>41493.70283070188</v>
      </c>
      <c r="H120" s="50">
        <v>0</v>
      </c>
      <c r="I120" s="50">
        <v>0</v>
      </c>
    </row>
    <row r="121" spans="1:9" ht="15">
      <c r="A121" s="43" t="str">
        <f>HLOOKUP(INDICE!$F$2,Nombres!$C$3:$D$636,34,FALSE)</f>
        <v>Net fees and commissions</v>
      </c>
      <c r="B121" s="44">
        <v>6906.020329253886</v>
      </c>
      <c r="C121" s="44">
        <v>7221.520450830826</v>
      </c>
      <c r="D121" s="44">
        <v>7489.782262176015</v>
      </c>
      <c r="E121" s="45">
        <v>7426.1353508702405</v>
      </c>
      <c r="F121" s="44">
        <v>7880.047037184879</v>
      </c>
      <c r="G121" s="44">
        <v>8597.499321946752</v>
      </c>
      <c r="H121" s="44">
        <v>0</v>
      </c>
      <c r="I121" s="44">
        <v>0</v>
      </c>
    </row>
    <row r="122" spans="1:9" ht="15">
      <c r="A122" s="43" t="str">
        <f>HLOOKUP(INDICE!$F$2,Nombres!$C$3:$D$636,35,FALSE)</f>
        <v>Net trading income</v>
      </c>
      <c r="B122" s="44">
        <v>1695.8157988297858</v>
      </c>
      <c r="C122" s="44">
        <v>2315.558869067377</v>
      </c>
      <c r="D122" s="44">
        <v>2077.868938042165</v>
      </c>
      <c r="E122" s="45">
        <v>2698.547064262767</v>
      </c>
      <c r="F122" s="44">
        <v>2113.707477103988</v>
      </c>
      <c r="G122" s="44">
        <v>2923.5077734574324</v>
      </c>
      <c r="H122" s="44">
        <v>0</v>
      </c>
      <c r="I122" s="44">
        <v>0</v>
      </c>
    </row>
    <row r="123" spans="1:9" ht="15">
      <c r="A123" s="43" t="str">
        <f>HLOOKUP(INDICE!$F$2,Nombres!$C$3:$D$636,36,FALSE)</f>
        <v>Other operating income and expenses</v>
      </c>
      <c r="B123" s="44">
        <v>1074.464013409838</v>
      </c>
      <c r="C123" s="44">
        <v>1051.0923700310425</v>
      </c>
      <c r="D123" s="44">
        <v>923.9608315843525</v>
      </c>
      <c r="E123" s="45">
        <v>1500.7578106414214</v>
      </c>
      <c r="F123" s="44">
        <v>1466.536619301929</v>
      </c>
      <c r="G123" s="44">
        <v>3679.055661088182</v>
      </c>
      <c r="H123" s="44">
        <v>0</v>
      </c>
      <c r="I123" s="44">
        <v>0</v>
      </c>
    </row>
    <row r="124" spans="1:9" ht="15">
      <c r="A124" s="41" t="str">
        <f>HLOOKUP(INDICE!$F$2,Nombres!$C$3:$D$636,37,FALSE)</f>
        <v>Gross income</v>
      </c>
      <c r="B124" s="41">
        <f>+SUM(B120:B123)</f>
        <v>43185.90322209283</v>
      </c>
      <c r="C124" s="41">
        <f aca="true" t="shared" si="19" ref="C124:I124">+SUM(C120:C123)</f>
        <v>44481.0439339545</v>
      </c>
      <c r="D124" s="41">
        <f t="shared" si="19"/>
        <v>46136.84566979913</v>
      </c>
      <c r="E124" s="42">
        <f t="shared" si="19"/>
        <v>48555.42512471678</v>
      </c>
      <c r="F124" s="50">
        <f t="shared" si="19"/>
        <v>51610.46392884334</v>
      </c>
      <c r="G124" s="50">
        <f t="shared" si="19"/>
        <v>56693.76558719424</v>
      </c>
      <c r="H124" s="50">
        <f t="shared" si="19"/>
        <v>0</v>
      </c>
      <c r="I124" s="50">
        <f t="shared" si="19"/>
        <v>0</v>
      </c>
    </row>
    <row r="125" spans="1:9" ht="15">
      <c r="A125" s="43" t="str">
        <f>HLOOKUP(INDICE!$F$2,Nombres!$C$3:$D$636,38,FALSE)</f>
        <v>Operating expenses</v>
      </c>
      <c r="B125" s="44">
        <v>-15405.8470246002</v>
      </c>
      <c r="C125" s="44">
        <v>-15699.233137511255</v>
      </c>
      <c r="D125" s="44">
        <v>-16223.756176993777</v>
      </c>
      <c r="E125" s="45">
        <v>-17003.881223439526</v>
      </c>
      <c r="F125" s="44">
        <v>-17391.017855963146</v>
      </c>
      <c r="G125" s="44">
        <v>-17430.234819771904</v>
      </c>
      <c r="H125" s="44">
        <v>0</v>
      </c>
      <c r="I125" s="44">
        <v>0</v>
      </c>
    </row>
    <row r="126" spans="1:9" ht="15">
      <c r="A126" s="43" t="str">
        <f>HLOOKUP(INDICE!$F$2,Nombres!$C$3:$D$636,39,FALSE)</f>
        <v>  Administration expenses</v>
      </c>
      <c r="B126" s="44">
        <v>-13482.991183798877</v>
      </c>
      <c r="C126" s="44">
        <v>-13786.339121119687</v>
      </c>
      <c r="D126" s="44">
        <v>-14238.225465232661</v>
      </c>
      <c r="E126" s="45">
        <v>-15009.797615174439</v>
      </c>
      <c r="F126" s="44">
        <v>-15310.292871807433</v>
      </c>
      <c r="G126" s="44">
        <v>-15345.064917503558</v>
      </c>
      <c r="H126" s="44">
        <v>0</v>
      </c>
      <c r="I126" s="44">
        <v>0</v>
      </c>
    </row>
    <row r="127" spans="1:9" ht="15">
      <c r="A127" s="46" t="str">
        <f>HLOOKUP(INDICE!$F$2,Nombres!$C$3:$D$636,40,FALSE)</f>
        <v>  Personnel expenses</v>
      </c>
      <c r="B127" s="44">
        <v>-6258.97552850142</v>
      </c>
      <c r="C127" s="44">
        <v>-6497.828602170945</v>
      </c>
      <c r="D127" s="44">
        <v>-7785.932305107218</v>
      </c>
      <c r="E127" s="45">
        <v>-8218.39068791291</v>
      </c>
      <c r="F127" s="44">
        <v>-7688.417394547235</v>
      </c>
      <c r="G127" s="44">
        <v>-7804.425140676298</v>
      </c>
      <c r="H127" s="44">
        <v>0</v>
      </c>
      <c r="I127" s="44">
        <v>0</v>
      </c>
    </row>
    <row r="128" spans="1:9" ht="15">
      <c r="A128" s="46" t="str">
        <f>HLOOKUP(INDICE!$F$2,Nombres!$C$3:$D$636,41,FALSE)</f>
        <v>  General and administrative expenses</v>
      </c>
      <c r="B128" s="44">
        <v>-7224.015655297459</v>
      </c>
      <c r="C128" s="44">
        <v>-7288.510518948745</v>
      </c>
      <c r="D128" s="44">
        <v>-6452.293160125444</v>
      </c>
      <c r="E128" s="45">
        <v>-6791.406927261529</v>
      </c>
      <c r="F128" s="44">
        <v>-7621.875477260197</v>
      </c>
      <c r="G128" s="44">
        <v>-7540.639776827262</v>
      </c>
      <c r="H128" s="44">
        <v>0</v>
      </c>
      <c r="I128" s="44">
        <v>0</v>
      </c>
    </row>
    <row r="129" spans="1:9" ht="15">
      <c r="A129" s="43" t="str">
        <f>HLOOKUP(INDICE!$F$2,Nombres!$C$3:$D$636,42,FALSE)</f>
        <v>  Depreciation</v>
      </c>
      <c r="B129" s="44">
        <v>-1922.8558408013214</v>
      </c>
      <c r="C129" s="44">
        <v>-1912.894016391569</v>
      </c>
      <c r="D129" s="44">
        <v>-1985.5307117611126</v>
      </c>
      <c r="E129" s="45">
        <v>-1994.0836082650867</v>
      </c>
      <c r="F129" s="44">
        <v>-2080.724984155713</v>
      </c>
      <c r="G129" s="44">
        <v>-2085.1699022683433</v>
      </c>
      <c r="H129" s="44">
        <v>0</v>
      </c>
      <c r="I129" s="44">
        <v>0</v>
      </c>
    </row>
    <row r="130" spans="1:9" ht="15">
      <c r="A130" s="41" t="str">
        <f>HLOOKUP(INDICE!$F$2,Nombres!$C$3:$D$636,43,FALSE)</f>
        <v>Operating income</v>
      </c>
      <c r="B130" s="41">
        <f>+B124+B125</f>
        <v>27780.056197492628</v>
      </c>
      <c r="C130" s="41">
        <f aca="true" t="shared" si="20" ref="C130:I130">+C124+C125</f>
        <v>28781.810796443242</v>
      </c>
      <c r="D130" s="41">
        <f t="shared" si="20"/>
        <v>29913.089492805353</v>
      </c>
      <c r="E130" s="42">
        <f t="shared" si="20"/>
        <v>31551.54390127725</v>
      </c>
      <c r="F130" s="50">
        <f t="shared" si="20"/>
        <v>34219.44607288019</v>
      </c>
      <c r="G130" s="50">
        <f t="shared" si="20"/>
        <v>39263.53076742234</v>
      </c>
      <c r="H130" s="50">
        <f t="shared" si="20"/>
        <v>0</v>
      </c>
      <c r="I130" s="50">
        <f t="shared" si="20"/>
        <v>0</v>
      </c>
    </row>
    <row r="131" spans="1:9" ht="15">
      <c r="A131" s="43" t="str">
        <f>HLOOKUP(INDICE!$F$2,Nombres!$C$3:$D$636,44,FALSE)</f>
        <v>Impaiment on financial assets not measured at fair value through profit or loss</v>
      </c>
      <c r="B131" s="44">
        <v>-11230.916846296415</v>
      </c>
      <c r="C131" s="44">
        <v>-6798.793438919782</v>
      </c>
      <c r="D131" s="44">
        <v>-7863.606737497242</v>
      </c>
      <c r="E131" s="45">
        <v>-8655.411198453878</v>
      </c>
      <c r="F131" s="44">
        <v>-9628.09972818325</v>
      </c>
      <c r="G131" s="44">
        <v>-8218.971884789578</v>
      </c>
      <c r="H131" s="44">
        <v>0</v>
      </c>
      <c r="I131" s="44">
        <v>0</v>
      </c>
    </row>
    <row r="132" spans="1:9" ht="15">
      <c r="A132" s="43" t="str">
        <f>HLOOKUP(INDICE!$F$2,Nombres!$C$3:$D$636,45,FALSE)</f>
        <v>Provisions or reversal of provisions and other results</v>
      </c>
      <c r="B132" s="44">
        <v>44.36974410711076</v>
      </c>
      <c r="C132" s="44">
        <v>171.33092062854925</v>
      </c>
      <c r="D132" s="44">
        <v>211.9410303283798</v>
      </c>
      <c r="E132" s="45">
        <v>159.10681916377524</v>
      </c>
      <c r="F132" s="44">
        <v>-29.199678709938837</v>
      </c>
      <c r="G132" s="44">
        <v>-167.28680418067648</v>
      </c>
      <c r="H132" s="44">
        <v>0</v>
      </c>
      <c r="I132" s="44">
        <v>0</v>
      </c>
    </row>
    <row r="133" spans="1:9" ht="15">
      <c r="A133" s="41" t="str">
        <f>HLOOKUP(INDICE!$F$2,Nombres!$C$3:$D$636,46,FALSE)</f>
        <v>Profit/(loss) before tax</v>
      </c>
      <c r="B133" s="41">
        <f>+B130+B131+B132</f>
        <v>16593.50909530332</v>
      </c>
      <c r="C133" s="41">
        <f aca="true" t="shared" si="21" ref="C133:I133">+C130+C131+C132</f>
        <v>22154.348278152007</v>
      </c>
      <c r="D133" s="41">
        <f t="shared" si="21"/>
        <v>22261.423785636493</v>
      </c>
      <c r="E133" s="42">
        <f t="shared" si="21"/>
        <v>23055.239521987147</v>
      </c>
      <c r="F133" s="50">
        <f t="shared" si="21"/>
        <v>24562.146665987006</v>
      </c>
      <c r="G133" s="50">
        <f t="shared" si="21"/>
        <v>30877.272078452082</v>
      </c>
      <c r="H133" s="50">
        <f t="shared" si="21"/>
        <v>0</v>
      </c>
      <c r="I133" s="50">
        <f t="shared" si="21"/>
        <v>0</v>
      </c>
    </row>
    <row r="134" spans="1:9" ht="15">
      <c r="A134" s="43" t="str">
        <f>HLOOKUP(INDICE!$F$2,Nombres!$C$3:$D$636,47,FALSE)</f>
        <v>Income tax</v>
      </c>
      <c r="B134" s="44">
        <v>-4601.558421408685</v>
      </c>
      <c r="C134" s="44">
        <v>-6932.858342691405</v>
      </c>
      <c r="D134" s="44">
        <v>-6150.345765952483</v>
      </c>
      <c r="E134" s="45">
        <v>-5174.048986717215</v>
      </c>
      <c r="F134" s="44">
        <v>-6690.378493689175</v>
      </c>
      <c r="G134" s="44">
        <v>-8393.425613968842</v>
      </c>
      <c r="H134" s="44">
        <v>0</v>
      </c>
      <c r="I134" s="44">
        <v>0</v>
      </c>
    </row>
    <row r="135" spans="1:9" ht="15">
      <c r="A135" s="41" t="str">
        <f>HLOOKUP(INDICE!$F$2,Nombres!$C$3:$D$636,48,FALSE)</f>
        <v>Profit/(loss) for the year</v>
      </c>
      <c r="B135" s="41">
        <f>+B133+B134</f>
        <v>11991.950673894637</v>
      </c>
      <c r="C135" s="41">
        <f aca="true" t="shared" si="22" ref="C135:I135">+C133+C134</f>
        <v>15221.489935460602</v>
      </c>
      <c r="D135" s="41">
        <f t="shared" si="22"/>
        <v>16111.07801968401</v>
      </c>
      <c r="E135" s="42">
        <f t="shared" si="22"/>
        <v>17881.190535269932</v>
      </c>
      <c r="F135" s="50">
        <f t="shared" si="22"/>
        <v>17871.76817229783</v>
      </c>
      <c r="G135" s="50">
        <f t="shared" si="22"/>
        <v>22483.846464483242</v>
      </c>
      <c r="H135" s="50">
        <f t="shared" si="22"/>
        <v>0</v>
      </c>
      <c r="I135" s="50">
        <f t="shared" si="22"/>
        <v>0</v>
      </c>
    </row>
    <row r="136" spans="1:9" ht="15">
      <c r="A136" s="43" t="str">
        <f>HLOOKUP(INDICE!$F$2,Nombres!$C$3:$D$636,49,FALSE)</f>
        <v>Non-controlling interests</v>
      </c>
      <c r="B136" s="44">
        <v>-2.084813869983809</v>
      </c>
      <c r="C136" s="44">
        <v>-2.9258240399905304</v>
      </c>
      <c r="D136" s="44">
        <v>-2.9104361670034775</v>
      </c>
      <c r="E136" s="45">
        <v>-3.3754657540895385</v>
      </c>
      <c r="F136" s="44">
        <v>-3.19587034699331</v>
      </c>
      <c r="G136" s="44">
        <v>-3.9845515569281647</v>
      </c>
      <c r="H136" s="44">
        <v>0</v>
      </c>
      <c r="I136" s="44">
        <v>0</v>
      </c>
    </row>
    <row r="137" spans="1:9" ht="15">
      <c r="A137" s="47" t="str">
        <f>HLOOKUP(INDICE!$F$2,Nombres!$C$3:$D$636,50,FALSE)</f>
        <v>Net attributable profit</v>
      </c>
      <c r="B137" s="47">
        <f>+B135+B136</f>
        <v>11989.865860024653</v>
      </c>
      <c r="C137" s="47">
        <f aca="true" t="shared" si="23" ref="C137:I137">+C135+C136</f>
        <v>15218.564111420612</v>
      </c>
      <c r="D137" s="47">
        <f t="shared" si="23"/>
        <v>16108.167583517006</v>
      </c>
      <c r="E137" s="47">
        <f t="shared" si="23"/>
        <v>17877.815069515844</v>
      </c>
      <c r="F137" s="51">
        <f t="shared" si="23"/>
        <v>17868.572301950837</v>
      </c>
      <c r="G137" s="51">
        <f t="shared" si="23"/>
        <v>22479.861912926313</v>
      </c>
      <c r="H137" s="51">
        <f t="shared" si="23"/>
        <v>0</v>
      </c>
      <c r="I137" s="51">
        <f t="shared" si="23"/>
        <v>0</v>
      </c>
    </row>
    <row r="138" spans="1:9" ht="15">
      <c r="A138" s="62"/>
      <c r="B138" s="63">
        <v>-1.4551915228366852E-11</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HLOOKUP(INDICE!$F$2,Nombres!$C$3:$D$636,74,FALSE)</f>
        <v>(Million Mexican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255933.81053383587</v>
      </c>
      <c r="C143" s="44">
        <v>308810.9497446287</v>
      </c>
      <c r="D143" s="44">
        <v>327118.33315072645</v>
      </c>
      <c r="E143" s="45">
        <v>300519.02600843436</v>
      </c>
      <c r="F143" s="44">
        <v>329735.28101254924</v>
      </c>
      <c r="G143" s="44">
        <v>347769.8910054877</v>
      </c>
      <c r="H143" s="44">
        <v>0</v>
      </c>
      <c r="I143" s="44">
        <v>0</v>
      </c>
    </row>
    <row r="144" spans="1:9" ht="15">
      <c r="A144" s="43" t="str">
        <f>HLOOKUP(INDICE!$F$2,Nombres!$C$3:$D$636,53,FALSE)</f>
        <v>Financial assets designated at fair value </v>
      </c>
      <c r="B144" s="58">
        <v>815671.120526636</v>
      </c>
      <c r="C144" s="58">
        <v>818109.812776735</v>
      </c>
      <c r="D144" s="58">
        <v>794757.1267080844</v>
      </c>
      <c r="E144" s="64">
        <v>812939.722408953</v>
      </c>
      <c r="F144" s="44">
        <v>828114.6276770476</v>
      </c>
      <c r="G144" s="44">
        <v>838377.0002338736</v>
      </c>
      <c r="H144" s="44">
        <v>0</v>
      </c>
      <c r="I144" s="44">
        <v>0</v>
      </c>
    </row>
    <row r="145" spans="1:9" ht="15">
      <c r="A145" s="43" t="str">
        <f>HLOOKUP(INDICE!$F$2,Nombres!$C$3:$D$636,54,FALSE)</f>
        <v>Financial assets at amortized cost</v>
      </c>
      <c r="B145" s="44">
        <v>1463670.7173311217</v>
      </c>
      <c r="C145" s="44">
        <v>1458261.6515510753</v>
      </c>
      <c r="D145" s="44">
        <v>1476769.2410208094</v>
      </c>
      <c r="E145" s="45">
        <v>1511555.6688041815</v>
      </c>
      <c r="F145" s="44">
        <v>1567343.962987735</v>
      </c>
      <c r="G145" s="44">
        <v>1645418.2474204104</v>
      </c>
      <c r="H145" s="44">
        <v>0</v>
      </c>
      <c r="I145" s="44">
        <v>0</v>
      </c>
    </row>
    <row r="146" spans="1:9" ht="15">
      <c r="A146" s="43" t="str">
        <f>HLOOKUP(INDICE!$F$2,Nombres!$C$3:$D$636,55,FALSE)</f>
        <v>    of which loans and advances to customers</v>
      </c>
      <c r="B146" s="44">
        <v>1239198.001720131</v>
      </c>
      <c r="C146" s="44">
        <v>1246673.687739031</v>
      </c>
      <c r="D146" s="44">
        <v>1258759.5894663744</v>
      </c>
      <c r="E146" s="45">
        <v>1291629.8115146435</v>
      </c>
      <c r="F146" s="44">
        <v>1341847.616454759</v>
      </c>
      <c r="G146" s="44">
        <v>1405015.8058882265</v>
      </c>
      <c r="H146" s="44">
        <v>0</v>
      </c>
      <c r="I146" s="44">
        <v>0</v>
      </c>
    </row>
    <row r="147" spans="1:9" ht="15" hidden="1">
      <c r="A147" s="43"/>
      <c r="B147" s="44"/>
      <c r="C147" s="44"/>
      <c r="D147" s="44"/>
      <c r="E147" s="45"/>
      <c r="F147" s="44"/>
      <c r="G147" s="44"/>
      <c r="H147" s="44"/>
      <c r="I147" s="44"/>
    </row>
    <row r="148" spans="1:9" ht="15">
      <c r="A148" s="43" t="str">
        <f>HLOOKUP(INDICE!$F$2,Nombres!$C$3:$D$636,56,FALSE)</f>
        <v>Tangible assets</v>
      </c>
      <c r="B148" s="44">
        <v>39538.12817336504</v>
      </c>
      <c r="C148" s="44">
        <v>39169.899940572395</v>
      </c>
      <c r="D148" s="44">
        <v>39027.15985679908</v>
      </c>
      <c r="E148" s="45">
        <v>40062.40381984506</v>
      </c>
      <c r="F148" s="44">
        <v>39114.211785576204</v>
      </c>
      <c r="G148" s="44">
        <v>38864.56931860144</v>
      </c>
      <c r="H148" s="44">
        <v>0</v>
      </c>
      <c r="I148" s="44">
        <v>0</v>
      </c>
    </row>
    <row r="149" spans="1:9" ht="15">
      <c r="A149" s="43" t="str">
        <f>HLOOKUP(INDICE!$F$2,Nombres!$C$3:$D$636,57,FALSE)</f>
        <v>Other assets</v>
      </c>
      <c r="B149" s="58">
        <f>+B150-B148-B145-B144-B143</f>
        <v>80668.48020270574</v>
      </c>
      <c r="C149" s="58">
        <f aca="true" t="shared" si="25" ref="C149:I149">+C150-C148-C145-C144-C143</f>
        <v>75387.53620824876</v>
      </c>
      <c r="D149" s="58">
        <f t="shared" si="25"/>
        <v>68053.41591177945</v>
      </c>
      <c r="E149" s="64">
        <f t="shared" si="25"/>
        <v>68338.8978421042</v>
      </c>
      <c r="F149" s="44">
        <f t="shared" si="25"/>
        <v>68139.32985150191</v>
      </c>
      <c r="G149" s="44">
        <f t="shared" si="25"/>
        <v>72089.1646556955</v>
      </c>
      <c r="H149" s="44">
        <f t="shared" si="25"/>
        <v>0</v>
      </c>
      <c r="I149" s="44">
        <f t="shared" si="25"/>
        <v>0</v>
      </c>
    </row>
    <row r="150" spans="1:9" ht="15">
      <c r="A150" s="47" t="str">
        <f>HLOOKUP(INDICE!$F$2,Nombres!$C$3:$D$636,58,FALSE)</f>
        <v>Total assets / Liabilities and equity</v>
      </c>
      <c r="B150" s="47">
        <v>2655482.2567676646</v>
      </c>
      <c r="C150" s="47">
        <v>2699739.85022126</v>
      </c>
      <c r="D150" s="47">
        <v>2705725.2766481987</v>
      </c>
      <c r="E150" s="47">
        <v>2733415.718883518</v>
      </c>
      <c r="F150" s="51">
        <v>2832447.41331441</v>
      </c>
      <c r="G150" s="51">
        <v>2942518.8726340686</v>
      </c>
      <c r="H150" s="51">
        <v>0</v>
      </c>
      <c r="I150" s="51">
        <v>0</v>
      </c>
    </row>
    <row r="151" spans="1:9" ht="15">
      <c r="A151" s="43" t="str">
        <f>HLOOKUP(INDICE!$F$2,Nombres!$C$3:$D$636,59,FALSE)</f>
        <v>Financial liabilities held for trading and designated at fair value through profit or loss</v>
      </c>
      <c r="B151" s="58">
        <v>508389.06253667135</v>
      </c>
      <c r="C151" s="58">
        <v>527868.9515097103</v>
      </c>
      <c r="D151" s="58">
        <v>504136.9193925291</v>
      </c>
      <c r="E151" s="64">
        <v>459245.8486776104</v>
      </c>
      <c r="F151" s="44">
        <v>503072.6518027524</v>
      </c>
      <c r="G151" s="44">
        <v>561758.8243830474</v>
      </c>
      <c r="H151" s="44">
        <v>0</v>
      </c>
      <c r="I151" s="44">
        <v>0</v>
      </c>
    </row>
    <row r="152" spans="1:9" ht="15">
      <c r="A152" s="43" t="str">
        <f>HLOOKUP(INDICE!$F$2,Nombres!$C$3:$D$636,60,FALSE)</f>
        <v>Deposits from central banks and credit institutions</v>
      </c>
      <c r="B152" s="58">
        <v>120817.27517697644</v>
      </c>
      <c r="C152" s="58">
        <v>126117.48988882633</v>
      </c>
      <c r="D152" s="58">
        <v>130806.09485510338</v>
      </c>
      <c r="E152" s="64">
        <v>75629.81880281123</v>
      </c>
      <c r="F152" s="44">
        <v>61796.81899985728</v>
      </c>
      <c r="G152" s="44">
        <v>107768.3249943455</v>
      </c>
      <c r="H152" s="44">
        <v>0</v>
      </c>
      <c r="I152" s="44">
        <v>0</v>
      </c>
    </row>
    <row r="153" spans="1:9" ht="15">
      <c r="A153" s="43" t="str">
        <f>HLOOKUP(INDICE!$F$2,Nombres!$C$3:$D$636,61,FALSE)</f>
        <v>Deposits from customers</v>
      </c>
      <c r="B153" s="58">
        <v>1366855.0510831513</v>
      </c>
      <c r="C153" s="58">
        <v>1384709.5636838174</v>
      </c>
      <c r="D153" s="58">
        <v>1387594.8219031817</v>
      </c>
      <c r="E153" s="64">
        <v>1481279.181079257</v>
      </c>
      <c r="F153" s="44">
        <v>1536089.811294505</v>
      </c>
      <c r="G153" s="44">
        <v>1523917.9128222005</v>
      </c>
      <c r="H153" s="44">
        <v>0</v>
      </c>
      <c r="I153" s="44">
        <v>0</v>
      </c>
    </row>
    <row r="154" spans="1:9" ht="15">
      <c r="A154" s="43" t="str">
        <f>HLOOKUP(INDICE!$F$2,Nombres!$C$3:$D$636,62,FALSE)</f>
        <v>Debt certificates</v>
      </c>
      <c r="B154" s="44">
        <v>182188.85397562105</v>
      </c>
      <c r="C154" s="44">
        <v>186197.56359284304</v>
      </c>
      <c r="D154" s="44">
        <v>185451.9044965937</v>
      </c>
      <c r="E154" s="45">
        <v>184773.82545175485</v>
      </c>
      <c r="F154" s="44">
        <v>183031.389062764</v>
      </c>
      <c r="G154" s="44">
        <v>196087.10301964468</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Other liabilities</v>
      </c>
      <c r="B156" s="58">
        <f>+B150-B151-B152-B153-B154-B157</f>
        <v>306469.59223239543</v>
      </c>
      <c r="C156" s="58">
        <f aca="true" t="shared" si="26" ref="C156:I156">+C150-C151-C152-C153-C154-C157</f>
        <v>304718.6926616837</v>
      </c>
      <c r="D156" s="58">
        <f t="shared" si="26"/>
        <v>323478.95252463396</v>
      </c>
      <c r="E156" s="64">
        <f t="shared" si="26"/>
        <v>365189.84221632197</v>
      </c>
      <c r="F156" s="44">
        <f t="shared" si="26"/>
        <v>375246.07971165364</v>
      </c>
      <c r="G156" s="44">
        <f t="shared" si="26"/>
        <v>365375.9703893162</v>
      </c>
      <c r="H156" s="44">
        <f t="shared" si="26"/>
        <v>0</v>
      </c>
      <c r="I156" s="44">
        <f t="shared" si="26"/>
        <v>0</v>
      </c>
    </row>
    <row r="157" spans="1:9" ht="15.75" customHeight="1">
      <c r="A157" s="43" t="str">
        <f>HLOOKUP(INDICE!$F$2,Nombres!$C$3:$D$636,282,FALSE)</f>
        <v>Regulatory capital allocated</v>
      </c>
      <c r="B157" s="44">
        <v>170762.42176284923</v>
      </c>
      <c r="C157" s="44">
        <v>170127.58888437907</v>
      </c>
      <c r="D157" s="44">
        <v>174256.583476157</v>
      </c>
      <c r="E157" s="44">
        <v>167297.20265576255</v>
      </c>
      <c r="F157" s="44">
        <v>173210.66244287768</v>
      </c>
      <c r="G157" s="44">
        <v>187610.73702551413</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Relevant business indicators</v>
      </c>
      <c r="B160" s="66"/>
      <c r="C160" s="66"/>
      <c r="D160" s="66"/>
      <c r="E160" s="66"/>
      <c r="F160" s="71"/>
      <c r="G160" s="71"/>
      <c r="H160" s="71"/>
      <c r="I160" s="71"/>
    </row>
    <row r="161" spans="1:9" ht="15">
      <c r="A161" s="35" t="str">
        <f>HLOOKUP(INDICE!$F$2,Nombres!$C$3:$D$636,74,FALSE)</f>
        <v>(Million Mexican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1290573.2733789755</v>
      </c>
      <c r="C163" s="44">
        <v>1295182.1122340232</v>
      </c>
      <c r="D163" s="44">
        <v>1304079.1322468529</v>
      </c>
      <c r="E163" s="45">
        <v>1338787.2052608898</v>
      </c>
      <c r="F163" s="44">
        <v>1391294.2457260152</v>
      </c>
      <c r="G163" s="44">
        <v>1455799.0179083415</v>
      </c>
      <c r="H163" s="44">
        <v>0</v>
      </c>
      <c r="I163" s="44">
        <v>0</v>
      </c>
    </row>
    <row r="164" spans="1:9" ht="15">
      <c r="A164" s="43" t="str">
        <f>HLOOKUP(INDICE!$F$2,Nombres!$C$3:$D$636,67,FALSE)</f>
        <v>Customer deposits under management (*)</v>
      </c>
      <c r="B164" s="44">
        <v>1358594.2156556693</v>
      </c>
      <c r="C164" s="44">
        <v>1353650.6114813543</v>
      </c>
      <c r="D164" s="44">
        <v>1374607.5102575745</v>
      </c>
      <c r="E164" s="45">
        <v>1466132.1511362325</v>
      </c>
      <c r="F164" s="44">
        <v>1526191.3044066834</v>
      </c>
      <c r="G164" s="44">
        <v>1510219.0219940862</v>
      </c>
      <c r="H164" s="44">
        <v>0</v>
      </c>
      <c r="I164" s="44">
        <v>0</v>
      </c>
    </row>
    <row r="165" spans="1:9" ht="15">
      <c r="A165" s="43" t="str">
        <f>HLOOKUP(INDICE!$F$2,Nombres!$C$3:$D$636,68,FALSE)</f>
        <v>Investment funds and managed portfolios</v>
      </c>
      <c r="B165" s="44">
        <v>664141.0878882156</v>
      </c>
      <c r="C165" s="44">
        <v>676664.77045252</v>
      </c>
      <c r="D165" s="44">
        <v>688226.3681117713</v>
      </c>
      <c r="E165" s="45">
        <v>698600.6483890217</v>
      </c>
      <c r="F165" s="44">
        <v>706300.0305128762</v>
      </c>
      <c r="G165" s="44">
        <v>711567.52827619</v>
      </c>
      <c r="H165" s="44">
        <v>0</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15" ht="15">
      <c r="A167" s="43" t="str">
        <f>HLOOKUP(INDICE!$F$2,Nombres!$C$3:$D$636,70,FALSE)</f>
        <v>Other off balance-sheet funds</v>
      </c>
      <c r="B167" s="44">
        <v>45660.29328659152</v>
      </c>
      <c r="C167" s="44">
        <v>48908.95880117197</v>
      </c>
      <c r="D167" s="44">
        <v>48363.333195731975</v>
      </c>
      <c r="E167" s="45">
        <v>50790.6256991533</v>
      </c>
      <c r="F167" s="44">
        <v>54365.22614154609</v>
      </c>
      <c r="G167" s="44">
        <v>62177.19958384019</v>
      </c>
      <c r="H167" s="44">
        <v>0</v>
      </c>
      <c r="I167" s="44">
        <v>0</v>
      </c>
      <c r="N167" s="73"/>
      <c r="O167" s="73"/>
    </row>
    <row r="168" spans="1:15" ht="15">
      <c r="A168" s="62" t="str">
        <f>HLOOKUP(INDICE!$F$2,Nombres!$C$3:$D$636,71,FALSE)</f>
        <v>(*) Excluding repos. </v>
      </c>
      <c r="B168" s="58"/>
      <c r="C168" s="58"/>
      <c r="D168" s="58"/>
      <c r="E168" s="58"/>
      <c r="F168" s="44"/>
      <c r="G168" s="44"/>
      <c r="H168" s="44"/>
      <c r="I168" s="44"/>
      <c r="N168" s="73"/>
      <c r="O168" s="73"/>
    </row>
    <row r="169" spans="1:15" ht="15">
      <c r="A169" s="62">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43">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HLOOKUP(INDICE!$F$2,Nombres!$C$3:$D$636,12,FALSE)</f>
        <v>Turkey </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529.5730000000001</v>
      </c>
      <c r="C8" s="41">
        <v>506.62400001000015</v>
      </c>
      <c r="D8" s="41">
        <v>614.6899999999998</v>
      </c>
      <c r="E8" s="42">
        <v>719.3530000000001</v>
      </c>
      <c r="F8" s="50">
        <v>496.60899998999975</v>
      </c>
      <c r="G8" s="50">
        <v>666.431</v>
      </c>
      <c r="H8" s="50">
        <v>0</v>
      </c>
      <c r="I8" s="50">
        <v>0</v>
      </c>
    </row>
    <row r="9" spans="1:9" ht="15">
      <c r="A9" s="43" t="str">
        <f>HLOOKUP(INDICE!$F$2,Nombres!$C$3:$D$636,34,FALSE)</f>
        <v>Net fees and commissions</v>
      </c>
      <c r="B9" s="44">
        <v>154.40100001000002</v>
      </c>
      <c r="C9" s="44">
        <v>142.64500001</v>
      </c>
      <c r="D9" s="44">
        <v>145.87599999000003</v>
      </c>
      <c r="E9" s="45">
        <v>121.50100002000006</v>
      </c>
      <c r="F9" s="44">
        <v>132.87199999</v>
      </c>
      <c r="G9" s="44">
        <v>161.80900004</v>
      </c>
      <c r="H9" s="44">
        <v>0</v>
      </c>
      <c r="I9" s="44">
        <v>0</v>
      </c>
    </row>
    <row r="10" spans="1:9" ht="15">
      <c r="A10" s="43" t="str">
        <f>HLOOKUP(INDICE!$F$2,Nombres!$C$3:$D$636,35,FALSE)</f>
        <v>Net trading income</v>
      </c>
      <c r="B10" s="44">
        <v>125.63700000999998</v>
      </c>
      <c r="C10" s="44">
        <v>54.027</v>
      </c>
      <c r="D10" s="44">
        <v>59.10599996999999</v>
      </c>
      <c r="E10" s="45">
        <v>174.50500001999998</v>
      </c>
      <c r="F10" s="44">
        <v>174.91700000000003</v>
      </c>
      <c r="G10" s="44">
        <v>220.159</v>
      </c>
      <c r="H10" s="44">
        <v>0</v>
      </c>
      <c r="I10" s="44">
        <v>0</v>
      </c>
    </row>
    <row r="11" spans="1:9" ht="15">
      <c r="A11" s="43" t="str">
        <f>HLOOKUP(INDICE!$F$2,Nombres!$C$3:$D$636,36,FALSE)</f>
        <v>Other operating income and expenses</v>
      </c>
      <c r="B11" s="44">
        <v>24.439999999999998</v>
      </c>
      <c r="C11" s="44">
        <v>33.91299999999998</v>
      </c>
      <c r="D11" s="44">
        <v>22.784000000000052</v>
      </c>
      <c r="E11" s="45">
        <v>-7.001000000000081</v>
      </c>
      <c r="F11" s="44">
        <v>-301.14500001</v>
      </c>
      <c r="G11" s="44">
        <v>-209.4819999800001</v>
      </c>
      <c r="H11" s="44">
        <v>0</v>
      </c>
      <c r="I11" s="44">
        <v>0</v>
      </c>
    </row>
    <row r="12" spans="1:9" ht="15">
      <c r="A12" s="41" t="str">
        <f>HLOOKUP(INDICE!$F$2,Nombres!$C$3:$D$636,37,FALSE)</f>
        <v>Gross income</v>
      </c>
      <c r="B12" s="41">
        <f>+SUM(B8:B11)</f>
        <v>834.05100002</v>
      </c>
      <c r="C12" s="41">
        <f aca="true" t="shared" si="0" ref="C12:I12">+SUM(C8:C11)</f>
        <v>737.2090000200002</v>
      </c>
      <c r="D12" s="41">
        <f t="shared" si="0"/>
        <v>842.45599996</v>
      </c>
      <c r="E12" s="42">
        <f t="shared" si="0"/>
        <v>1008.3580000400001</v>
      </c>
      <c r="F12" s="50">
        <f t="shared" si="0"/>
        <v>503.2529999699998</v>
      </c>
      <c r="G12" s="50">
        <f t="shared" si="0"/>
        <v>838.9170000599999</v>
      </c>
      <c r="H12" s="50">
        <f t="shared" si="0"/>
        <v>0</v>
      </c>
      <c r="I12" s="50">
        <f t="shared" si="0"/>
        <v>0</v>
      </c>
    </row>
    <row r="13" spans="1:9" ht="15">
      <c r="A13" s="43" t="str">
        <f>HLOOKUP(INDICE!$F$2,Nombres!$C$3:$D$636,38,FALSE)</f>
        <v>Operating expenses</v>
      </c>
      <c r="B13" s="44">
        <v>-265.29226374000007</v>
      </c>
      <c r="C13" s="44">
        <v>-233.94551273999997</v>
      </c>
      <c r="D13" s="44">
        <v>-235.74078479000002</v>
      </c>
      <c r="E13" s="45">
        <v>-274.73369719999994</v>
      </c>
      <c r="F13" s="44">
        <v>-239.18315685</v>
      </c>
      <c r="G13" s="44">
        <v>-260.58114101</v>
      </c>
      <c r="H13" s="44">
        <v>0</v>
      </c>
      <c r="I13" s="44">
        <v>0</v>
      </c>
    </row>
    <row r="14" spans="1:9" ht="15">
      <c r="A14" s="43" t="str">
        <f>HLOOKUP(INDICE!$F$2,Nombres!$C$3:$D$636,39,FALSE)</f>
        <v>  Administration expenses</v>
      </c>
      <c r="B14" s="44">
        <v>-231.51924174000004</v>
      </c>
      <c r="C14" s="44">
        <v>-204.13049174999998</v>
      </c>
      <c r="D14" s="44">
        <v>-204.82276278</v>
      </c>
      <c r="E14" s="45">
        <v>-250.86567622</v>
      </c>
      <c r="F14" s="44">
        <v>-209.86513485</v>
      </c>
      <c r="G14" s="44">
        <v>-226.14312001000002</v>
      </c>
      <c r="H14" s="44">
        <v>0</v>
      </c>
      <c r="I14" s="44">
        <v>0</v>
      </c>
    </row>
    <row r="15" spans="1:9" ht="15">
      <c r="A15" s="46" t="str">
        <f>HLOOKUP(INDICE!$F$2,Nombres!$C$3:$D$636,40,FALSE)</f>
        <v>  Personnel expenses</v>
      </c>
      <c r="B15" s="44">
        <v>-141.87522909</v>
      </c>
      <c r="C15" s="44">
        <v>-139.68222914</v>
      </c>
      <c r="D15" s="44">
        <v>-139.68122918000003</v>
      </c>
      <c r="E15" s="45">
        <v>-172.01340153</v>
      </c>
      <c r="F15" s="44">
        <v>-131.55028500999998</v>
      </c>
      <c r="G15" s="44">
        <v>-148.47128498</v>
      </c>
      <c r="H15" s="44">
        <v>0</v>
      </c>
      <c r="I15" s="44">
        <v>0</v>
      </c>
    </row>
    <row r="16" spans="1:9" ht="15">
      <c r="A16" s="46" t="str">
        <f>HLOOKUP(INDICE!$F$2,Nombres!$C$3:$D$636,41,FALSE)</f>
        <v>  General and administrative expenses</v>
      </c>
      <c r="B16" s="44">
        <v>-89.64401265000001</v>
      </c>
      <c r="C16" s="44">
        <v>-64.44826260999999</v>
      </c>
      <c r="D16" s="44">
        <v>-65.1415336</v>
      </c>
      <c r="E16" s="45">
        <v>-78.85227469</v>
      </c>
      <c r="F16" s="44">
        <v>-78.31484984</v>
      </c>
      <c r="G16" s="44">
        <v>-77.67183503</v>
      </c>
      <c r="H16" s="44">
        <v>0</v>
      </c>
      <c r="I16" s="44">
        <v>0</v>
      </c>
    </row>
    <row r="17" spans="1:9" ht="15">
      <c r="A17" s="43" t="str">
        <f>HLOOKUP(INDICE!$F$2,Nombres!$C$3:$D$636,42,FALSE)</f>
        <v>  Depreciation</v>
      </c>
      <c r="B17" s="44">
        <v>-33.773022</v>
      </c>
      <c r="C17" s="44">
        <v>-29.81502099</v>
      </c>
      <c r="D17" s="44">
        <v>-30.918022009999998</v>
      </c>
      <c r="E17" s="45">
        <v>-23.868020979999994</v>
      </c>
      <c r="F17" s="44">
        <v>-29.318022</v>
      </c>
      <c r="G17" s="44">
        <v>-34.43802099999999</v>
      </c>
      <c r="H17" s="44">
        <v>0</v>
      </c>
      <c r="I17" s="44">
        <v>0</v>
      </c>
    </row>
    <row r="18" spans="1:9" ht="15">
      <c r="A18" s="41" t="str">
        <f>HLOOKUP(INDICE!$F$2,Nombres!$C$3:$D$636,43,FALSE)</f>
        <v>Operating income</v>
      </c>
      <c r="B18" s="41">
        <f>+B12+B13</f>
        <v>568.7587362799999</v>
      </c>
      <c r="C18" s="41">
        <f aca="true" t="shared" si="1" ref="C18:I18">+C12+C13</f>
        <v>503.2634872800002</v>
      </c>
      <c r="D18" s="41">
        <f t="shared" si="1"/>
        <v>606.71521517</v>
      </c>
      <c r="E18" s="42">
        <f t="shared" si="1"/>
        <v>733.6243028400002</v>
      </c>
      <c r="F18" s="50">
        <f t="shared" si="1"/>
        <v>264.0698431199998</v>
      </c>
      <c r="G18" s="50">
        <f t="shared" si="1"/>
        <v>578.3358590499998</v>
      </c>
      <c r="H18" s="50">
        <f t="shared" si="1"/>
        <v>0</v>
      </c>
      <c r="I18" s="50">
        <f t="shared" si="1"/>
        <v>0</v>
      </c>
    </row>
    <row r="19" spans="1:9" ht="15">
      <c r="A19" s="43" t="str">
        <f>HLOOKUP(INDICE!$F$2,Nombres!$C$3:$D$636,44,FALSE)</f>
        <v>Impaiment on financial assets not measured at fair value through profit or loss</v>
      </c>
      <c r="B19" s="44">
        <v>-122.84000001000001</v>
      </c>
      <c r="C19" s="44">
        <v>-44.93799996999999</v>
      </c>
      <c r="D19" s="44">
        <v>-67.13700002999998</v>
      </c>
      <c r="E19" s="45">
        <v>-259.22800002</v>
      </c>
      <c r="F19" s="44">
        <v>-95.88099999</v>
      </c>
      <c r="G19" s="44">
        <v>-75.47300002</v>
      </c>
      <c r="H19" s="44">
        <v>0</v>
      </c>
      <c r="I19" s="44">
        <v>0</v>
      </c>
    </row>
    <row r="20" spans="1:9" ht="15">
      <c r="A20" s="43" t="str">
        <f>HLOOKUP(INDICE!$F$2,Nombres!$C$3:$D$636,45,FALSE)</f>
        <v>Provisions or reversal of provisions and other results</v>
      </c>
      <c r="B20" s="44">
        <v>34.80999999999998</v>
      </c>
      <c r="C20" s="44">
        <v>12.811999999999989</v>
      </c>
      <c r="D20" s="44">
        <v>11.643000000000022</v>
      </c>
      <c r="E20" s="45">
        <v>-25.86500000000006</v>
      </c>
      <c r="F20" s="44">
        <v>-10.823000009999998</v>
      </c>
      <c r="G20" s="44">
        <v>-23.199999990000002</v>
      </c>
      <c r="H20" s="44">
        <v>0</v>
      </c>
      <c r="I20" s="44">
        <v>0</v>
      </c>
    </row>
    <row r="21" spans="1:9" ht="15">
      <c r="A21" s="41" t="str">
        <f>HLOOKUP(INDICE!$F$2,Nombres!$C$3:$D$636,46,FALSE)</f>
        <v>Profit/(loss) before tax</v>
      </c>
      <c r="B21" s="41">
        <f>+B18+B19+B20</f>
        <v>480.72873626999984</v>
      </c>
      <c r="C21" s="41">
        <f aca="true" t="shared" si="2" ref="C21:I21">+C18+C19+C20</f>
        <v>471.1374873100002</v>
      </c>
      <c r="D21" s="41">
        <f t="shared" si="2"/>
        <v>551.22121514</v>
      </c>
      <c r="E21" s="42">
        <f t="shared" si="2"/>
        <v>448.53130282000006</v>
      </c>
      <c r="F21" s="50">
        <f t="shared" si="2"/>
        <v>157.3658431199998</v>
      </c>
      <c r="G21" s="50">
        <f t="shared" si="2"/>
        <v>479.6628590399999</v>
      </c>
      <c r="H21" s="50">
        <f t="shared" si="2"/>
        <v>0</v>
      </c>
      <c r="I21" s="50">
        <f t="shared" si="2"/>
        <v>0</v>
      </c>
    </row>
    <row r="22" spans="1:9" ht="15">
      <c r="A22" s="43" t="str">
        <f>HLOOKUP(INDICE!$F$2,Nombres!$C$3:$D$636,47,FALSE)</f>
        <v>Income tax</v>
      </c>
      <c r="B22" s="44">
        <v>-93.79882088</v>
      </c>
      <c r="C22" s="44">
        <v>-80.54364616</v>
      </c>
      <c r="D22" s="44">
        <v>-148.25646458</v>
      </c>
      <c r="E22" s="45">
        <v>-132.20889083000003</v>
      </c>
      <c r="F22" s="44">
        <v>-308.62485294000004</v>
      </c>
      <c r="G22" s="44">
        <v>-327.21515770999997</v>
      </c>
      <c r="H22" s="44">
        <v>0</v>
      </c>
      <c r="I22" s="44">
        <v>0</v>
      </c>
    </row>
    <row r="23" spans="1:9" ht="15">
      <c r="A23" s="41" t="str">
        <f>HLOOKUP(INDICE!$F$2,Nombres!$C$3:$D$636,48,FALSE)</f>
        <v>Profit/(loss) for the year</v>
      </c>
      <c r="B23" s="41">
        <f>+B21+B22</f>
        <v>386.92991538999985</v>
      </c>
      <c r="C23" s="41">
        <f aca="true" t="shared" si="3" ref="C23:I23">+C21+C22</f>
        <v>390.59384115000023</v>
      </c>
      <c r="D23" s="41">
        <f t="shared" si="3"/>
        <v>402.96475056</v>
      </c>
      <c r="E23" s="42">
        <f t="shared" si="3"/>
        <v>316.32241199000003</v>
      </c>
      <c r="F23" s="50">
        <f t="shared" si="3"/>
        <v>-151.25900982000024</v>
      </c>
      <c r="G23" s="50">
        <f t="shared" si="3"/>
        <v>152.44770132999992</v>
      </c>
      <c r="H23" s="50">
        <f t="shared" si="3"/>
        <v>0</v>
      </c>
      <c r="I23" s="50">
        <f t="shared" si="3"/>
        <v>0</v>
      </c>
    </row>
    <row r="24" spans="1:9" ht="15">
      <c r="A24" s="43" t="str">
        <f>HLOOKUP(INDICE!$F$2,Nombres!$C$3:$D$636,49,FALSE)</f>
        <v>Non-controlling interests</v>
      </c>
      <c r="B24" s="44">
        <v>-196.24699999</v>
      </c>
      <c r="C24" s="44">
        <v>-197.59500002000001</v>
      </c>
      <c r="D24" s="44">
        <v>-203.94899999000006</v>
      </c>
      <c r="E24" s="45">
        <v>-160.35</v>
      </c>
      <c r="F24" s="44">
        <v>76.003</v>
      </c>
      <c r="G24" s="44">
        <v>-15.663999989999972</v>
      </c>
      <c r="H24" s="44">
        <v>0</v>
      </c>
      <c r="I24" s="44">
        <v>0</v>
      </c>
    </row>
    <row r="25" spans="1:9" ht="15">
      <c r="A25" s="47" t="str">
        <f>HLOOKUP(INDICE!$F$2,Nombres!$C$3:$D$636,50,FALSE)</f>
        <v>Net attributable profit</v>
      </c>
      <c r="B25" s="47">
        <f>+B23+B24</f>
        <v>190.68291539999984</v>
      </c>
      <c r="C25" s="47">
        <f aca="true" t="shared" si="4" ref="C25:I25">+C23+C24</f>
        <v>192.99884113000022</v>
      </c>
      <c r="D25" s="47">
        <f t="shared" si="4"/>
        <v>199.01575056999997</v>
      </c>
      <c r="E25" s="47">
        <f t="shared" si="4"/>
        <v>155.97241199000004</v>
      </c>
      <c r="F25" s="51">
        <f t="shared" si="4"/>
        <v>-75.25600982000024</v>
      </c>
      <c r="G25" s="51">
        <f t="shared" si="4"/>
        <v>136.78370133999994</v>
      </c>
      <c r="H25" s="51">
        <f t="shared" si="4"/>
        <v>0</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6682.253</v>
      </c>
      <c r="C31" s="44">
        <v>6656.599999999999</v>
      </c>
      <c r="D31" s="44">
        <v>6257.517</v>
      </c>
      <c r="E31" s="45">
        <v>7763.787</v>
      </c>
      <c r="F31" s="44">
        <v>7926.378000000001</v>
      </c>
      <c r="G31" s="44">
        <v>8050.876</v>
      </c>
      <c r="H31" s="44">
        <v>0</v>
      </c>
      <c r="I31" s="44">
        <v>0</v>
      </c>
    </row>
    <row r="32" spans="1:9" ht="15">
      <c r="A32" s="43" t="str">
        <f>HLOOKUP(INDICE!$F$2,Nombres!$C$3:$D$636,53,FALSE)</f>
        <v>Financial assets designated at fair value </v>
      </c>
      <c r="B32" s="58">
        <v>5492.143</v>
      </c>
      <c r="C32" s="58">
        <v>5153.531</v>
      </c>
      <c r="D32" s="58">
        <v>5417.218000000001</v>
      </c>
      <c r="E32" s="64">
        <v>5289.342999999999</v>
      </c>
      <c r="F32" s="44">
        <v>5177.576</v>
      </c>
      <c r="G32" s="44">
        <v>5598.161000000001</v>
      </c>
      <c r="H32" s="44">
        <v>0</v>
      </c>
      <c r="I32" s="44">
        <v>0</v>
      </c>
    </row>
    <row r="33" spans="1:9" ht="15">
      <c r="A33" s="43" t="str">
        <f>HLOOKUP(INDICE!$F$2,Nombres!$C$3:$D$636,54,FALSE)</f>
        <v>Financial assets at amortized cost</v>
      </c>
      <c r="B33" s="44">
        <v>44633.130000000005</v>
      </c>
      <c r="C33" s="44">
        <v>45507.883</v>
      </c>
      <c r="D33" s="44">
        <v>47893.36</v>
      </c>
      <c r="E33" s="45">
        <v>41543.922</v>
      </c>
      <c r="F33" s="44">
        <v>44006.130000000005</v>
      </c>
      <c r="G33" s="44">
        <v>48362.121</v>
      </c>
      <c r="H33" s="44">
        <v>0</v>
      </c>
      <c r="I33" s="44">
        <v>0</v>
      </c>
    </row>
    <row r="34" spans="1:9" ht="15">
      <c r="A34" s="43" t="str">
        <f>HLOOKUP(INDICE!$F$2,Nombres!$C$3:$D$636,55,FALSE)</f>
        <v>    of which loans and advances to customers</v>
      </c>
      <c r="B34" s="44">
        <v>36858.534</v>
      </c>
      <c r="C34" s="44">
        <v>36911.164</v>
      </c>
      <c r="D34" s="44">
        <v>38932.94</v>
      </c>
      <c r="E34" s="45">
        <v>31414.156</v>
      </c>
      <c r="F34" s="44">
        <v>33726.289000000004</v>
      </c>
      <c r="G34" s="44">
        <v>35609.825999999994</v>
      </c>
      <c r="H34" s="44">
        <v>0</v>
      </c>
      <c r="I34" s="44">
        <v>0</v>
      </c>
    </row>
    <row r="35" spans="1:9" ht="15" hidden="1">
      <c r="A35" s="43"/>
      <c r="B35" s="44"/>
      <c r="C35" s="44"/>
      <c r="D35" s="44"/>
      <c r="E35" s="45"/>
      <c r="F35" s="44"/>
      <c r="G35" s="44"/>
      <c r="H35" s="44"/>
      <c r="I35" s="44"/>
    </row>
    <row r="36" spans="1:9" ht="15">
      <c r="A36" s="43" t="str">
        <f>HLOOKUP(INDICE!$F$2,Nombres!$C$3:$D$636,56,FALSE)</f>
        <v>Tangible assets</v>
      </c>
      <c r="B36" s="44">
        <v>871.2429999999999</v>
      </c>
      <c r="C36" s="44">
        <v>814.192</v>
      </c>
      <c r="D36" s="44">
        <v>851.2760000000001</v>
      </c>
      <c r="E36" s="45">
        <v>623.266</v>
      </c>
      <c r="F36" s="44">
        <v>859.876</v>
      </c>
      <c r="G36" s="44">
        <v>921.2160000000001</v>
      </c>
      <c r="H36" s="44">
        <v>0</v>
      </c>
      <c r="I36" s="44">
        <v>0</v>
      </c>
    </row>
    <row r="37" spans="1:9" ht="15">
      <c r="A37" s="43" t="str">
        <f>HLOOKUP(INDICE!$F$2,Nombres!$C$3:$D$636,57,FALSE)</f>
        <v>Other assets</v>
      </c>
      <c r="B37" s="58">
        <f>+B38-B36-B33-B32-B31</f>
        <v>1197.1019999999999</v>
      </c>
      <c r="C37" s="58">
        <f aca="true" t="shared" si="5" ref="C37:I37">+C38-C36-C33-C32-C31</f>
        <v>1111.1409999999978</v>
      </c>
      <c r="D37" s="58">
        <f t="shared" si="5"/>
        <v>1129.546030849997</v>
      </c>
      <c r="E37" s="64">
        <f t="shared" si="5"/>
        <v>1024.6029999999937</v>
      </c>
      <c r="F37" s="44">
        <f t="shared" si="5"/>
        <v>998.0400000000045</v>
      </c>
      <c r="G37" s="44">
        <f t="shared" si="5"/>
        <v>1168.4590004799938</v>
      </c>
      <c r="H37" s="44">
        <f t="shared" si="5"/>
        <v>0</v>
      </c>
      <c r="I37" s="44">
        <f t="shared" si="5"/>
        <v>0</v>
      </c>
    </row>
    <row r="38" spans="1:9" ht="15">
      <c r="A38" s="47" t="str">
        <f>HLOOKUP(INDICE!$F$2,Nombres!$C$3:$D$636,58,FALSE)</f>
        <v>Total assets / Liabilities and equity</v>
      </c>
      <c r="B38" s="51">
        <v>58875.87100000001</v>
      </c>
      <c r="C38" s="51">
        <v>59243.347</v>
      </c>
      <c r="D38" s="51">
        <v>61548.917030849996</v>
      </c>
      <c r="E38" s="79">
        <v>56244.920999999995</v>
      </c>
      <c r="F38" s="51">
        <v>58968.00000000001</v>
      </c>
      <c r="G38" s="51">
        <v>64100.833000479994</v>
      </c>
      <c r="H38" s="51">
        <v>0</v>
      </c>
      <c r="I38" s="51">
        <v>0</v>
      </c>
    </row>
    <row r="39" spans="1:9" ht="15">
      <c r="A39" s="43" t="str">
        <f>HLOOKUP(INDICE!$F$2,Nombres!$C$3:$D$636,59,FALSE)</f>
        <v>Financial liabilities held for trading and designated at fair value through profit or loss</v>
      </c>
      <c r="B39" s="58">
        <v>2061.667</v>
      </c>
      <c r="C39" s="58">
        <v>1969.616</v>
      </c>
      <c r="D39" s="58">
        <v>1998.7019999999998</v>
      </c>
      <c r="E39" s="64">
        <v>2271.785999999999</v>
      </c>
      <c r="F39" s="44">
        <v>2198.122</v>
      </c>
      <c r="G39" s="44">
        <v>2380.947</v>
      </c>
      <c r="H39" s="44">
        <v>0</v>
      </c>
      <c r="I39" s="44">
        <v>0</v>
      </c>
    </row>
    <row r="40" spans="1:9" ht="15.75" customHeight="1">
      <c r="A40" s="43" t="str">
        <f>HLOOKUP(INDICE!$F$2,Nombres!$C$3:$D$636,60,FALSE)</f>
        <v>Deposits from central banks and credit institutions</v>
      </c>
      <c r="B40" s="58">
        <v>4671.436</v>
      </c>
      <c r="C40" s="58">
        <v>3749.326</v>
      </c>
      <c r="D40" s="58">
        <v>3879.982</v>
      </c>
      <c r="E40" s="64">
        <v>4086.755</v>
      </c>
      <c r="F40" s="44">
        <v>3677.411</v>
      </c>
      <c r="G40" s="44">
        <v>5306.936</v>
      </c>
      <c r="H40" s="44">
        <v>0</v>
      </c>
      <c r="I40" s="44">
        <v>0</v>
      </c>
    </row>
    <row r="41" spans="1:9" ht="15">
      <c r="A41" s="43" t="str">
        <f>HLOOKUP(INDICE!$F$2,Nombres!$C$3:$D$636,61,FALSE)</f>
        <v>Deposits from customers</v>
      </c>
      <c r="B41" s="58">
        <v>38089.234</v>
      </c>
      <c r="C41" s="58">
        <v>39858.453</v>
      </c>
      <c r="D41" s="58">
        <v>41281.827999999994</v>
      </c>
      <c r="E41" s="64">
        <v>38341.210999999996</v>
      </c>
      <c r="F41" s="44">
        <v>40156.687</v>
      </c>
      <c r="G41" s="44">
        <v>42688.41499999999</v>
      </c>
      <c r="H41" s="44">
        <v>0</v>
      </c>
      <c r="I41" s="44">
        <v>0</v>
      </c>
    </row>
    <row r="42" spans="1:9" ht="15">
      <c r="A42" s="43" t="str">
        <f>HLOOKUP(INDICE!$F$2,Nombres!$C$3:$D$636,62,FALSE)</f>
        <v>Debt certificates</v>
      </c>
      <c r="B42" s="44">
        <v>4242.74763894</v>
      </c>
      <c r="C42" s="44">
        <v>3869.5861344400005</v>
      </c>
      <c r="D42" s="44">
        <v>3971.0202847</v>
      </c>
      <c r="E42" s="45">
        <v>3618.19992327</v>
      </c>
      <c r="F42" s="44">
        <v>3548.0527025700003</v>
      </c>
      <c r="G42" s="44">
        <v>3897.0927195699996</v>
      </c>
      <c r="H42" s="44">
        <v>0</v>
      </c>
      <c r="I42" s="44">
        <v>0</v>
      </c>
    </row>
    <row r="43" spans="1:9" ht="15" hidden="1">
      <c r="A43" s="43"/>
      <c r="B43" s="44"/>
      <c r="C43" s="44"/>
      <c r="D43" s="44"/>
      <c r="E43" s="45"/>
      <c r="F43" s="44"/>
      <c r="G43" s="44"/>
      <c r="H43" s="44"/>
      <c r="I43" s="44"/>
    </row>
    <row r="44" spans="1:9" ht="15">
      <c r="A44" s="43" t="str">
        <f>HLOOKUP(INDICE!$F$2,Nombres!$C$3:$D$636,63,FALSE)</f>
        <v>Other liabilities</v>
      </c>
      <c r="B44" s="58">
        <f>+B38-B39-B40-B41-B42-B45</f>
        <v>3364.9573332000064</v>
      </c>
      <c r="C44" s="58">
        <f aca="true" t="shared" si="6" ref="C44:I44">+C38-C39-C40-C41-C42-C45</f>
        <v>3685.081260259998</v>
      </c>
      <c r="D44" s="58">
        <f t="shared" si="6"/>
        <v>3735.150669470002</v>
      </c>
      <c r="E44" s="64">
        <f t="shared" si="6"/>
        <v>2165.685295340001</v>
      </c>
      <c r="F44" s="44">
        <f t="shared" si="6"/>
        <v>2984.6435127300065</v>
      </c>
      <c r="G44" s="44">
        <f t="shared" si="6"/>
        <v>3006.66238996</v>
      </c>
      <c r="H44" s="44">
        <f t="shared" si="6"/>
        <v>0</v>
      </c>
      <c r="I44" s="44">
        <f t="shared" si="6"/>
        <v>0</v>
      </c>
    </row>
    <row r="45" spans="1:9" ht="15">
      <c r="A45" s="43" t="str">
        <f>HLOOKUP(INDICE!$F$2,Nombres!$C$3:$D$636,282,FALSE)</f>
        <v>Regulatory capital allocated</v>
      </c>
      <c r="B45" s="44">
        <v>6445.829027860001</v>
      </c>
      <c r="C45" s="44">
        <v>6111.284605299999</v>
      </c>
      <c r="D45" s="44">
        <v>6682.234076679999</v>
      </c>
      <c r="E45" s="44">
        <v>5761.2837813900005</v>
      </c>
      <c r="F45" s="44">
        <v>6403.0837847</v>
      </c>
      <c r="G45" s="44">
        <v>6820.77989095</v>
      </c>
      <c r="H45" s="44">
        <v>0</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Relevant business indicators</v>
      </c>
      <c r="B48" s="34"/>
      <c r="C48" s="34"/>
      <c r="D48" s="34"/>
      <c r="E48" s="34"/>
      <c r="F48" s="80"/>
      <c r="G48" s="80"/>
      <c r="H48" s="80"/>
      <c r="I48" s="80"/>
    </row>
    <row r="49" spans="1:9" ht="15">
      <c r="A49" s="35" t="str">
        <f>HLOOKUP(INDICE!$F$2,Nombres!$C$3:$D$636,32,FALSE)</f>
        <v>(Million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Loans and advances to customers (gross) (*)</v>
      </c>
      <c r="B51" s="44">
        <v>39266.594000000005</v>
      </c>
      <c r="C51" s="44">
        <v>39186.41300000001</v>
      </c>
      <c r="D51" s="44">
        <v>41346.916</v>
      </c>
      <c r="E51" s="45">
        <v>33450.820999999996</v>
      </c>
      <c r="F51" s="44">
        <v>35828.403</v>
      </c>
      <c r="G51" s="44">
        <v>37754.281</v>
      </c>
      <c r="H51" s="44">
        <v>0</v>
      </c>
      <c r="I51" s="44">
        <v>0</v>
      </c>
    </row>
    <row r="52" spans="1:9" ht="15">
      <c r="A52" s="43" t="str">
        <f>HLOOKUP(INDICE!$F$2,Nombres!$C$3:$D$636,67,FALSE)</f>
        <v>Customer deposits under management (*)</v>
      </c>
      <c r="B52" s="44">
        <v>38086.758</v>
      </c>
      <c r="C52" s="44">
        <v>39856.34500000001</v>
      </c>
      <c r="D52" s="44">
        <v>41279.562999999995</v>
      </c>
      <c r="E52" s="45">
        <v>38334.89699999999</v>
      </c>
      <c r="F52" s="44">
        <v>40154.911</v>
      </c>
      <c r="G52" s="44">
        <v>42686.904</v>
      </c>
      <c r="H52" s="44">
        <v>0</v>
      </c>
      <c r="I52" s="44">
        <v>0</v>
      </c>
    </row>
    <row r="53" spans="1:9" ht="15">
      <c r="A53" s="43" t="str">
        <f>HLOOKUP(INDICE!$F$2,Nombres!$C$3:$D$636,68,FALSE)</f>
        <v>Investment funds and managed portfolios</v>
      </c>
      <c r="B53" s="44">
        <v>1232.623</v>
      </c>
      <c r="C53" s="44">
        <v>1453.084</v>
      </c>
      <c r="D53" s="44">
        <v>1978.496</v>
      </c>
      <c r="E53" s="45">
        <v>1721.798</v>
      </c>
      <c r="F53" s="44">
        <v>2088.436</v>
      </c>
      <c r="G53" s="44">
        <v>2319.513</v>
      </c>
      <c r="H53" s="44">
        <v>0</v>
      </c>
      <c r="I53" s="44">
        <v>0</v>
      </c>
    </row>
    <row r="54" spans="1:9" ht="15">
      <c r="A54" s="43" t="str">
        <f>HLOOKUP(INDICE!$F$2,Nombres!$C$3:$D$636,69,FALSE)</f>
        <v>Pension funds</v>
      </c>
      <c r="B54" s="44">
        <v>2434.119</v>
      </c>
      <c r="C54" s="44">
        <v>2482.271</v>
      </c>
      <c r="D54" s="44">
        <v>2586.371</v>
      </c>
      <c r="E54" s="45">
        <v>2172.906</v>
      </c>
      <c r="F54" s="44">
        <v>2333.143</v>
      </c>
      <c r="G54" s="44">
        <v>2605.557</v>
      </c>
      <c r="H54" s="44">
        <v>0</v>
      </c>
      <c r="I54" s="44">
        <v>0</v>
      </c>
    </row>
    <row r="55" spans="1:9" ht="15">
      <c r="A55" s="43" t="str">
        <f>HLOOKUP(INDICE!$F$2,Nombres!$C$3:$D$636,70,FALSE)</f>
        <v>Other off balance-sheet funds</v>
      </c>
      <c r="B55" s="44">
        <v>0</v>
      </c>
      <c r="C55" s="44">
        <v>0</v>
      </c>
      <c r="D55" s="44">
        <v>0</v>
      </c>
      <c r="E55" s="45">
        <v>0</v>
      </c>
      <c r="F55" s="44">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272.5697128283912</v>
      </c>
      <c r="C64" s="41">
        <v>297.10342608115565</v>
      </c>
      <c r="D64" s="41">
        <v>355.72479269575086</v>
      </c>
      <c r="E64" s="42">
        <v>512.2738633882464</v>
      </c>
      <c r="F64" s="50">
        <v>467.00305931274596</v>
      </c>
      <c r="G64" s="50">
        <v>696.036940677254</v>
      </c>
      <c r="H64" s="50">
        <v>0</v>
      </c>
      <c r="I64" s="50">
        <v>0</v>
      </c>
    </row>
    <row r="65" spans="1:9" ht="15">
      <c r="A65" s="43" t="str">
        <f>HLOOKUP(INDICE!$F$2,Nombres!$C$3:$D$636,34,FALSE)</f>
        <v>Net fees and commissions</v>
      </c>
      <c r="B65" s="44">
        <v>79.46975437407525</v>
      </c>
      <c r="C65" s="44">
        <v>83.83811780687645</v>
      </c>
      <c r="D65" s="44">
        <v>84.97023690177345</v>
      </c>
      <c r="E65" s="45">
        <v>94.07331000789355</v>
      </c>
      <c r="F65" s="44">
        <v>124.96651061259436</v>
      </c>
      <c r="G65" s="44">
        <v>169.71448941740567</v>
      </c>
      <c r="H65" s="44">
        <v>0</v>
      </c>
      <c r="I65" s="44">
        <v>0</v>
      </c>
    </row>
    <row r="66" spans="1:9" ht="15">
      <c r="A66" s="43" t="str">
        <f>HLOOKUP(INDICE!$F$2,Nombres!$C$3:$D$636,35,FALSE)</f>
        <v>Net trading income</v>
      </c>
      <c r="B66" s="44">
        <v>64.66500560516926</v>
      </c>
      <c r="C66" s="44">
        <v>34.10941164729704</v>
      </c>
      <c r="D66" s="44">
        <v>35.06712617815647</v>
      </c>
      <c r="E66" s="45">
        <v>116.8308825994207</v>
      </c>
      <c r="F66" s="44">
        <v>164.41892305693773</v>
      </c>
      <c r="G66" s="44">
        <v>230.6570769430623</v>
      </c>
      <c r="H66" s="44">
        <v>0</v>
      </c>
      <c r="I66" s="44">
        <v>0</v>
      </c>
    </row>
    <row r="67" spans="1:9" ht="15">
      <c r="A67" s="43" t="str">
        <f>HLOOKUP(INDICE!$F$2,Nombres!$C$3:$D$636,36,FALSE)</f>
        <v>Other operating income and expenses</v>
      </c>
      <c r="B67" s="44">
        <v>12.579198300377637</v>
      </c>
      <c r="C67" s="44">
        <v>19.501705885282018</v>
      </c>
      <c r="D67" s="44">
        <v>13.400108128450443</v>
      </c>
      <c r="E67" s="45">
        <v>-0.513736344929054</v>
      </c>
      <c r="F67" s="44">
        <v>-335.89073923267483</v>
      </c>
      <c r="G67" s="44">
        <v>-174.7362607573254</v>
      </c>
      <c r="H67" s="44">
        <v>0</v>
      </c>
      <c r="I67" s="44">
        <v>0</v>
      </c>
    </row>
    <row r="68" spans="1:9" ht="15">
      <c r="A68" s="41" t="str">
        <f>HLOOKUP(INDICE!$F$2,Nombres!$C$3:$D$636,37,FALSE)</f>
        <v>Gross income</v>
      </c>
      <c r="B68" s="41">
        <f>+SUM(B64:B67)</f>
        <v>429.2836711080133</v>
      </c>
      <c r="C68" s="41">
        <f aca="true" t="shared" si="9" ref="C68:I68">+SUM(C64:C67)</f>
        <v>434.55266142061123</v>
      </c>
      <c r="D68" s="41">
        <f t="shared" si="9"/>
        <v>489.1622639041312</v>
      </c>
      <c r="E68" s="42">
        <f t="shared" si="9"/>
        <v>722.6643196506315</v>
      </c>
      <c r="F68" s="50">
        <f t="shared" si="9"/>
        <v>420.49775374960325</v>
      </c>
      <c r="G68" s="50">
        <f t="shared" si="9"/>
        <v>921.6722462803966</v>
      </c>
      <c r="H68" s="50">
        <f t="shared" si="9"/>
        <v>0</v>
      </c>
      <c r="I68" s="50">
        <f t="shared" si="9"/>
        <v>0</v>
      </c>
    </row>
    <row r="69" spans="1:9" ht="15">
      <c r="A69" s="43" t="str">
        <f>HLOOKUP(INDICE!$F$2,Nombres!$C$3:$D$636,38,FALSE)</f>
        <v>Operating expenses</v>
      </c>
      <c r="B69" s="44">
        <v>-136.54517156880286</v>
      </c>
      <c r="C69" s="44">
        <v>-137.9222812291107</v>
      </c>
      <c r="D69" s="44">
        <v>-137.52176292028855</v>
      </c>
      <c r="E69" s="45">
        <v>-200.4529146379753</v>
      </c>
      <c r="F69" s="44">
        <v>-225.38866568921623</v>
      </c>
      <c r="G69" s="44">
        <v>-274.3756321707838</v>
      </c>
      <c r="H69" s="44">
        <v>0</v>
      </c>
      <c r="I69" s="44">
        <v>0</v>
      </c>
    </row>
    <row r="70" spans="1:9" ht="15">
      <c r="A70" s="43" t="str">
        <f>HLOOKUP(INDICE!$F$2,Nombres!$C$3:$D$636,39,FALSE)</f>
        <v>  Administration expenses</v>
      </c>
      <c r="B70" s="44">
        <v>-119.16229346155998</v>
      </c>
      <c r="C70" s="44">
        <v>-120.34616983254406</v>
      </c>
      <c r="D70" s="44">
        <v>-119.50576559906034</v>
      </c>
      <c r="E70" s="45">
        <v>-181.627963620909</v>
      </c>
      <c r="F70" s="44">
        <v>-197.42714079546252</v>
      </c>
      <c r="G70" s="44">
        <v>-238.58111406453742</v>
      </c>
      <c r="H70" s="44">
        <v>0</v>
      </c>
      <c r="I70" s="44">
        <v>0</v>
      </c>
    </row>
    <row r="71" spans="1:9" ht="15">
      <c r="A71" s="46" t="str">
        <f>HLOOKUP(INDICE!$F$2,Nombres!$C$3:$D$636,40,FALSE)</f>
        <v>  Personnel expenses</v>
      </c>
      <c r="B71" s="44">
        <v>-73.02277580338031</v>
      </c>
      <c r="C71" s="44">
        <v>-81.76991420800728</v>
      </c>
      <c r="D71" s="44">
        <v>-81.33092719498887</v>
      </c>
      <c r="E71" s="45">
        <v>-123.71411888213828</v>
      </c>
      <c r="F71" s="44">
        <v>-123.7198059469207</v>
      </c>
      <c r="G71" s="44">
        <v>-156.3017640430793</v>
      </c>
      <c r="H71" s="44">
        <v>0</v>
      </c>
      <c r="I71" s="44">
        <v>0</v>
      </c>
    </row>
    <row r="72" spans="1:9" ht="15">
      <c r="A72" s="46" t="str">
        <f>HLOOKUP(INDICE!$F$2,Nombres!$C$3:$D$636,41,FALSE)</f>
        <v>  General and administrative expenses</v>
      </c>
      <c r="B72" s="44">
        <v>-46.13951765817966</v>
      </c>
      <c r="C72" s="44">
        <v>-38.576255624536785</v>
      </c>
      <c r="D72" s="44">
        <v>-38.174838404071465</v>
      </c>
      <c r="E72" s="45">
        <v>-57.913844738770706</v>
      </c>
      <c r="F72" s="44">
        <v>-73.70733484854179</v>
      </c>
      <c r="G72" s="44">
        <v>-82.2793500214582</v>
      </c>
      <c r="H72" s="44">
        <v>0</v>
      </c>
      <c r="I72" s="44">
        <v>0</v>
      </c>
    </row>
    <row r="73" spans="1:9" ht="15">
      <c r="A73" s="43" t="str">
        <f>HLOOKUP(INDICE!$F$2,Nombres!$C$3:$D$636,42,FALSE)</f>
        <v>  Depreciation</v>
      </c>
      <c r="B73" s="44">
        <v>-17.382878107242895</v>
      </c>
      <c r="C73" s="44">
        <v>-17.576111396566628</v>
      </c>
      <c r="D73" s="44">
        <v>-18.015997321228202</v>
      </c>
      <c r="E73" s="45">
        <v>-18.82495101706634</v>
      </c>
      <c r="F73" s="44">
        <v>-27.961524893753705</v>
      </c>
      <c r="G73" s="44">
        <v>-35.794518106246294</v>
      </c>
      <c r="H73" s="44">
        <v>0</v>
      </c>
      <c r="I73" s="44">
        <v>0</v>
      </c>
    </row>
    <row r="74" spans="1:9" ht="15">
      <c r="A74" s="41" t="str">
        <f>HLOOKUP(INDICE!$F$2,Nombres!$C$3:$D$636,43,FALSE)</f>
        <v>Operating income</v>
      </c>
      <c r="B74" s="41">
        <f>+B68+B69</f>
        <v>292.73849953921047</v>
      </c>
      <c r="C74" s="41">
        <f aca="true" t="shared" si="10" ref="C74:I74">+C68+C69</f>
        <v>296.63038019150054</v>
      </c>
      <c r="D74" s="41">
        <f t="shared" si="10"/>
        <v>351.6405009838426</v>
      </c>
      <c r="E74" s="42">
        <f t="shared" si="10"/>
        <v>522.2114050126561</v>
      </c>
      <c r="F74" s="50">
        <f t="shared" si="10"/>
        <v>195.10908806038702</v>
      </c>
      <c r="G74" s="50">
        <f t="shared" si="10"/>
        <v>647.2966141096128</v>
      </c>
      <c r="H74" s="50">
        <f t="shared" si="10"/>
        <v>0</v>
      </c>
      <c r="I74" s="50">
        <f t="shared" si="10"/>
        <v>0</v>
      </c>
    </row>
    <row r="75" spans="1:9" ht="15">
      <c r="A75" s="43" t="str">
        <f>HLOOKUP(INDICE!$F$2,Nombres!$C$3:$D$636,44,FALSE)</f>
        <v>Impaiment on financial assets not measured at fair value through profit or loss</v>
      </c>
      <c r="B75" s="44">
        <v>-63.22539768184042</v>
      </c>
      <c r="C75" s="44">
        <v>-29.01441761163185</v>
      </c>
      <c r="D75" s="44">
        <v>-39.44082372724546</v>
      </c>
      <c r="E75" s="45">
        <v>-168.04236533058332</v>
      </c>
      <c r="F75" s="44">
        <v>-90.06667491241762</v>
      </c>
      <c r="G75" s="44">
        <v>-81.28732509758237</v>
      </c>
      <c r="H75" s="44">
        <v>0</v>
      </c>
      <c r="I75" s="44">
        <v>0</v>
      </c>
    </row>
    <row r="76" spans="1:9" ht="15">
      <c r="A76" s="43" t="str">
        <f>HLOOKUP(INDICE!$F$2,Nombres!$C$3:$D$636,45,FALSE)</f>
        <v>Provisions or reversal of provisions and other results</v>
      </c>
      <c r="B76" s="44">
        <v>17.916607726519857</v>
      </c>
      <c r="C76" s="44">
        <v>8.264682337906713</v>
      </c>
      <c r="D76" s="44">
        <v>7.03946242575341</v>
      </c>
      <c r="E76" s="45">
        <v>-12.961944119474136</v>
      </c>
      <c r="F76" s="44">
        <v>-10.557462958239668</v>
      </c>
      <c r="G76" s="44">
        <v>-23.465537041760328</v>
      </c>
      <c r="H76" s="44">
        <v>0</v>
      </c>
      <c r="I76" s="44">
        <v>0</v>
      </c>
    </row>
    <row r="77" spans="1:9" ht="15">
      <c r="A77" s="41" t="str">
        <f>HLOOKUP(INDICE!$F$2,Nombres!$C$3:$D$636,46,FALSE)</f>
        <v>Profit/(loss) before tax</v>
      </c>
      <c r="B77" s="41">
        <f>+B74+B75+B76</f>
        <v>247.4297095838899</v>
      </c>
      <c r="C77" s="41">
        <f aca="true" t="shared" si="11" ref="C77:I77">+C74+C75+C76</f>
        <v>275.8806449177754</v>
      </c>
      <c r="D77" s="41">
        <f t="shared" si="11"/>
        <v>319.2391396823506</v>
      </c>
      <c r="E77" s="42">
        <f t="shared" si="11"/>
        <v>341.2070955625986</v>
      </c>
      <c r="F77" s="50">
        <f t="shared" si="11"/>
        <v>94.48495018972973</v>
      </c>
      <c r="G77" s="50">
        <f t="shared" si="11"/>
        <v>542.5437519702701</v>
      </c>
      <c r="H77" s="50">
        <f t="shared" si="11"/>
        <v>0</v>
      </c>
      <c r="I77" s="50">
        <f t="shared" si="11"/>
        <v>0</v>
      </c>
    </row>
    <row r="78" spans="1:9" ht="15">
      <c r="A78" s="43" t="str">
        <f>HLOOKUP(INDICE!$F$2,Nombres!$C$3:$D$636,47,FALSE)</f>
        <v>Income tax</v>
      </c>
      <c r="B78" s="44">
        <v>-48.27798560520138</v>
      </c>
      <c r="C78" s="44">
        <v>-47.570796472871145</v>
      </c>
      <c r="D78" s="44">
        <v>-84.98272489812781</v>
      </c>
      <c r="E78" s="45">
        <v>-95.03270022477426</v>
      </c>
      <c r="F78" s="44">
        <v>-291.60852246348225</v>
      </c>
      <c r="G78" s="44">
        <v>-344.2314881865177</v>
      </c>
      <c r="H78" s="44">
        <v>0</v>
      </c>
      <c r="I78" s="44">
        <v>0</v>
      </c>
    </row>
    <row r="79" spans="1:9" ht="15">
      <c r="A79" s="41" t="str">
        <f>HLOOKUP(INDICE!$F$2,Nombres!$C$3:$D$636,48,FALSE)</f>
        <v>Profit/(loss) for the year</v>
      </c>
      <c r="B79" s="41">
        <f>+B77+B78</f>
        <v>199.1517239786885</v>
      </c>
      <c r="C79" s="41">
        <f aca="true" t="shared" si="12" ref="C79:I79">+C77+C78</f>
        <v>228.30984844490425</v>
      </c>
      <c r="D79" s="41">
        <f t="shared" si="12"/>
        <v>234.25641478422278</v>
      </c>
      <c r="E79" s="42">
        <f t="shared" si="12"/>
        <v>246.17439533782436</v>
      </c>
      <c r="F79" s="50">
        <f t="shared" si="12"/>
        <v>-197.12357227375253</v>
      </c>
      <c r="G79" s="50">
        <f t="shared" si="12"/>
        <v>198.31226378375243</v>
      </c>
      <c r="H79" s="50">
        <f t="shared" si="12"/>
        <v>0</v>
      </c>
      <c r="I79" s="50">
        <f t="shared" si="12"/>
        <v>0</v>
      </c>
    </row>
    <row r="80" spans="1:9" ht="15">
      <c r="A80" s="43" t="str">
        <f>HLOOKUP(INDICE!$F$2,Nombres!$C$3:$D$636,49,FALSE)</f>
        <v>Non-controlling interests</v>
      </c>
      <c r="B80" s="44">
        <v>-101.00777122456697</v>
      </c>
      <c r="C80" s="44">
        <v>-115.51592878416228</v>
      </c>
      <c r="D80" s="44">
        <v>-118.56559134126113</v>
      </c>
      <c r="E80" s="45">
        <v>-124.7620031702279</v>
      </c>
      <c r="F80" s="44">
        <v>99.1191887378485</v>
      </c>
      <c r="G80" s="44">
        <v>-38.78018872784844</v>
      </c>
      <c r="H80" s="44">
        <v>0</v>
      </c>
      <c r="I80" s="44">
        <v>0</v>
      </c>
    </row>
    <row r="81" spans="1:9" ht="15">
      <c r="A81" s="47" t="str">
        <f>HLOOKUP(INDICE!$F$2,Nombres!$C$3:$D$636,50,FALSE)</f>
        <v>Net attributable profit</v>
      </c>
      <c r="B81" s="47">
        <f>+B79+B80</f>
        <v>98.14395275412153</v>
      </c>
      <c r="C81" s="47">
        <f aca="true" t="shared" si="13" ref="C81:I81">+C79+C80</f>
        <v>112.79391966074196</v>
      </c>
      <c r="D81" s="47">
        <f t="shared" si="13"/>
        <v>115.69082344296166</v>
      </c>
      <c r="E81" s="47">
        <f t="shared" si="13"/>
        <v>121.41239216759647</v>
      </c>
      <c r="F81" s="51">
        <f t="shared" si="13"/>
        <v>-98.00438353590403</v>
      </c>
      <c r="G81" s="51">
        <f t="shared" si="13"/>
        <v>159.532075055904</v>
      </c>
      <c r="H81" s="51">
        <f t="shared" si="13"/>
        <v>0</v>
      </c>
      <c r="I81" s="51">
        <f t="shared" si="13"/>
        <v>0</v>
      </c>
    </row>
    <row r="82" spans="1:9" ht="15">
      <c r="A82" s="62"/>
      <c r="B82" s="63">
        <v>0</v>
      </c>
      <c r="C82" s="63">
        <v>0</v>
      </c>
      <c r="D82" s="63">
        <v>0</v>
      </c>
      <c r="E82" s="63">
        <v>-2.5579538487363607E-13</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3751.5824053116526</v>
      </c>
      <c r="C87" s="44">
        <v>3966.2145595096754</v>
      </c>
      <c r="D87" s="44">
        <v>3720.155629698242</v>
      </c>
      <c r="E87" s="45">
        <v>6827.713270039197</v>
      </c>
      <c r="F87" s="44">
        <v>7450.621435691601</v>
      </c>
      <c r="G87" s="44">
        <v>8050.876</v>
      </c>
      <c r="H87" s="44">
        <v>0</v>
      </c>
      <c r="I87" s="44">
        <v>0</v>
      </c>
    </row>
    <row r="88" spans="1:9" ht="15">
      <c r="A88" s="43" t="str">
        <f>HLOOKUP(INDICE!$F$2,Nombres!$C$3:$D$636,53,FALSE)</f>
        <v>Financial assets designated at fair value </v>
      </c>
      <c r="B88" s="58">
        <v>3083.4251630783137</v>
      </c>
      <c r="C88" s="58">
        <v>3070.638116318309</v>
      </c>
      <c r="D88" s="58">
        <v>3220.589578902087</v>
      </c>
      <c r="E88" s="64">
        <v>4651.611048949299</v>
      </c>
      <c r="F88" s="44">
        <v>4866.807857324287</v>
      </c>
      <c r="G88" s="44">
        <v>5598.161000000001</v>
      </c>
      <c r="H88" s="44">
        <v>0</v>
      </c>
      <c r="I88" s="44">
        <v>0</v>
      </c>
    </row>
    <row r="89" spans="1:9" ht="15">
      <c r="A89" s="43" t="str">
        <f>HLOOKUP(INDICE!$F$2,Nombres!$C$3:$D$636,54,FALSE)</f>
        <v>Financial assets at amortized cost</v>
      </c>
      <c r="B89" s="44">
        <v>25058.14508998502</v>
      </c>
      <c r="C89" s="44">
        <v>27115.047941451012</v>
      </c>
      <c r="D89" s="44">
        <v>28473.07531552285</v>
      </c>
      <c r="E89" s="45">
        <v>36535.00379761492</v>
      </c>
      <c r="F89" s="44">
        <v>41364.79681890406</v>
      </c>
      <c r="G89" s="44">
        <v>48362.121</v>
      </c>
      <c r="H89" s="44">
        <v>0</v>
      </c>
      <c r="I89" s="44">
        <v>0</v>
      </c>
    </row>
    <row r="90" spans="1:9" ht="15">
      <c r="A90" s="43" t="str">
        <f>HLOOKUP(INDICE!$F$2,Nombres!$C$3:$D$636,55,FALSE)</f>
        <v>    of which loans and advances to customers</v>
      </c>
      <c r="B90" s="44">
        <v>20693.294258685102</v>
      </c>
      <c r="C90" s="44">
        <v>21992.8486111903</v>
      </c>
      <c r="D90" s="44">
        <v>23146.017169702274</v>
      </c>
      <c r="E90" s="45">
        <v>27626.575766218397</v>
      </c>
      <c r="F90" s="44">
        <v>31701.971792126213</v>
      </c>
      <c r="G90" s="44">
        <v>35609.825999999994</v>
      </c>
      <c r="H90" s="44">
        <v>0</v>
      </c>
      <c r="I90" s="44">
        <v>0</v>
      </c>
    </row>
    <row r="91" spans="1:9" ht="15" hidden="1">
      <c r="A91" s="43"/>
      <c r="B91" s="44"/>
      <c r="C91" s="44"/>
      <c r="D91" s="44"/>
      <c r="E91" s="45"/>
      <c r="F91" s="44"/>
      <c r="G91" s="44"/>
      <c r="H91" s="44"/>
      <c r="I91" s="44"/>
    </row>
    <row r="92" spans="1:9" ht="15">
      <c r="A92" s="43" t="str">
        <f>HLOOKUP(INDICE!$F$2,Nombres!$C$3:$D$636,56,FALSE)</f>
        <v>Tangible assets</v>
      </c>
      <c r="B92" s="44">
        <v>489.13740763047133</v>
      </c>
      <c r="C92" s="44">
        <v>485.12155824840033</v>
      </c>
      <c r="D92" s="44">
        <v>506.09198565932786</v>
      </c>
      <c r="E92" s="45">
        <v>548.119305561094</v>
      </c>
      <c r="F92" s="44">
        <v>823.456729117492</v>
      </c>
      <c r="G92" s="44">
        <v>921.2160000000001</v>
      </c>
      <c r="H92" s="44">
        <v>0</v>
      </c>
      <c r="I92" s="44">
        <v>0</v>
      </c>
    </row>
    <row r="93" spans="1:9" ht="15">
      <c r="A93" s="43" t="str">
        <f>HLOOKUP(INDICE!$F$2,Nombres!$C$3:$D$636,57,FALSE)</f>
        <v>Other assets</v>
      </c>
      <c r="B93" s="58">
        <f>+B94-B92-B89-B88-B87</f>
        <v>672.0827242792807</v>
      </c>
      <c r="C93" s="58">
        <f aca="true" t="shared" si="15" ref="C93:I93">+C94-C92-C89-C88-C87</f>
        <v>662.0532421759053</v>
      </c>
      <c r="D93" s="58">
        <f t="shared" si="15"/>
        <v>671.5262660365038</v>
      </c>
      <c r="E93" s="64">
        <f t="shared" si="15"/>
        <v>901.0674171795399</v>
      </c>
      <c r="F93" s="44">
        <f t="shared" si="15"/>
        <v>940.1631673035263</v>
      </c>
      <c r="G93" s="44">
        <f t="shared" si="15"/>
        <v>1168.4590004799938</v>
      </c>
      <c r="H93" s="44">
        <f t="shared" si="15"/>
        <v>0</v>
      </c>
      <c r="I93" s="44">
        <f t="shared" si="15"/>
        <v>0</v>
      </c>
    </row>
    <row r="94" spans="1:9" ht="15">
      <c r="A94" s="47" t="str">
        <f>HLOOKUP(INDICE!$F$2,Nombres!$C$3:$D$636,58,FALSE)</f>
        <v>Total assets / Liabilities and equity</v>
      </c>
      <c r="B94" s="47">
        <v>33054.37279028474</v>
      </c>
      <c r="C94" s="47">
        <v>35299.0754177033</v>
      </c>
      <c r="D94" s="47">
        <v>36591.438775819006</v>
      </c>
      <c r="E94" s="47">
        <v>49463.51483934405</v>
      </c>
      <c r="F94" s="47">
        <v>55445.84600834097</v>
      </c>
      <c r="G94" s="47">
        <v>64100.833000479994</v>
      </c>
      <c r="H94" s="47">
        <v>0</v>
      </c>
      <c r="I94" s="47">
        <v>0</v>
      </c>
    </row>
    <row r="95" spans="1:9" ht="15">
      <c r="A95" s="43" t="str">
        <f>HLOOKUP(INDICE!$F$2,Nombres!$C$3:$D$636,59,FALSE)</f>
        <v>Financial liabilities held for trading and designated at fair value through profit or loss</v>
      </c>
      <c r="B95" s="58">
        <v>1157.4709372440188</v>
      </c>
      <c r="C95" s="58">
        <v>1173.5600240127405</v>
      </c>
      <c r="D95" s="58">
        <v>1188.2480698636755</v>
      </c>
      <c r="E95" s="64">
        <v>1997.8785377405725</v>
      </c>
      <c r="F95" s="44">
        <v>2066.1864588675044</v>
      </c>
      <c r="G95" s="44">
        <v>2380.947</v>
      </c>
      <c r="H95" s="44">
        <v>0</v>
      </c>
      <c r="I95" s="44">
        <v>0</v>
      </c>
    </row>
    <row r="96" spans="1:9" ht="15">
      <c r="A96" s="43" t="str">
        <f>HLOOKUP(INDICE!$F$2,Nombres!$C$3:$D$636,60,FALSE)</f>
        <v>Deposits from central banks and credit institutions</v>
      </c>
      <c r="B96" s="58">
        <v>2622.6599180155918</v>
      </c>
      <c r="C96" s="58">
        <v>2233.967997107859</v>
      </c>
      <c r="D96" s="58">
        <v>2306.687601556311</v>
      </c>
      <c r="E96" s="64">
        <v>3594.018144096307</v>
      </c>
      <c r="F96" s="44">
        <v>3456.6856670787192</v>
      </c>
      <c r="G96" s="44">
        <v>5306.936</v>
      </c>
      <c r="H96" s="44">
        <v>0</v>
      </c>
      <c r="I96" s="44">
        <v>0</v>
      </c>
    </row>
    <row r="97" spans="1:9" ht="15">
      <c r="A97" s="43" t="str">
        <f>HLOOKUP(INDICE!$F$2,Nombres!$C$3:$D$636,61,FALSE)</f>
        <v>Deposits from customers</v>
      </c>
      <c r="B97" s="58">
        <v>21384.239732646813</v>
      </c>
      <c r="C97" s="58">
        <v>23748.937386673693</v>
      </c>
      <c r="D97" s="58">
        <v>24542.454273545645</v>
      </c>
      <c r="E97" s="64">
        <v>33718.441159459006</v>
      </c>
      <c r="F97" s="44">
        <v>37746.40484576412</v>
      </c>
      <c r="G97" s="44">
        <v>42688.41499999999</v>
      </c>
      <c r="H97" s="44">
        <v>0</v>
      </c>
      <c r="I97" s="44">
        <v>0</v>
      </c>
    </row>
    <row r="98" spans="1:9" ht="15">
      <c r="A98" s="43" t="str">
        <f>HLOOKUP(INDICE!$F$2,Nombres!$C$3:$D$636,62,FALSE)</f>
        <v>Debt certificates</v>
      </c>
      <c r="B98" s="44">
        <v>2381.98365018877</v>
      </c>
      <c r="C98" s="44">
        <v>2305.622820312575</v>
      </c>
      <c r="D98" s="44">
        <v>2360.810760525719</v>
      </c>
      <c r="E98" s="45">
        <v>3181.9563867176394</v>
      </c>
      <c r="F98" s="44">
        <v>3335.09170528223</v>
      </c>
      <c r="G98" s="44">
        <v>3897.0927195699996</v>
      </c>
      <c r="H98" s="44">
        <v>0</v>
      </c>
      <c r="I98" s="44">
        <v>0</v>
      </c>
    </row>
    <row r="99" spans="1:9" ht="15" hidden="1">
      <c r="A99" s="43"/>
      <c r="B99" s="44"/>
      <c r="C99" s="44"/>
      <c r="D99" s="44"/>
      <c r="E99" s="45"/>
      <c r="F99" s="44"/>
      <c r="G99" s="44"/>
      <c r="H99" s="44"/>
      <c r="I99" s="44"/>
    </row>
    <row r="100" spans="1:9" ht="15">
      <c r="A100" s="43" t="str">
        <f>HLOOKUP(INDICE!$F$2,Nombres!$C$3:$D$636,63,FALSE)</f>
        <v>Other liabilities</v>
      </c>
      <c r="B100" s="58">
        <f>+B94-B95-B96-B97-B98-B101</f>
        <v>1889.1704228884437</v>
      </c>
      <c r="C100" s="58">
        <f aca="true" t="shared" si="16" ref="C100:I100">+C94-C95-C96-C97-C98-C101</f>
        <v>2195.6889324008403</v>
      </c>
      <c r="D100" s="58">
        <f t="shared" si="16"/>
        <v>2220.5839458047003</v>
      </c>
      <c r="E100" s="64">
        <f t="shared" si="16"/>
        <v>1904.5703121069482</v>
      </c>
      <c r="F100" s="44">
        <f t="shared" si="16"/>
        <v>2822.7190408889855</v>
      </c>
      <c r="G100" s="44">
        <f t="shared" si="16"/>
        <v>3006.66238996</v>
      </c>
      <c r="H100" s="44">
        <f t="shared" si="16"/>
        <v>0</v>
      </c>
      <c r="I100" s="44">
        <f t="shared" si="16"/>
        <v>0</v>
      </c>
    </row>
    <row r="101" spans="1:9" ht="15">
      <c r="A101" s="43" t="str">
        <f>HLOOKUP(INDICE!$F$2,Nombres!$C$3:$D$636,282,FALSE)</f>
        <v>Regulatory capital allocated</v>
      </c>
      <c r="B101" s="44">
        <v>3618.8481293011037</v>
      </c>
      <c r="C101" s="44">
        <v>3641.298257195595</v>
      </c>
      <c r="D101" s="44">
        <v>3972.654124522959</v>
      </c>
      <c r="E101" s="44">
        <v>5066.650299223575</v>
      </c>
      <c r="F101" s="44">
        <v>6018.758290459415</v>
      </c>
      <c r="G101" s="44">
        <v>6820.77989095</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22045.238808963997</v>
      </c>
      <c r="C107" s="44">
        <v>23348.514523264006</v>
      </c>
      <c r="D107" s="44">
        <v>24581.14973208388</v>
      </c>
      <c r="E107" s="45">
        <v>29417.68165914467</v>
      </c>
      <c r="F107" s="44">
        <v>33677.912837161835</v>
      </c>
      <c r="G107" s="44">
        <v>37754.281</v>
      </c>
      <c r="H107" s="44">
        <v>0</v>
      </c>
      <c r="I107" s="44">
        <v>0</v>
      </c>
    </row>
    <row r="108" spans="1:9" ht="15">
      <c r="A108" s="43" t="str">
        <f>HLOOKUP(INDICE!$F$2,Nombres!$C$3:$D$636,67,FALSE)</f>
        <v>Customer deposits under management (*)</v>
      </c>
      <c r="B108" s="44">
        <v>21382.849644897135</v>
      </c>
      <c r="C108" s="44">
        <v>23747.681373049403</v>
      </c>
      <c r="D108" s="44">
        <v>24541.107708685926</v>
      </c>
      <c r="E108" s="45">
        <v>33712.88843350361</v>
      </c>
      <c r="F108" s="44">
        <v>37744.735444724996</v>
      </c>
      <c r="G108" s="44">
        <v>42686.904</v>
      </c>
      <c r="H108" s="44">
        <v>0</v>
      </c>
      <c r="I108" s="44">
        <v>0</v>
      </c>
    </row>
    <row r="109" spans="1:9" ht="15">
      <c r="A109" s="43" t="str">
        <f>HLOOKUP(INDICE!$F$2,Nombres!$C$3:$D$636,68,FALSE)</f>
        <v>Investment funds and managed portfolios</v>
      </c>
      <c r="B109" s="44">
        <v>692.0250938092983</v>
      </c>
      <c r="C109" s="44">
        <v>865.7937861656937</v>
      </c>
      <c r="D109" s="44">
        <v>1176.2354033933032</v>
      </c>
      <c r="E109" s="45">
        <v>1514.2021609978415</v>
      </c>
      <c r="F109" s="44">
        <v>1963.0840250957021</v>
      </c>
      <c r="G109" s="44">
        <v>2319.513</v>
      </c>
      <c r="H109" s="44">
        <v>0</v>
      </c>
      <c r="I109" s="44">
        <v>0</v>
      </c>
    </row>
    <row r="110" spans="1:9" ht="15">
      <c r="A110" s="43" t="str">
        <f>HLOOKUP(INDICE!$F$2,Nombres!$C$3:$D$636,69,FALSE)</f>
        <v>Pension funds</v>
      </c>
      <c r="B110" s="44">
        <v>1366.574718561957</v>
      </c>
      <c r="C110" s="44">
        <v>1479.0162216219453</v>
      </c>
      <c r="D110" s="44">
        <v>1537.6230917372293</v>
      </c>
      <c r="E110" s="45">
        <v>1910.9204220501915</v>
      </c>
      <c r="F110" s="44">
        <v>2193.1032368546903</v>
      </c>
      <c r="G110" s="44">
        <v>2605.557</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HLOOKUP(INDICE!$F$2,Nombres!$C$3:$D$636,77,FALSE)</f>
        <v>(Million Turkish liras)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41">
        <v>4721.452565633921</v>
      </c>
      <c r="C120" s="41">
        <v>5146.425546600154</v>
      </c>
      <c r="D120" s="41">
        <v>6161.864859102583</v>
      </c>
      <c r="E120" s="42">
        <v>8873.607861649794</v>
      </c>
      <c r="F120" s="50">
        <v>8085.936720550397</v>
      </c>
      <c r="G120" s="50">
        <v>12060.242159363977</v>
      </c>
      <c r="H120" s="50">
        <v>0</v>
      </c>
      <c r="I120" s="50">
        <v>0</v>
      </c>
    </row>
    <row r="121" spans="1:9" ht="15">
      <c r="A121" s="43" t="str">
        <f>HLOOKUP(INDICE!$F$2,Nombres!$C$3:$D$636,34,FALSE)</f>
        <v>Net fees and commissions</v>
      </c>
      <c r="B121" s="44">
        <v>1376.5750852737165</v>
      </c>
      <c r="C121" s="44">
        <v>1452.243876657029</v>
      </c>
      <c r="D121" s="44">
        <v>1471.8544436189177</v>
      </c>
      <c r="E121" s="45">
        <v>1629.5378759638174</v>
      </c>
      <c r="F121" s="44">
        <v>2163.461765440714</v>
      </c>
      <c r="G121" s="44">
        <v>2941.0025171011393</v>
      </c>
      <c r="H121" s="44">
        <v>0</v>
      </c>
      <c r="I121" s="44">
        <v>0</v>
      </c>
    </row>
    <row r="122" spans="1:9" ht="15">
      <c r="A122" s="43" t="str">
        <f>HLOOKUP(INDICE!$F$2,Nombres!$C$3:$D$636,35,FALSE)</f>
        <v>Net trading income</v>
      </c>
      <c r="B122" s="44">
        <v>1120.1272270976117</v>
      </c>
      <c r="C122" s="44">
        <v>590.8432285570483</v>
      </c>
      <c r="D122" s="44">
        <v>607.4327596606674</v>
      </c>
      <c r="E122" s="45">
        <v>2023.7445483959646</v>
      </c>
      <c r="F122" s="44">
        <v>2848.051069104657</v>
      </c>
      <c r="G122" s="44">
        <v>3995.4554029250994</v>
      </c>
      <c r="H122" s="44">
        <v>0</v>
      </c>
      <c r="I122" s="44">
        <v>0</v>
      </c>
    </row>
    <row r="123" spans="1:9" ht="15">
      <c r="A123" s="43" t="str">
        <f>HLOOKUP(INDICE!$F$2,Nombres!$C$3:$D$636,36,FALSE)</f>
        <v>Other operating income and expenses</v>
      </c>
      <c r="B123" s="44">
        <v>217.89687296008864</v>
      </c>
      <c r="C123" s="44">
        <v>337.80854934632384</v>
      </c>
      <c r="D123" s="44">
        <v>232.11667300202782</v>
      </c>
      <c r="E123" s="45">
        <v>-8.898940966899346</v>
      </c>
      <c r="F123" s="44">
        <v>-4903.33323367084</v>
      </c>
      <c r="G123" s="44">
        <v>-3941.7476601943977</v>
      </c>
      <c r="H123" s="44">
        <v>0</v>
      </c>
      <c r="I123" s="44">
        <v>0</v>
      </c>
    </row>
    <row r="124" spans="1:9" ht="15">
      <c r="A124" s="41" t="str">
        <f>HLOOKUP(INDICE!$F$2,Nombres!$C$3:$D$636,37,FALSE)</f>
        <v>Gross income</v>
      </c>
      <c r="B124" s="41">
        <f>+SUM(B120:B123)</f>
        <v>7436.051750965337</v>
      </c>
      <c r="C124" s="41">
        <f aca="true" t="shared" si="19" ref="C124:I124">+SUM(C120:C123)</f>
        <v>7527.321201160555</v>
      </c>
      <c r="D124" s="41">
        <f t="shared" si="19"/>
        <v>8473.268735384197</v>
      </c>
      <c r="E124" s="42">
        <f t="shared" si="19"/>
        <v>12517.991345042677</v>
      </c>
      <c r="F124" s="50">
        <f t="shared" si="19"/>
        <v>8194.116321424928</v>
      </c>
      <c r="G124" s="50">
        <f t="shared" si="19"/>
        <v>15054.95241919582</v>
      </c>
      <c r="H124" s="50">
        <f t="shared" si="19"/>
        <v>0</v>
      </c>
      <c r="I124" s="50">
        <f t="shared" si="19"/>
        <v>0</v>
      </c>
    </row>
    <row r="125" spans="1:9" ht="15">
      <c r="A125" s="43" t="str">
        <f>HLOOKUP(INDICE!$F$2,Nombres!$C$3:$D$636,38,FALSE)</f>
        <v>Operating expenses</v>
      </c>
      <c r="B125" s="44">
        <v>-2365.2354619250873</v>
      </c>
      <c r="C125" s="44">
        <v>-2389.089755461043</v>
      </c>
      <c r="D125" s="44">
        <v>-2382.151977315596</v>
      </c>
      <c r="E125" s="45">
        <v>-3472.245387374105</v>
      </c>
      <c r="F125" s="44">
        <v>-3894.4519147851233</v>
      </c>
      <c r="G125" s="44">
        <v>-4762.465252783437</v>
      </c>
      <c r="H125" s="44">
        <v>0</v>
      </c>
      <c r="I125" s="44">
        <v>0</v>
      </c>
    </row>
    <row r="126" spans="1:9" ht="15">
      <c r="A126" s="43" t="str">
        <f>HLOOKUP(INDICE!$F$2,Nombres!$C$3:$D$636,39,FALSE)</f>
        <v>  Administration expenses</v>
      </c>
      <c r="B126" s="44">
        <v>-2064.129247350116</v>
      </c>
      <c r="C126" s="44">
        <v>-2084.6363538483924</v>
      </c>
      <c r="D126" s="44">
        <v>-2070.078871715924</v>
      </c>
      <c r="E126" s="45">
        <v>-3146.1595858550645</v>
      </c>
      <c r="F126" s="44">
        <v>-3417.0870851737423</v>
      </c>
      <c r="G126" s="44">
        <v>-4135.447905544015</v>
      </c>
      <c r="H126" s="44">
        <v>0</v>
      </c>
      <c r="I126" s="44">
        <v>0</v>
      </c>
    </row>
    <row r="127" spans="1:9" ht="15">
      <c r="A127" s="46" t="str">
        <f>HLOOKUP(INDICE!$F$2,Nombres!$C$3:$D$636,40,FALSE)</f>
        <v>  Personnel expenses</v>
      </c>
      <c r="B127" s="44">
        <v>-1264.9005224716536</v>
      </c>
      <c r="C127" s="44">
        <v>-1416.4184539172606</v>
      </c>
      <c r="D127" s="44">
        <v>-1408.8143208777228</v>
      </c>
      <c r="E127" s="45">
        <v>-2142.9759672857167</v>
      </c>
      <c r="F127" s="44">
        <v>-2141.9412056218252</v>
      </c>
      <c r="G127" s="44">
        <v>-2708.592429766045</v>
      </c>
      <c r="H127" s="44">
        <v>0</v>
      </c>
      <c r="I127" s="44">
        <v>0</v>
      </c>
    </row>
    <row r="128" spans="1:9" ht="15">
      <c r="A128" s="46" t="str">
        <f>HLOOKUP(INDICE!$F$2,Nombres!$C$3:$D$636,41,FALSE)</f>
        <v>  General and administrative expenses</v>
      </c>
      <c r="B128" s="44">
        <v>-799.2287248784631</v>
      </c>
      <c r="C128" s="44">
        <v>-668.2178999311319</v>
      </c>
      <c r="D128" s="44">
        <v>-661.2645508382009</v>
      </c>
      <c r="E128" s="45">
        <v>-1003.1836185693477</v>
      </c>
      <c r="F128" s="44">
        <v>-1275.1458795519172</v>
      </c>
      <c r="G128" s="44">
        <v>-1426.855475777971</v>
      </c>
      <c r="H128" s="44">
        <v>0</v>
      </c>
      <c r="I128" s="44">
        <v>0</v>
      </c>
    </row>
    <row r="129" spans="1:9" ht="15">
      <c r="A129" s="43" t="str">
        <f>HLOOKUP(INDICE!$F$2,Nombres!$C$3:$D$636,42,FALSE)</f>
        <v>  Depreciation</v>
      </c>
      <c r="B129" s="44">
        <v>-301.10621457497064</v>
      </c>
      <c r="C129" s="44">
        <v>-304.4534016126509</v>
      </c>
      <c r="D129" s="44">
        <v>-312.07310559967175</v>
      </c>
      <c r="E129" s="45">
        <v>-326.085801519041</v>
      </c>
      <c r="F129" s="44">
        <v>-477.3648296113805</v>
      </c>
      <c r="G129" s="44">
        <v>-627.0173472394213</v>
      </c>
      <c r="H129" s="44">
        <v>0</v>
      </c>
      <c r="I129" s="44">
        <v>0</v>
      </c>
    </row>
    <row r="130" spans="1:9" ht="15">
      <c r="A130" s="41" t="str">
        <f>HLOOKUP(INDICE!$F$2,Nombres!$C$3:$D$636,43,FALSE)</f>
        <v>Operating income</v>
      </c>
      <c r="B130" s="41">
        <f>+B124+B125</f>
        <v>5070.81628904025</v>
      </c>
      <c r="C130" s="41">
        <f aca="true" t="shared" si="20" ref="C130:I130">+C124+C125</f>
        <v>5138.231445699512</v>
      </c>
      <c r="D130" s="41">
        <f t="shared" si="20"/>
        <v>6091.1167580686015</v>
      </c>
      <c r="E130" s="42">
        <f t="shared" si="20"/>
        <v>9045.745957668572</v>
      </c>
      <c r="F130" s="50">
        <f t="shared" si="20"/>
        <v>4299.664406639805</v>
      </c>
      <c r="G130" s="50">
        <f t="shared" si="20"/>
        <v>10292.487166412384</v>
      </c>
      <c r="H130" s="50">
        <f t="shared" si="20"/>
        <v>0</v>
      </c>
      <c r="I130" s="50">
        <f t="shared" si="20"/>
        <v>0</v>
      </c>
    </row>
    <row r="131" spans="1:9" ht="15">
      <c r="A131" s="43" t="str">
        <f>HLOOKUP(INDICE!$F$2,Nombres!$C$3:$D$636,44,FALSE)</f>
        <v>Impaiment on financial assets not measured at fair value through profit or loss</v>
      </c>
      <c r="B131" s="44">
        <v>-1095.190338649602</v>
      </c>
      <c r="C131" s="44">
        <v>-502.587741870872</v>
      </c>
      <c r="D131" s="44">
        <v>-683.1939486063164</v>
      </c>
      <c r="E131" s="45">
        <v>-2910.829852269021</v>
      </c>
      <c r="F131" s="44">
        <v>-1561.1632061397295</v>
      </c>
      <c r="G131" s="44">
        <v>-1407.0307820463956</v>
      </c>
      <c r="H131" s="44">
        <v>0</v>
      </c>
      <c r="I131" s="44">
        <v>0</v>
      </c>
    </row>
    <row r="132" spans="1:9" ht="15">
      <c r="A132" s="43" t="str">
        <f>HLOOKUP(INDICE!$F$2,Nombres!$C$3:$D$636,45,FALSE)</f>
        <v>Provisions or reversal of provisions and other results</v>
      </c>
      <c r="B132" s="44">
        <v>310.35147904012643</v>
      </c>
      <c r="C132" s="44">
        <v>143.16082745784246</v>
      </c>
      <c r="D132" s="44">
        <v>121.93756813943114</v>
      </c>
      <c r="E132" s="45">
        <v>-224.5267960385086</v>
      </c>
      <c r="F132" s="44">
        <v>-176.2233330631111</v>
      </c>
      <c r="G132" s="44">
        <v>-413.1230729394514</v>
      </c>
      <c r="H132" s="44">
        <v>0</v>
      </c>
      <c r="I132" s="44">
        <v>0</v>
      </c>
    </row>
    <row r="133" spans="1:9" ht="15">
      <c r="A133" s="41" t="str">
        <f>HLOOKUP(INDICE!$F$2,Nombres!$C$3:$D$636,46,FALSE)</f>
        <v>Profit/(loss) before tax</v>
      </c>
      <c r="B133" s="41">
        <f>+B130+B131+B132</f>
        <v>4285.9774294307745</v>
      </c>
      <c r="C133" s="41">
        <f aca="true" t="shared" si="21" ref="C133:I133">+C130+C131+C132</f>
        <v>4778.8045312864815</v>
      </c>
      <c r="D133" s="41">
        <f t="shared" si="21"/>
        <v>5529.860377601716</v>
      </c>
      <c r="E133" s="42">
        <f t="shared" si="21"/>
        <v>5910.389309361042</v>
      </c>
      <c r="F133" s="50">
        <f t="shared" si="21"/>
        <v>2562.2778674369642</v>
      </c>
      <c r="G133" s="50">
        <f t="shared" si="21"/>
        <v>8472.333311426537</v>
      </c>
      <c r="H133" s="50">
        <f t="shared" si="21"/>
        <v>0</v>
      </c>
      <c r="I133" s="50">
        <f t="shared" si="21"/>
        <v>0</v>
      </c>
    </row>
    <row r="134" spans="1:9" ht="15">
      <c r="A134" s="43" t="str">
        <f>HLOOKUP(INDICE!$F$2,Nombres!$C$3:$D$636,47,FALSE)</f>
        <v>Income tax</v>
      </c>
      <c r="B134" s="44">
        <v>-836.2712666569346</v>
      </c>
      <c r="C134" s="44">
        <v>-824.0213365066566</v>
      </c>
      <c r="D134" s="44">
        <v>-1472.070760691771</v>
      </c>
      <c r="E134" s="45">
        <v>-1646.1564333006968</v>
      </c>
      <c r="F134" s="44">
        <v>-5025.122443033179</v>
      </c>
      <c r="G134" s="44">
        <v>-5988.89822149401</v>
      </c>
      <c r="H134" s="44">
        <v>0</v>
      </c>
      <c r="I134" s="44">
        <v>0</v>
      </c>
    </row>
    <row r="135" spans="1:9" ht="15">
      <c r="A135" s="41" t="str">
        <f>HLOOKUP(INDICE!$F$2,Nombres!$C$3:$D$636,48,FALSE)</f>
        <v>Profit/(loss) for the year</v>
      </c>
      <c r="B135" s="41">
        <f>+B133+B134</f>
        <v>3449.70616277384</v>
      </c>
      <c r="C135" s="41">
        <f aca="true" t="shared" si="22" ref="C135:I135">+C133+C134</f>
        <v>3954.783194779825</v>
      </c>
      <c r="D135" s="41">
        <f t="shared" si="22"/>
        <v>4057.789616909945</v>
      </c>
      <c r="E135" s="42">
        <f t="shared" si="22"/>
        <v>4264.232876060345</v>
      </c>
      <c r="F135" s="50">
        <f t="shared" si="22"/>
        <v>-2462.8445755962143</v>
      </c>
      <c r="G135" s="50">
        <f t="shared" si="22"/>
        <v>2483.4350899325273</v>
      </c>
      <c r="H135" s="50">
        <f t="shared" si="22"/>
        <v>0</v>
      </c>
      <c r="I135" s="50">
        <f t="shared" si="22"/>
        <v>0</v>
      </c>
    </row>
    <row r="136" spans="1:9" ht="15">
      <c r="A136" s="43" t="str">
        <f>HLOOKUP(INDICE!$F$2,Nombres!$C$3:$D$636,49,FALSE)</f>
        <v>Non-controlling interests</v>
      </c>
      <c r="B136" s="44">
        <v>-1749.6566131595564</v>
      </c>
      <c r="C136" s="44">
        <v>-2000.966918407959</v>
      </c>
      <c r="D136" s="44">
        <v>-2053.793173222254</v>
      </c>
      <c r="E136" s="45">
        <v>-2161.1274189240844</v>
      </c>
      <c r="F136" s="44">
        <v>1237.5036469020229</v>
      </c>
      <c r="G136" s="44">
        <v>-192.3114887242574</v>
      </c>
      <c r="H136" s="44">
        <v>0</v>
      </c>
      <c r="I136" s="44">
        <v>0</v>
      </c>
    </row>
    <row r="137" spans="1:9" ht="15">
      <c r="A137" s="47" t="str">
        <f>HLOOKUP(INDICE!$F$2,Nombres!$C$3:$D$636,50,FALSE)</f>
        <v>Net attributable profit</v>
      </c>
      <c r="B137" s="47">
        <f>+B135+B136</f>
        <v>1700.0495496142835</v>
      </c>
      <c r="C137" s="47">
        <f aca="true" t="shared" si="23" ref="C137:I137">+C135+C136</f>
        <v>1953.816276371866</v>
      </c>
      <c r="D137" s="47">
        <f t="shared" si="23"/>
        <v>2003.9964436876908</v>
      </c>
      <c r="E137" s="47">
        <f t="shared" si="23"/>
        <v>2103.1054571362606</v>
      </c>
      <c r="F137" s="51">
        <f t="shared" si="23"/>
        <v>-1225.3409286941915</v>
      </c>
      <c r="G137" s="51">
        <f t="shared" si="23"/>
        <v>2291.12360120827</v>
      </c>
      <c r="H137" s="51">
        <f t="shared" si="23"/>
        <v>0</v>
      </c>
      <c r="I137" s="51">
        <f t="shared" si="23"/>
        <v>0</v>
      </c>
    </row>
    <row r="138" spans="1:9" ht="15">
      <c r="A138" s="62"/>
      <c r="B138" s="63">
        <v>0</v>
      </c>
      <c r="C138" s="63">
        <v>0</v>
      </c>
      <c r="D138" s="63">
        <v>1.8189894035458565E-12</v>
      </c>
      <c r="E138" s="63">
        <v>0</v>
      </c>
      <c r="F138" s="63">
        <v>0</v>
      </c>
      <c r="G138" s="63">
        <v>4.547473508864641E-12</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HLOOKUP(INDICE!$F$2,Nombres!$C$3:$D$636,77,FALSE)</f>
        <v>(Million Turkish liras)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64984.91042509099</v>
      </c>
      <c r="C143" s="44">
        <v>68702.7686001253</v>
      </c>
      <c r="D143" s="44">
        <v>64440.53581791313</v>
      </c>
      <c r="E143" s="45">
        <v>118269.6492641332</v>
      </c>
      <c r="F143" s="44">
        <v>129059.66450961103</v>
      </c>
      <c r="G143" s="44">
        <v>139457.27407260638</v>
      </c>
      <c r="H143" s="44">
        <v>0</v>
      </c>
      <c r="I143" s="44">
        <v>0</v>
      </c>
    </row>
    <row r="144" spans="1:9" ht="15">
      <c r="A144" s="43" t="str">
        <f>HLOOKUP(INDICE!$F$2,Nombres!$C$3:$D$636,53,FALSE)</f>
        <v>Financial assets designated at fair value </v>
      </c>
      <c r="B144" s="58">
        <v>53411.09067507478</v>
      </c>
      <c r="C144" s="58">
        <v>53189.59345109702</v>
      </c>
      <c r="D144" s="58">
        <v>55787.05268598451</v>
      </c>
      <c r="E144" s="64">
        <v>80575.2065902501</v>
      </c>
      <c r="F144" s="44">
        <v>84302.84570493786</v>
      </c>
      <c r="G144" s="44">
        <v>96971.34484242162</v>
      </c>
      <c r="H144" s="44">
        <v>0</v>
      </c>
      <c r="I144" s="44">
        <v>0</v>
      </c>
    </row>
    <row r="145" spans="1:9" ht="15">
      <c r="A145" s="43" t="str">
        <f>HLOOKUP(INDICE!$F$2,Nombres!$C$3:$D$636,54,FALSE)</f>
        <v>Financial assets at amortized cost</v>
      </c>
      <c r="B145" s="44">
        <v>434057.1892506077</v>
      </c>
      <c r="C145" s="44">
        <v>469686.8604438566</v>
      </c>
      <c r="D145" s="44">
        <v>493210.6106176312</v>
      </c>
      <c r="E145" s="45">
        <v>632859.3357850373</v>
      </c>
      <c r="F145" s="44">
        <v>716521.0105001717</v>
      </c>
      <c r="G145" s="44">
        <v>837728.6599656425</v>
      </c>
      <c r="H145" s="44">
        <v>0</v>
      </c>
      <c r="I145" s="44">
        <v>0</v>
      </c>
    </row>
    <row r="146" spans="1:9" ht="15">
      <c r="A146" s="43" t="str">
        <f>HLOOKUP(INDICE!$F$2,Nombres!$C$3:$D$636,55,FALSE)</f>
        <v>    of which loans and advances to customers</v>
      </c>
      <c r="B146" s="44">
        <v>358449.2431505018</v>
      </c>
      <c r="C146" s="44">
        <v>380960.123644695</v>
      </c>
      <c r="D146" s="44">
        <v>400935.30941532605</v>
      </c>
      <c r="E146" s="45">
        <v>478547.54542451585</v>
      </c>
      <c r="F146" s="44">
        <v>549141.555385598</v>
      </c>
      <c r="G146" s="44">
        <v>616833.4059746821</v>
      </c>
      <c r="H146" s="44">
        <v>0</v>
      </c>
      <c r="I146" s="44">
        <v>0</v>
      </c>
    </row>
    <row r="147" spans="1:9" ht="15" hidden="1">
      <c r="A147" s="43"/>
      <c r="B147" s="44"/>
      <c r="C147" s="44"/>
      <c r="D147" s="44"/>
      <c r="E147" s="45"/>
      <c r="F147" s="44"/>
      <c r="G147" s="44"/>
      <c r="H147" s="44"/>
      <c r="I147" s="44"/>
    </row>
    <row r="148" spans="1:9" ht="15">
      <c r="A148" s="43" t="str">
        <f>HLOOKUP(INDICE!$F$2,Nombres!$C$3:$D$636,56,FALSE)</f>
        <v>Tangible assets</v>
      </c>
      <c r="B148" s="44">
        <v>8472.838175011862</v>
      </c>
      <c r="C148" s="44">
        <v>8403.275632015326</v>
      </c>
      <c r="D148" s="44">
        <v>8766.525375628993</v>
      </c>
      <c r="E148" s="45">
        <v>9494.522610970555</v>
      </c>
      <c r="F148" s="44">
        <v>14000.758994822892</v>
      </c>
      <c r="G148" s="44">
        <v>15957.303552069381</v>
      </c>
      <c r="H148" s="44">
        <v>0</v>
      </c>
      <c r="I148" s="44">
        <v>0</v>
      </c>
    </row>
    <row r="149" spans="1:9" ht="15">
      <c r="A149" s="43" t="str">
        <f>HLOOKUP(INDICE!$F$2,Nombres!$C$3:$D$636,57,FALSE)</f>
        <v>Other assets</v>
      </c>
      <c r="B149" s="58">
        <f>+B150-B148-B145-B144-B143</f>
        <v>11641.81695001648</v>
      </c>
      <c r="C149" s="58">
        <f aca="true" t="shared" si="25" ref="C149:I149">+C150-C148-C145-C144-C143</f>
        <v>11468.086261020711</v>
      </c>
      <c r="D149" s="58">
        <f t="shared" si="25"/>
        <v>11632.17798033492</v>
      </c>
      <c r="E149" s="64">
        <f t="shared" si="25"/>
        <v>15608.289800451501</v>
      </c>
      <c r="F149" s="44">
        <f t="shared" si="25"/>
        <v>16250.386692026514</v>
      </c>
      <c r="G149" s="44">
        <f t="shared" si="25"/>
        <v>20240.046806402446</v>
      </c>
      <c r="H149" s="44">
        <f t="shared" si="25"/>
        <v>0</v>
      </c>
      <c r="I149" s="44">
        <f t="shared" si="25"/>
        <v>0</v>
      </c>
    </row>
    <row r="150" spans="1:9" ht="15">
      <c r="A150" s="47" t="str">
        <f>HLOOKUP(INDICE!$F$2,Nombres!$C$3:$D$636,58,FALSE)</f>
        <v>Total assets / Liabilities and equity</v>
      </c>
      <c r="B150" s="47">
        <v>572567.8454758018</v>
      </c>
      <c r="C150" s="47">
        <v>611450.584388115</v>
      </c>
      <c r="D150" s="47">
        <v>633836.9024774927</v>
      </c>
      <c r="E150" s="70">
        <v>856807.0040508426</v>
      </c>
      <c r="F150" s="51">
        <v>960134.66640157</v>
      </c>
      <c r="G150" s="51">
        <v>1110354.6292391424</v>
      </c>
      <c r="H150" s="51">
        <v>0</v>
      </c>
      <c r="I150" s="51">
        <v>0</v>
      </c>
    </row>
    <row r="151" spans="1:9" ht="15">
      <c r="A151" s="43" t="str">
        <f>HLOOKUP(INDICE!$F$2,Nombres!$C$3:$D$636,59,FALSE)</f>
        <v>Financial liabilities held for trading and designated at fair value through profit or loss</v>
      </c>
      <c r="B151" s="58">
        <v>20049.71157502807</v>
      </c>
      <c r="C151" s="58">
        <v>20328.40673603707</v>
      </c>
      <c r="D151" s="58">
        <v>20582.83306626808</v>
      </c>
      <c r="E151" s="64">
        <v>34607.25203089266</v>
      </c>
      <c r="F151" s="44">
        <v>35790.48184065852</v>
      </c>
      <c r="G151" s="44">
        <v>41242.763934179326</v>
      </c>
      <c r="H151" s="44">
        <v>0</v>
      </c>
      <c r="I151" s="44">
        <v>0</v>
      </c>
    </row>
    <row r="152" spans="1:9" ht="15">
      <c r="A152" s="43" t="str">
        <f>HLOOKUP(INDICE!$F$2,Nombres!$C$3:$D$636,60,FALSE)</f>
        <v>Deposits from central banks and credit institutions</v>
      </c>
      <c r="B152" s="58">
        <v>45429.71510006361</v>
      </c>
      <c r="C152" s="58">
        <v>38696.79364607059</v>
      </c>
      <c r="D152" s="58">
        <v>39956.44263433215</v>
      </c>
      <c r="E152" s="64">
        <v>62255.5822923069</v>
      </c>
      <c r="F152" s="44">
        <v>59876.70912539791</v>
      </c>
      <c r="G152" s="44">
        <v>91926.7453923997</v>
      </c>
      <c r="H152" s="44">
        <v>0</v>
      </c>
      <c r="I152" s="44">
        <v>0</v>
      </c>
    </row>
    <row r="153" spans="1:9" ht="15">
      <c r="A153" s="43" t="str">
        <f>HLOOKUP(INDICE!$F$2,Nombres!$C$3:$D$636,61,FALSE)</f>
        <v>Deposits from customers</v>
      </c>
      <c r="B153" s="58">
        <v>370417.8006505186</v>
      </c>
      <c r="C153" s="58">
        <v>411379.0934137504</v>
      </c>
      <c r="D153" s="58">
        <v>425124.392928206</v>
      </c>
      <c r="E153" s="64">
        <v>584070.8377666885</v>
      </c>
      <c r="F153" s="44">
        <v>653843.2247411691</v>
      </c>
      <c r="G153" s="44">
        <v>739448.7246332152</v>
      </c>
      <c r="H153" s="44">
        <v>0</v>
      </c>
      <c r="I153" s="44">
        <v>0</v>
      </c>
    </row>
    <row r="154" spans="1:9" ht="15">
      <c r="A154" s="43" t="str">
        <f>HLOOKUP(INDICE!$F$2,Nombres!$C$3:$D$636,62,FALSE)</f>
        <v>Debt certificates</v>
      </c>
      <c r="B154" s="44">
        <v>41260.72078874927</v>
      </c>
      <c r="C154" s="44">
        <v>39937.99849362808</v>
      </c>
      <c r="D154" s="44">
        <v>40893.96399400432</v>
      </c>
      <c r="E154" s="45">
        <v>55117.8485309626</v>
      </c>
      <c r="F154" s="44">
        <v>57770.458519149965</v>
      </c>
      <c r="G154" s="44">
        <v>67505.44008868505</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Other liabilities</v>
      </c>
      <c r="B156" s="58">
        <f>+B150-B151-B152-B153-B154-B157</f>
        <v>32724.210065416075</v>
      </c>
      <c r="C156" s="58">
        <f aca="true" t="shared" si="26" ref="C156:I156">+C150-C151-C152-C153-C154-C157</f>
        <v>38033.72368721239</v>
      </c>
      <c r="D156" s="58">
        <f t="shared" si="26"/>
        <v>38464.95510939622</v>
      </c>
      <c r="E156" s="64">
        <f t="shared" si="26"/>
        <v>32990.96694645952</v>
      </c>
      <c r="F156" s="44">
        <f t="shared" si="26"/>
        <v>48596.86106740314</v>
      </c>
      <c r="G156" s="44">
        <f t="shared" si="26"/>
        <v>52081.405919113575</v>
      </c>
      <c r="H156" s="44">
        <f t="shared" si="26"/>
        <v>0</v>
      </c>
      <c r="I156" s="44">
        <f t="shared" si="26"/>
        <v>0</v>
      </c>
    </row>
    <row r="157" spans="1:9" ht="15.75" customHeight="1">
      <c r="A157" s="43" t="str">
        <f>HLOOKUP(INDICE!$F$2,Nombres!$C$3:$D$636,282,FALSE)</f>
        <v>Regulatory capital allocated</v>
      </c>
      <c r="B157" s="44">
        <v>62685.68729602627</v>
      </c>
      <c r="C157" s="44">
        <v>63074.568411416345</v>
      </c>
      <c r="D157" s="44">
        <v>68814.3147452859</v>
      </c>
      <c r="E157" s="44">
        <v>87764.51648353235</v>
      </c>
      <c r="F157" s="44">
        <v>104256.93110779129</v>
      </c>
      <c r="G157" s="44">
        <v>118149.54927154962</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8"/>
      <c r="G160" s="68"/>
      <c r="H160" s="68"/>
      <c r="I160" s="68"/>
    </row>
    <row r="161" spans="1:9" ht="15">
      <c r="A161" s="35" t="str">
        <f>HLOOKUP(INDICE!$F$2,Nombres!$C$3:$D$636,77,FALSE)</f>
        <v>(Million Turkish liras)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381867.6266505346</v>
      </c>
      <c r="C163" s="44">
        <v>404442.9685737377</v>
      </c>
      <c r="D163" s="44">
        <v>425794.67566100816</v>
      </c>
      <c r="E163" s="45">
        <v>509573.0817019196</v>
      </c>
      <c r="F163" s="44">
        <v>583368.8061678539</v>
      </c>
      <c r="G163" s="44">
        <v>653979.6554848434</v>
      </c>
      <c r="H163" s="44">
        <v>0</v>
      </c>
      <c r="I163" s="44">
        <v>0</v>
      </c>
    </row>
    <row r="164" spans="1:9" ht="15">
      <c r="A164" s="43" t="str">
        <f>HLOOKUP(INDICE!$F$2,Nombres!$C$3:$D$636,67,FALSE)</f>
        <v>Customer deposits under management (*)</v>
      </c>
      <c r="B164" s="44">
        <v>370393.72155051853</v>
      </c>
      <c r="C164" s="44">
        <v>411357.33674575033</v>
      </c>
      <c r="D164" s="44">
        <v>425101.0677317059</v>
      </c>
      <c r="E164" s="45">
        <v>583974.6534476888</v>
      </c>
      <c r="F164" s="44">
        <v>653814.3073763689</v>
      </c>
      <c r="G164" s="44">
        <v>739422.5510912151</v>
      </c>
      <c r="H164" s="44">
        <v>0</v>
      </c>
      <c r="I164" s="44">
        <v>0</v>
      </c>
    </row>
    <row r="165" spans="1:9" ht="15">
      <c r="A165" s="43" t="str">
        <f>HLOOKUP(INDICE!$F$2,Nombres!$C$3:$D$636,68,FALSE)</f>
        <v>Investment funds and managed portfolios</v>
      </c>
      <c r="B165" s="44">
        <v>11987.258675016783</v>
      </c>
      <c r="C165" s="44">
        <v>14997.279964027355</v>
      </c>
      <c r="D165" s="44">
        <v>20374.749657667388</v>
      </c>
      <c r="E165" s="45">
        <v>26229.00983291865</v>
      </c>
      <c r="F165" s="44">
        <v>34004.5414828556</v>
      </c>
      <c r="G165" s="44">
        <v>40178.60418617469</v>
      </c>
      <c r="H165" s="44">
        <v>0</v>
      </c>
      <c r="I165" s="44">
        <v>0</v>
      </c>
    </row>
    <row r="166" spans="1:9" ht="15">
      <c r="A166" s="43" t="str">
        <f>HLOOKUP(INDICE!$F$2,Nombres!$C$3:$D$636,69,FALSE)</f>
        <v>Pension funds</v>
      </c>
      <c r="B166" s="44">
        <v>23671.807275033145</v>
      </c>
      <c r="C166" s="44">
        <v>25619.51899104673</v>
      </c>
      <c r="D166" s="44">
        <v>26634.70719518809</v>
      </c>
      <c r="E166" s="45">
        <v>33100.96355089734</v>
      </c>
      <c r="F166" s="44">
        <v>37988.93426896212</v>
      </c>
      <c r="G166" s="44">
        <v>45133.458354196235</v>
      </c>
      <c r="H166" s="44">
        <v>0</v>
      </c>
      <c r="I166" s="44">
        <v>0</v>
      </c>
    </row>
    <row r="167" spans="1:15" ht="15">
      <c r="A167" s="43" t="str">
        <f>HLOOKUP(INDICE!$F$2,Nombres!$C$3:$D$636,70,FALSE)</f>
        <v>Other off balance-sheet funds</v>
      </c>
      <c r="B167" s="44">
        <v>0</v>
      </c>
      <c r="C167" s="44">
        <v>0</v>
      </c>
      <c r="D167" s="44">
        <v>0</v>
      </c>
      <c r="E167" s="45">
        <v>0</v>
      </c>
      <c r="F167" s="44">
        <v>0</v>
      </c>
      <c r="G167" s="44">
        <v>0</v>
      </c>
      <c r="H167" s="44">
        <v>0</v>
      </c>
      <c r="I167" s="44">
        <v>0</v>
      </c>
      <c r="N167" s="73"/>
      <c r="O167" s="73"/>
    </row>
    <row r="168" spans="1:15" ht="15">
      <c r="A168" s="62" t="str">
        <f>HLOOKUP(INDICE!$F$2,Nombres!$C$3:$D$636,71,FALSE)</f>
        <v>(*) Excluding repos. </v>
      </c>
      <c r="B168" s="58"/>
      <c r="C168" s="58"/>
      <c r="D168" s="58"/>
      <c r="E168" s="58"/>
      <c r="F168" s="44"/>
      <c r="G168" s="44"/>
      <c r="H168" s="44"/>
      <c r="I168" s="44"/>
      <c r="N168" s="73"/>
      <c r="O168" s="73"/>
    </row>
    <row r="169" spans="1:15" ht="15">
      <c r="A169" s="62">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83">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HLOOKUP(INDICE!$F$2,Nombres!$C$3:$D$636,283,FALSE)</f>
        <v>South America </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659.8777555500001</v>
      </c>
      <c r="C8" s="41">
        <v>667.90775358</v>
      </c>
      <c r="D8" s="41">
        <v>732.88197283</v>
      </c>
      <c r="E8" s="42">
        <v>798.53109522</v>
      </c>
      <c r="F8" s="50">
        <v>809.3452602399998</v>
      </c>
      <c r="G8" s="50">
        <v>1039.8659387700002</v>
      </c>
      <c r="H8" s="50">
        <v>0</v>
      </c>
      <c r="I8" s="50">
        <v>0</v>
      </c>
    </row>
    <row r="9" spans="1:9" ht="15">
      <c r="A9" s="43" t="str">
        <f>HLOOKUP(INDICE!$F$2,Nombres!$C$3:$D$636,34,FALSE)</f>
        <v>Net fees and commissions</v>
      </c>
      <c r="B9" s="44">
        <v>120.15356926</v>
      </c>
      <c r="C9" s="44">
        <v>146.68809574</v>
      </c>
      <c r="D9" s="44">
        <v>159.10616692</v>
      </c>
      <c r="E9" s="45">
        <v>162.84024071</v>
      </c>
      <c r="F9" s="44">
        <v>178.23668924000003</v>
      </c>
      <c r="G9" s="44">
        <v>222.71375805</v>
      </c>
      <c r="H9" s="44">
        <v>0</v>
      </c>
      <c r="I9" s="44">
        <v>0</v>
      </c>
    </row>
    <row r="10" spans="1:9" ht="15">
      <c r="A10" s="43" t="str">
        <f>HLOOKUP(INDICE!$F$2,Nombres!$C$3:$D$636,35,FALSE)</f>
        <v>Net trading income</v>
      </c>
      <c r="B10" s="44">
        <v>74.42403224</v>
      </c>
      <c r="C10" s="44">
        <v>105.54285952999999</v>
      </c>
      <c r="D10" s="44">
        <v>70.48393611000002</v>
      </c>
      <c r="E10" s="45">
        <v>73.96165569</v>
      </c>
      <c r="F10" s="44">
        <v>93.22845095000001</v>
      </c>
      <c r="G10" s="44">
        <v>109.65490933999997</v>
      </c>
      <c r="H10" s="44">
        <v>0</v>
      </c>
      <c r="I10" s="44">
        <v>0</v>
      </c>
    </row>
    <row r="11" spans="1:9" ht="15">
      <c r="A11" s="43" t="str">
        <f>HLOOKUP(INDICE!$F$2,Nombres!$C$3:$D$636,36,FALSE)</f>
        <v>Other operating income and expenses</v>
      </c>
      <c r="B11" s="44">
        <v>-140.19099999999997</v>
      </c>
      <c r="C11" s="44">
        <v>-154.58100000000002</v>
      </c>
      <c r="D11" s="44">
        <v>-148.22700000000003</v>
      </c>
      <c r="E11" s="45">
        <v>-167.86100000000005</v>
      </c>
      <c r="F11" s="44">
        <v>-199.326</v>
      </c>
      <c r="G11" s="44">
        <v>-278.93499999999995</v>
      </c>
      <c r="H11" s="44">
        <v>0</v>
      </c>
      <c r="I11" s="44">
        <v>0</v>
      </c>
    </row>
    <row r="12" spans="1:9" ht="15">
      <c r="A12" s="41" t="str">
        <f>HLOOKUP(INDICE!$F$2,Nombres!$C$3:$D$636,37,FALSE)</f>
        <v>Gross income</v>
      </c>
      <c r="B12" s="41">
        <f>+SUM(B8:B11)</f>
        <v>714.2643570500002</v>
      </c>
      <c r="C12" s="41">
        <f aca="true" t="shared" si="0" ref="C12:I12">+SUM(C8:C11)</f>
        <v>765.5577088499999</v>
      </c>
      <c r="D12" s="41">
        <f t="shared" si="0"/>
        <v>814.24507586</v>
      </c>
      <c r="E12" s="42">
        <f t="shared" si="0"/>
        <v>867.4719916199999</v>
      </c>
      <c r="F12" s="50">
        <f t="shared" si="0"/>
        <v>881.4844004299998</v>
      </c>
      <c r="G12" s="50">
        <f t="shared" si="0"/>
        <v>1093.2996061600002</v>
      </c>
      <c r="H12" s="50">
        <f t="shared" si="0"/>
        <v>0</v>
      </c>
      <c r="I12" s="50">
        <f t="shared" si="0"/>
        <v>0</v>
      </c>
    </row>
    <row r="13" spans="1:9" ht="15">
      <c r="A13" s="43" t="str">
        <f>HLOOKUP(INDICE!$F$2,Nombres!$C$3:$D$636,38,FALSE)</f>
        <v>Operating expenses</v>
      </c>
      <c r="B13" s="44">
        <v>-342.53702811000005</v>
      </c>
      <c r="C13" s="44">
        <v>-350.82946807</v>
      </c>
      <c r="D13" s="44">
        <v>-396.50146483000003</v>
      </c>
      <c r="E13" s="45">
        <v>-432.4261928200001</v>
      </c>
      <c r="F13" s="44">
        <v>-412.74003183</v>
      </c>
      <c r="G13" s="44">
        <v>-510.38438627</v>
      </c>
      <c r="H13" s="44">
        <v>0</v>
      </c>
      <c r="I13" s="44">
        <v>0</v>
      </c>
    </row>
    <row r="14" spans="1:9" ht="15">
      <c r="A14" s="43" t="str">
        <f>HLOOKUP(INDICE!$F$2,Nombres!$C$3:$D$636,39,FALSE)</f>
        <v>  Administration expenses</v>
      </c>
      <c r="B14" s="44">
        <v>-308.13902811</v>
      </c>
      <c r="C14" s="44">
        <v>-315.34146807</v>
      </c>
      <c r="D14" s="44">
        <v>-359.88646483</v>
      </c>
      <c r="E14" s="45">
        <v>-393.90419282</v>
      </c>
      <c r="F14" s="44">
        <v>-378.11303183000007</v>
      </c>
      <c r="G14" s="44">
        <v>-462.48838627000003</v>
      </c>
      <c r="H14" s="44">
        <v>0</v>
      </c>
      <c r="I14" s="44">
        <v>0</v>
      </c>
    </row>
    <row r="15" spans="1:9" ht="15">
      <c r="A15" s="46" t="str">
        <f>HLOOKUP(INDICE!$F$2,Nombres!$C$3:$D$636,40,FALSE)</f>
        <v>  Personnel expenses</v>
      </c>
      <c r="B15" s="44">
        <v>-165.87710144000002</v>
      </c>
      <c r="C15" s="44">
        <v>-166.23455489999998</v>
      </c>
      <c r="D15" s="44">
        <v>-186.48427492000002</v>
      </c>
      <c r="E15" s="45">
        <v>-205.72601752</v>
      </c>
      <c r="F15" s="44">
        <v>-200.64723098000002</v>
      </c>
      <c r="G15" s="44">
        <v>-246.14736519000002</v>
      </c>
      <c r="H15" s="44">
        <v>0</v>
      </c>
      <c r="I15" s="44">
        <v>0</v>
      </c>
    </row>
    <row r="16" spans="1:9" ht="15">
      <c r="A16" s="46" t="str">
        <f>HLOOKUP(INDICE!$F$2,Nombres!$C$3:$D$636,41,FALSE)</f>
        <v>  General and administrative expenses</v>
      </c>
      <c r="B16" s="44">
        <v>-142.26192667000004</v>
      </c>
      <c r="C16" s="44">
        <v>-149.10691316999998</v>
      </c>
      <c r="D16" s="44">
        <v>-173.40218991</v>
      </c>
      <c r="E16" s="45">
        <v>-188.17817530000002</v>
      </c>
      <c r="F16" s="44">
        <v>-177.46580085</v>
      </c>
      <c r="G16" s="44">
        <v>-216.34102108000002</v>
      </c>
      <c r="H16" s="44">
        <v>0</v>
      </c>
      <c r="I16" s="44">
        <v>0</v>
      </c>
    </row>
    <row r="17" spans="1:9" ht="15">
      <c r="A17" s="43" t="str">
        <f>HLOOKUP(INDICE!$F$2,Nombres!$C$3:$D$636,42,FALSE)</f>
        <v>  Depreciation</v>
      </c>
      <c r="B17" s="44">
        <v>-34.397999999999996</v>
      </c>
      <c r="C17" s="44">
        <v>-35.488</v>
      </c>
      <c r="D17" s="44">
        <v>-36.615</v>
      </c>
      <c r="E17" s="45">
        <v>-38.522000000000006</v>
      </c>
      <c r="F17" s="44">
        <v>-34.627</v>
      </c>
      <c r="G17" s="44">
        <v>-47.896</v>
      </c>
      <c r="H17" s="44">
        <v>0</v>
      </c>
      <c r="I17" s="44">
        <v>0</v>
      </c>
    </row>
    <row r="18" spans="1:9" ht="15">
      <c r="A18" s="41" t="str">
        <f>HLOOKUP(INDICE!$F$2,Nombres!$C$3:$D$636,43,FALSE)</f>
        <v>Operating income</v>
      </c>
      <c r="B18" s="41">
        <f>+B12+B13</f>
        <v>371.7273289400001</v>
      </c>
      <c r="C18" s="41">
        <f aca="true" t="shared" si="1" ref="C18:I18">+C12+C13</f>
        <v>414.7282407799999</v>
      </c>
      <c r="D18" s="41">
        <f t="shared" si="1"/>
        <v>417.74361103</v>
      </c>
      <c r="E18" s="42">
        <f t="shared" si="1"/>
        <v>435.04579879999983</v>
      </c>
      <c r="F18" s="50">
        <f t="shared" si="1"/>
        <v>468.7443685999998</v>
      </c>
      <c r="G18" s="50">
        <f t="shared" si="1"/>
        <v>582.9152198900001</v>
      </c>
      <c r="H18" s="50">
        <f t="shared" si="1"/>
        <v>0</v>
      </c>
      <c r="I18" s="50">
        <f t="shared" si="1"/>
        <v>0</v>
      </c>
    </row>
    <row r="19" spans="1:9" ht="15">
      <c r="A19" s="43" t="str">
        <f>HLOOKUP(INDICE!$F$2,Nombres!$C$3:$D$636,44,FALSE)</f>
        <v>Impaiment on financial assets not measured at fair value through profit or loss</v>
      </c>
      <c r="B19" s="44">
        <v>-159.254</v>
      </c>
      <c r="C19" s="44">
        <v>-184.08600000000004</v>
      </c>
      <c r="D19" s="44">
        <v>-164.624</v>
      </c>
      <c r="E19" s="45">
        <v>-114.34799999999998</v>
      </c>
      <c r="F19" s="44">
        <v>-140.98599999999996</v>
      </c>
      <c r="G19" s="44">
        <v>-130.73500000000004</v>
      </c>
      <c r="H19" s="44">
        <v>0</v>
      </c>
      <c r="I19" s="44">
        <v>0</v>
      </c>
    </row>
    <row r="20" spans="1:9" ht="15">
      <c r="A20" s="43" t="str">
        <f>HLOOKUP(INDICE!$F$2,Nombres!$C$3:$D$636,45,FALSE)</f>
        <v>Provisions or reversal of provisions and other results</v>
      </c>
      <c r="B20" s="44">
        <v>-15.966793999999998</v>
      </c>
      <c r="C20" s="44">
        <v>-13.527615</v>
      </c>
      <c r="D20" s="44">
        <v>-17.842942999999998</v>
      </c>
      <c r="E20" s="45">
        <v>-29.586426000000003</v>
      </c>
      <c r="F20" s="44">
        <v>-16.292266</v>
      </c>
      <c r="G20" s="44">
        <v>-25.30676299999998</v>
      </c>
      <c r="H20" s="44">
        <v>0</v>
      </c>
      <c r="I20" s="44">
        <v>0</v>
      </c>
    </row>
    <row r="21" spans="1:9" ht="15">
      <c r="A21" s="41" t="str">
        <f>HLOOKUP(INDICE!$F$2,Nombres!$C$3:$D$636,46,FALSE)</f>
        <v>Profit/(loss) before tax</v>
      </c>
      <c r="B21" s="41">
        <f>+B18+B19+B20</f>
        <v>196.50653494000014</v>
      </c>
      <c r="C21" s="41">
        <f aca="true" t="shared" si="2" ref="C21:I21">+C18+C19+C20</f>
        <v>217.11462577999987</v>
      </c>
      <c r="D21" s="41">
        <f t="shared" si="2"/>
        <v>235.27666803000002</v>
      </c>
      <c r="E21" s="42">
        <f t="shared" si="2"/>
        <v>291.11137279999986</v>
      </c>
      <c r="F21" s="50">
        <f t="shared" si="2"/>
        <v>311.46610259999983</v>
      </c>
      <c r="G21" s="50">
        <f t="shared" si="2"/>
        <v>426.8734568900001</v>
      </c>
      <c r="H21" s="50">
        <f t="shared" si="2"/>
        <v>0</v>
      </c>
      <c r="I21" s="50">
        <f t="shared" si="2"/>
        <v>0</v>
      </c>
    </row>
    <row r="22" spans="1:9" ht="15">
      <c r="A22" s="43" t="str">
        <f>HLOOKUP(INDICE!$F$2,Nombres!$C$3:$D$636,47,FALSE)</f>
        <v>Income tax</v>
      </c>
      <c r="B22" s="44">
        <v>-57.47451337</v>
      </c>
      <c r="C22" s="44">
        <v>-70.3317353</v>
      </c>
      <c r="D22" s="44">
        <v>-74.38511543000001</v>
      </c>
      <c r="E22" s="45">
        <v>-78.58547755000004</v>
      </c>
      <c r="F22" s="44">
        <v>-87.51025711</v>
      </c>
      <c r="G22" s="44">
        <v>-54.19513837000003</v>
      </c>
      <c r="H22" s="44">
        <v>0</v>
      </c>
      <c r="I22" s="44">
        <v>0</v>
      </c>
    </row>
    <row r="23" spans="1:9" ht="15">
      <c r="A23" s="41" t="str">
        <f>HLOOKUP(INDICE!$F$2,Nombres!$C$3:$D$636,48,FALSE)</f>
        <v>Profit/(loss) for the year</v>
      </c>
      <c r="B23" s="41">
        <f>+B21+B22</f>
        <v>139.03202157000015</v>
      </c>
      <c r="C23" s="41">
        <f aca="true" t="shared" si="3" ref="C23:I23">+C21+C22</f>
        <v>146.78289047999988</v>
      </c>
      <c r="D23" s="41">
        <f t="shared" si="3"/>
        <v>160.8915526</v>
      </c>
      <c r="E23" s="42">
        <f t="shared" si="3"/>
        <v>212.52589524999982</v>
      </c>
      <c r="F23" s="50">
        <f t="shared" si="3"/>
        <v>223.95584548999983</v>
      </c>
      <c r="G23" s="50">
        <f t="shared" si="3"/>
        <v>372.67831852000006</v>
      </c>
      <c r="H23" s="50">
        <f t="shared" si="3"/>
        <v>0</v>
      </c>
      <c r="I23" s="50">
        <f t="shared" si="3"/>
        <v>0</v>
      </c>
    </row>
    <row r="24" spans="1:9" ht="15">
      <c r="A24" s="43" t="str">
        <f>HLOOKUP(INDICE!$F$2,Nombres!$C$3:$D$636,49,FALSE)</f>
        <v>Non-controlling interests</v>
      </c>
      <c r="B24" s="44">
        <v>-39.13709874999999</v>
      </c>
      <c r="C24" s="44">
        <v>-36.19065583</v>
      </c>
      <c r="D24" s="44">
        <v>-43.94528358999999</v>
      </c>
      <c r="E24" s="45">
        <v>-64.34477244000001</v>
      </c>
      <c r="F24" s="44">
        <v>-66.08692095999999</v>
      </c>
      <c r="G24" s="44">
        <v>-117.33103138000001</v>
      </c>
      <c r="H24" s="44">
        <v>0</v>
      </c>
      <c r="I24" s="44">
        <v>0</v>
      </c>
    </row>
    <row r="25" spans="1:9" ht="15">
      <c r="A25" s="47" t="str">
        <f>HLOOKUP(INDICE!$F$2,Nombres!$C$3:$D$636,50,FALSE)</f>
        <v>Net attributable profit</v>
      </c>
      <c r="B25" s="47">
        <f>+B23+B24</f>
        <v>99.89492282000016</v>
      </c>
      <c r="C25" s="47">
        <f aca="true" t="shared" si="4" ref="C25:I25">+C23+C24</f>
        <v>110.59223464999988</v>
      </c>
      <c r="D25" s="47">
        <f t="shared" si="4"/>
        <v>116.94626901000002</v>
      </c>
      <c r="E25" s="47">
        <f t="shared" si="4"/>
        <v>148.1811228099998</v>
      </c>
      <c r="F25" s="51">
        <f t="shared" si="4"/>
        <v>157.86892452999984</v>
      </c>
      <c r="G25" s="51">
        <f t="shared" si="4"/>
        <v>255.34728714000005</v>
      </c>
      <c r="H25" s="51">
        <f t="shared" si="4"/>
        <v>0</v>
      </c>
      <c r="I25" s="51">
        <f t="shared" si="4"/>
        <v>0</v>
      </c>
    </row>
    <row r="26" spans="1:9" ht="15">
      <c r="A26" s="62"/>
      <c r="B26" s="63">
        <v>1.2789769243681803E-13</v>
      </c>
      <c r="C26" s="63">
        <v>0</v>
      </c>
      <c r="D26" s="63">
        <v>0</v>
      </c>
      <c r="E26" s="63">
        <v>-2.8421709430404007E-13</v>
      </c>
      <c r="F26" s="63">
        <v>0</v>
      </c>
      <c r="G26" s="63">
        <v>0</v>
      </c>
      <c r="H26" s="63">
        <v>0</v>
      </c>
      <c r="I26" s="63">
        <v>0</v>
      </c>
    </row>
    <row r="27" spans="1:15" ht="15">
      <c r="A27" s="41"/>
      <c r="B27" s="41"/>
      <c r="C27" s="41"/>
      <c r="D27" s="41"/>
      <c r="E27" s="41"/>
      <c r="F27" s="41"/>
      <c r="G27" s="41"/>
      <c r="H27" s="41"/>
      <c r="I27" s="41"/>
      <c r="N27" s="162"/>
      <c r="O27" s="162"/>
    </row>
    <row r="28" spans="1:15" ht="18">
      <c r="A28" s="33" t="str">
        <f>HLOOKUP(INDICE!$F$2,Nombres!$C$3:$D$636,51,FALSE)</f>
        <v>Balance sheets</v>
      </c>
      <c r="B28" s="34"/>
      <c r="C28" s="34"/>
      <c r="D28" s="34"/>
      <c r="E28" s="34"/>
      <c r="F28" s="34"/>
      <c r="G28" s="34"/>
      <c r="H28" s="34"/>
      <c r="I28" s="34"/>
      <c r="N28" s="162"/>
      <c r="O28" s="162"/>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0" ht="15">
      <c r="A31" s="43" t="str">
        <f>HLOOKUP(INDICE!$F$2,Nombres!$C$3:$D$636,52,FALSE)</f>
        <v>Cash, cash balances at central banks and other demand deposits</v>
      </c>
      <c r="B31" s="44">
        <v>6794.749999999998</v>
      </c>
      <c r="C31" s="44">
        <v>7127.522</v>
      </c>
      <c r="D31" s="44">
        <v>7852.526999999999</v>
      </c>
      <c r="E31" s="45">
        <v>8549.476</v>
      </c>
      <c r="F31" s="44">
        <v>8269.488</v>
      </c>
      <c r="G31" s="44">
        <v>8882.579</v>
      </c>
      <c r="H31" s="44">
        <v>0</v>
      </c>
      <c r="I31" s="44">
        <v>0</v>
      </c>
      <c r="J31" s="81"/>
    </row>
    <row r="32" spans="1:10" ht="15">
      <c r="A32" s="43" t="str">
        <f>HLOOKUP(INDICE!$F$2,Nombres!$C$3:$D$636,53,FALSE)</f>
        <v>Financial assets designated at fair value </v>
      </c>
      <c r="B32" s="58">
        <v>7432.951999999999</v>
      </c>
      <c r="C32" s="58">
        <v>7266.091</v>
      </c>
      <c r="D32" s="58">
        <v>7357.267</v>
      </c>
      <c r="E32" s="64">
        <v>7174.592</v>
      </c>
      <c r="F32" s="44">
        <v>9977.302</v>
      </c>
      <c r="G32" s="44">
        <v>11048.235</v>
      </c>
      <c r="H32" s="44">
        <v>0</v>
      </c>
      <c r="I32" s="44">
        <v>0</v>
      </c>
      <c r="J32" s="81"/>
    </row>
    <row r="33" spans="1:10" ht="15">
      <c r="A33" s="43" t="str">
        <f>HLOOKUP(INDICE!$F$2,Nombres!$C$3:$D$636,54,FALSE)</f>
        <v>Financial assets at amortized cost</v>
      </c>
      <c r="B33" s="44">
        <v>36380.903999999995</v>
      </c>
      <c r="C33" s="44">
        <v>36356.060999999994</v>
      </c>
      <c r="D33" s="44">
        <v>36364.706</v>
      </c>
      <c r="E33" s="45">
        <v>37746.981999999996</v>
      </c>
      <c r="F33" s="44">
        <v>40535.475</v>
      </c>
      <c r="G33" s="44">
        <v>43317.137</v>
      </c>
      <c r="H33" s="44">
        <v>0</v>
      </c>
      <c r="I33" s="44">
        <v>0</v>
      </c>
      <c r="J33" s="81"/>
    </row>
    <row r="34" spans="1:10" ht="15">
      <c r="A34" s="43" t="str">
        <f>HLOOKUP(INDICE!$F$2,Nombres!$C$3:$D$636,55,FALSE)</f>
        <v>    of which loans and advances to customers</v>
      </c>
      <c r="B34" s="44">
        <v>32443.496999999996</v>
      </c>
      <c r="C34" s="44">
        <v>32634.762</v>
      </c>
      <c r="D34" s="44">
        <v>32421.622000000003</v>
      </c>
      <c r="E34" s="45">
        <v>34608.019</v>
      </c>
      <c r="F34" s="44">
        <v>37974.615000000005</v>
      </c>
      <c r="G34" s="44">
        <v>40176.287000000004</v>
      </c>
      <c r="H34" s="44">
        <v>0</v>
      </c>
      <c r="I34" s="44">
        <v>0</v>
      </c>
      <c r="J34" s="81"/>
    </row>
    <row r="35" spans="1:10" ht="15" hidden="1">
      <c r="A35" s="43"/>
      <c r="B35" s="44"/>
      <c r="C35" s="44"/>
      <c r="D35" s="44"/>
      <c r="E35" s="45"/>
      <c r="F35" s="44"/>
      <c r="G35" s="44"/>
      <c r="H35" s="44"/>
      <c r="I35" s="44"/>
      <c r="J35" s="81"/>
    </row>
    <row r="36" spans="1:10" ht="15">
      <c r="A36" s="43" t="str">
        <f>HLOOKUP(INDICE!$F$2,Nombres!$C$3:$D$636,56,FALSE)</f>
        <v>Tangible assets</v>
      </c>
      <c r="B36" s="44">
        <v>805.5433658399999</v>
      </c>
      <c r="C36" s="44">
        <v>799.439</v>
      </c>
      <c r="D36" s="44">
        <v>813.9630000000001</v>
      </c>
      <c r="E36" s="45">
        <v>894.5609999999999</v>
      </c>
      <c r="F36" s="44">
        <v>992.9409999999999</v>
      </c>
      <c r="G36" s="44">
        <v>1099.981</v>
      </c>
      <c r="H36" s="44">
        <v>0</v>
      </c>
      <c r="I36" s="44">
        <v>0</v>
      </c>
      <c r="J36" s="81"/>
    </row>
    <row r="37" spans="1:10" ht="15">
      <c r="A37" s="43" t="str">
        <f>HLOOKUP(INDICE!$F$2,Nombres!$C$3:$D$636,57,FALSE)</f>
        <v>Other assets</v>
      </c>
      <c r="B37" s="58">
        <f aca="true" t="shared" si="5" ref="B37:I37">+B38-B36-B33-B32-B31</f>
        <v>1750.1792020199937</v>
      </c>
      <c r="C37" s="58">
        <f t="shared" si="5"/>
        <v>1794.0877783200021</v>
      </c>
      <c r="D37" s="58">
        <f t="shared" si="5"/>
        <v>1750.8512304400092</v>
      </c>
      <c r="E37" s="64">
        <f t="shared" si="5"/>
        <v>1758.2016149600004</v>
      </c>
      <c r="F37" s="44">
        <f t="shared" si="5"/>
        <v>1862.290709829993</v>
      </c>
      <c r="G37" s="44">
        <f t="shared" si="5"/>
        <v>1995.0128934900113</v>
      </c>
      <c r="H37" s="44">
        <f t="shared" si="5"/>
        <v>0</v>
      </c>
      <c r="I37" s="44">
        <f t="shared" si="5"/>
        <v>0</v>
      </c>
      <c r="J37" s="81"/>
    </row>
    <row r="38" spans="1:10" ht="15">
      <c r="A38" s="47" t="str">
        <f>HLOOKUP(INDICE!$F$2,Nombres!$C$3:$D$636,58,FALSE)</f>
        <v>Total assets / Liabilities and equity</v>
      </c>
      <c r="B38" s="47">
        <v>53164.328567859986</v>
      </c>
      <c r="C38" s="47">
        <v>53343.200778319995</v>
      </c>
      <c r="D38" s="47">
        <v>54139.31423044001</v>
      </c>
      <c r="E38" s="47">
        <v>56123.81261496</v>
      </c>
      <c r="F38" s="51">
        <v>61637.49670982999</v>
      </c>
      <c r="G38" s="51">
        <v>66342.94489349001</v>
      </c>
      <c r="H38" s="51">
        <v>0</v>
      </c>
      <c r="I38" s="51">
        <v>0</v>
      </c>
      <c r="J38" s="81"/>
    </row>
    <row r="39" spans="1:10" ht="15">
      <c r="A39" s="43" t="str">
        <f>HLOOKUP(INDICE!$F$2,Nombres!$C$3:$D$636,59,FALSE)</f>
        <v>Financial liabilities held for trading and designated at fair value through profit or loss</v>
      </c>
      <c r="B39" s="58">
        <v>1222.644</v>
      </c>
      <c r="C39" s="58">
        <v>1176.6830000000002</v>
      </c>
      <c r="D39" s="58">
        <v>1588.1860000000001</v>
      </c>
      <c r="E39" s="64">
        <v>1883.662</v>
      </c>
      <c r="F39" s="44">
        <v>2583.813</v>
      </c>
      <c r="G39" s="44">
        <v>3104.51</v>
      </c>
      <c r="H39" s="44">
        <v>0</v>
      </c>
      <c r="I39" s="44">
        <v>0</v>
      </c>
      <c r="J39" s="81"/>
    </row>
    <row r="40" spans="1:10" ht="15.75" customHeight="1">
      <c r="A40" s="43" t="str">
        <f>HLOOKUP(INDICE!$F$2,Nombres!$C$3:$D$636,60,FALSE)</f>
        <v>Deposits from central banks and credit institutions</v>
      </c>
      <c r="B40" s="58">
        <v>5196.62500001</v>
      </c>
      <c r="C40" s="58">
        <v>5348.602999999999</v>
      </c>
      <c r="D40" s="58">
        <v>5239.848999989999</v>
      </c>
      <c r="E40" s="64">
        <v>5501.245</v>
      </c>
      <c r="F40" s="44">
        <v>6513.56600001</v>
      </c>
      <c r="G40" s="44">
        <v>5653.09799999</v>
      </c>
      <c r="H40" s="44">
        <v>0</v>
      </c>
      <c r="I40" s="44">
        <v>0</v>
      </c>
      <c r="J40" s="81"/>
    </row>
    <row r="41" spans="1:10" ht="15">
      <c r="A41" s="43" t="str">
        <f>HLOOKUP(INDICE!$F$2,Nombres!$C$3:$D$636,61,FALSE)</f>
        <v>Deposits from customers</v>
      </c>
      <c r="B41" s="58">
        <v>34919.717999989996</v>
      </c>
      <c r="C41" s="58">
        <v>35236.349</v>
      </c>
      <c r="D41" s="58">
        <v>35458.31500001</v>
      </c>
      <c r="E41" s="64">
        <v>36340.104999999996</v>
      </c>
      <c r="F41" s="44">
        <v>38875.17499999</v>
      </c>
      <c r="G41" s="44">
        <v>43314.07300001</v>
      </c>
      <c r="H41" s="44">
        <v>0</v>
      </c>
      <c r="I41" s="44">
        <v>0</v>
      </c>
      <c r="J41" s="81"/>
    </row>
    <row r="42" spans="1:10" ht="15">
      <c r="A42" s="43" t="str">
        <f>HLOOKUP(INDICE!$F$2,Nombres!$C$3:$D$636,62,FALSE)</f>
        <v>Debt certificates</v>
      </c>
      <c r="B42" s="44">
        <v>3233.9270526300006</v>
      </c>
      <c r="C42" s="44">
        <v>3133.04524343</v>
      </c>
      <c r="D42" s="44">
        <v>3159.1872175900003</v>
      </c>
      <c r="E42" s="45">
        <v>3214.71881898</v>
      </c>
      <c r="F42" s="44">
        <v>3383.66458862</v>
      </c>
      <c r="G42" s="44">
        <v>3818.33995903</v>
      </c>
      <c r="H42" s="44">
        <v>0</v>
      </c>
      <c r="I42" s="44">
        <v>0</v>
      </c>
      <c r="J42" s="81"/>
    </row>
    <row r="43" spans="1:10" ht="15" hidden="1">
      <c r="A43" s="43"/>
      <c r="B43" s="44"/>
      <c r="C43" s="44"/>
      <c r="D43" s="44"/>
      <c r="E43" s="45"/>
      <c r="F43" s="44"/>
      <c r="G43" s="44"/>
      <c r="H43" s="44"/>
      <c r="I43" s="44"/>
      <c r="J43" s="81"/>
    </row>
    <row r="44" spans="1:10" ht="15">
      <c r="A44" s="43" t="str">
        <f>HLOOKUP(INDICE!$F$2,Nombres!$C$3:$D$636,63,FALSE)</f>
        <v>Other liabilities</v>
      </c>
      <c r="B44" s="58">
        <f aca="true" t="shared" si="6" ref="B44:I44">+B38-B39-B40-B41-B42-B45</f>
        <v>4044.7450244599922</v>
      </c>
      <c r="C44" s="58">
        <f t="shared" si="6"/>
        <v>3992.8996800699997</v>
      </c>
      <c r="D44" s="58">
        <f>+D38-D39-D40-D41-D42-D45</f>
        <v>4076.4331153800103</v>
      </c>
      <c r="E44" s="64">
        <f t="shared" si="6"/>
        <v>4206.903091690005</v>
      </c>
      <c r="F44" s="44">
        <f t="shared" si="6"/>
        <v>4686.023669419986</v>
      </c>
      <c r="G44" s="44">
        <f t="shared" si="6"/>
        <v>4407.153500380009</v>
      </c>
      <c r="H44" s="44">
        <f t="shared" si="6"/>
        <v>0</v>
      </c>
      <c r="I44" s="44">
        <f t="shared" si="6"/>
        <v>0</v>
      </c>
      <c r="J44" s="81"/>
    </row>
    <row r="45" spans="1:10" ht="15">
      <c r="A45" s="43" t="str">
        <f>HLOOKUP(INDICE!$F$2,Nombres!$C$3:$D$636,282,FALSE)</f>
        <v>Regulatory capital allocated</v>
      </c>
      <c r="B45" s="44">
        <v>4546.669490769999</v>
      </c>
      <c r="C45" s="44">
        <v>4455.62085482</v>
      </c>
      <c r="D45" s="58">
        <v>4617.34389747</v>
      </c>
      <c r="E45" s="64">
        <v>4977.17870429</v>
      </c>
      <c r="F45" s="44">
        <v>5595.25445179</v>
      </c>
      <c r="G45" s="44">
        <v>6045.770434080001</v>
      </c>
      <c r="H45" s="44">
        <v>0</v>
      </c>
      <c r="I45" s="44">
        <v>0</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Relevant business indicators</v>
      </c>
      <c r="B48" s="34"/>
      <c r="C48" s="34"/>
      <c r="D48" s="34"/>
      <c r="E48" s="34"/>
      <c r="F48" s="68"/>
      <c r="G48" s="68"/>
      <c r="H48" s="68"/>
      <c r="I48" s="68"/>
      <c r="J48" s="81"/>
    </row>
    <row r="49" spans="1:10" ht="15">
      <c r="A49" s="35" t="str">
        <f>HLOOKUP(INDICE!$F$2,Nombres!$C$3:$D$636,32,FALSE)</f>
        <v>(Million euros)</v>
      </c>
      <c r="B49" s="30"/>
      <c r="C49" s="30"/>
      <c r="D49" s="30"/>
      <c r="E49" s="30"/>
      <c r="F49" s="69"/>
      <c r="G49" s="44"/>
      <c r="H49" s="44"/>
      <c r="I49" s="44"/>
      <c r="J49" s="81"/>
    </row>
    <row r="50" spans="1:10"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c r="J50" s="81"/>
    </row>
    <row r="51" spans="1:10" ht="15">
      <c r="A51" s="43" t="str">
        <f>HLOOKUP(INDICE!$F$2,Nombres!$C$3:$D$636,66,FALSE)</f>
        <v>Loans and advances to customers (gross) (*)</v>
      </c>
      <c r="B51" s="44">
        <v>34337.82003006</v>
      </c>
      <c r="C51" s="44">
        <v>34509.814344599996</v>
      </c>
      <c r="D51" s="44">
        <v>34229.01637415</v>
      </c>
      <c r="E51" s="45">
        <v>36329.22122551</v>
      </c>
      <c r="F51" s="44">
        <v>39794.069410359996</v>
      </c>
      <c r="G51" s="44">
        <v>42044.91848917</v>
      </c>
      <c r="H51" s="44">
        <v>0</v>
      </c>
      <c r="I51" s="44">
        <v>0</v>
      </c>
      <c r="J51" s="81"/>
    </row>
    <row r="52" spans="1:10" ht="15">
      <c r="A52" s="43" t="str">
        <f>HLOOKUP(INDICE!$F$2,Nombres!$C$3:$D$636,67,FALSE)</f>
        <v>Customer deposits under management (*)</v>
      </c>
      <c r="B52" s="44">
        <v>34931.98349856999</v>
      </c>
      <c r="C52" s="44">
        <v>35235.611469610005</v>
      </c>
      <c r="D52" s="44">
        <v>35453.32985423</v>
      </c>
      <c r="E52" s="45">
        <v>36364.32316639999</v>
      </c>
      <c r="F52" s="44">
        <v>38892.96598518001</v>
      </c>
      <c r="G52" s="44">
        <v>43332.99135025999</v>
      </c>
      <c r="H52" s="44">
        <v>0</v>
      </c>
      <c r="I52" s="44">
        <v>0</v>
      </c>
      <c r="J52" s="81"/>
    </row>
    <row r="53" spans="1:10" ht="15">
      <c r="A53" s="43" t="str">
        <f>HLOOKUP(INDICE!$F$2,Nombres!$C$3:$D$636,68,FALSE)</f>
        <v>Investment funds and managed portfolios</v>
      </c>
      <c r="B53" s="44">
        <v>5176.273867</v>
      </c>
      <c r="C53" s="44">
        <v>4653.72200139</v>
      </c>
      <c r="D53" s="44">
        <v>4690.867094689999</v>
      </c>
      <c r="E53" s="45">
        <v>5728.47216985</v>
      </c>
      <c r="F53" s="44">
        <v>6100.543357230001</v>
      </c>
      <c r="G53" s="44">
        <v>5744.49304491</v>
      </c>
      <c r="H53" s="44">
        <v>0</v>
      </c>
      <c r="I53" s="44">
        <v>0</v>
      </c>
      <c r="J53" s="81"/>
    </row>
    <row r="54" spans="1:10" ht="15">
      <c r="A54" s="43" t="str">
        <f>HLOOKUP(INDICE!$F$2,Nombres!$C$3:$D$636,69,FALSE)</f>
        <v>Pension funds</v>
      </c>
      <c r="B54" s="44">
        <v>9644.26944677</v>
      </c>
      <c r="C54" s="44">
        <v>9723.71141773</v>
      </c>
      <c r="D54" s="44">
        <v>10139.32699649</v>
      </c>
      <c r="E54" s="45">
        <v>10494.68899456</v>
      </c>
      <c r="F54" s="44">
        <v>10877.21268134</v>
      </c>
      <c r="G54" s="44">
        <v>11766.86765503</v>
      </c>
      <c r="H54" s="44">
        <v>0</v>
      </c>
      <c r="I54" s="44">
        <v>0</v>
      </c>
      <c r="J54" s="81"/>
    </row>
    <row r="55" spans="1:10" ht="15">
      <c r="A55" s="43" t="str">
        <f>HLOOKUP(INDICE!$F$2,Nombres!$C$3:$D$636,70,FALSE)</f>
        <v>Other off balance-sheet funds</v>
      </c>
      <c r="B55" s="44">
        <v>0</v>
      </c>
      <c r="C55" s="44">
        <v>0</v>
      </c>
      <c r="D55" s="44">
        <v>0</v>
      </c>
      <c r="E55" s="45">
        <v>0</v>
      </c>
      <c r="F55" s="44">
        <v>0</v>
      </c>
      <c r="G55" s="44">
        <v>0</v>
      </c>
      <c r="H55" s="44">
        <v>0</v>
      </c>
      <c r="I55" s="44">
        <v>0</v>
      </c>
      <c r="J55" s="81"/>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641.4201133350512</v>
      </c>
      <c r="C64" s="41">
        <v>680.9399179007596</v>
      </c>
      <c r="D64" s="41">
        <v>748.5713985905599</v>
      </c>
      <c r="E64" s="42">
        <v>815.930412892424</v>
      </c>
      <c r="F64" s="50">
        <v>807.9834990647225</v>
      </c>
      <c r="G64" s="50">
        <v>1041.2276999452777</v>
      </c>
      <c r="H64" s="50">
        <v>0</v>
      </c>
      <c r="I64" s="50">
        <v>0</v>
      </c>
    </row>
    <row r="65" spans="1:9" ht="15">
      <c r="A65" s="43" t="str">
        <f>HLOOKUP(INDICE!$F$2,Nombres!$C$3:$D$636,34,FALSE)</f>
        <v>Net fees and commissions</v>
      </c>
      <c r="B65" s="44">
        <v>120.55347829356342</v>
      </c>
      <c r="C65" s="44">
        <v>151.25254047089356</v>
      </c>
      <c r="D65" s="44">
        <v>164.4505555424459</v>
      </c>
      <c r="E65" s="45">
        <v>168.82750836212972</v>
      </c>
      <c r="F65" s="44">
        <v>178.6760826056055</v>
      </c>
      <c r="G65" s="44">
        <v>222.27436468439447</v>
      </c>
      <c r="H65" s="44">
        <v>0</v>
      </c>
      <c r="I65" s="44">
        <v>0</v>
      </c>
    </row>
    <row r="66" spans="1:9" ht="15">
      <c r="A66" s="43" t="str">
        <f>HLOOKUP(INDICE!$F$2,Nombres!$C$3:$D$636,35,FALSE)</f>
        <v>Net trading income</v>
      </c>
      <c r="B66" s="44">
        <v>73.30645174585689</v>
      </c>
      <c r="C66" s="44">
        <v>110.58478206072422</v>
      </c>
      <c r="D66" s="44">
        <v>73.87506354533565</v>
      </c>
      <c r="E66" s="45">
        <v>78.78572768980199</v>
      </c>
      <c r="F66" s="44">
        <v>93.33699686634823</v>
      </c>
      <c r="G66" s="44">
        <v>109.54636342365174</v>
      </c>
      <c r="H66" s="44">
        <v>0</v>
      </c>
      <c r="I66" s="44">
        <v>0</v>
      </c>
    </row>
    <row r="67" spans="1:9" ht="15">
      <c r="A67" s="43" t="str">
        <f>HLOOKUP(INDICE!$F$2,Nombres!$C$3:$D$636,36,FALSE)</f>
        <v>Other operating income and expenses</v>
      </c>
      <c r="B67" s="44">
        <v>-136.2206894097169</v>
      </c>
      <c r="C67" s="44">
        <v>-153.72236384444435</v>
      </c>
      <c r="D67" s="44">
        <v>-145.96874099573063</v>
      </c>
      <c r="E67" s="45">
        <v>-166.76014029649377</v>
      </c>
      <c r="F67" s="44">
        <v>-197.5168310211165</v>
      </c>
      <c r="G67" s="44">
        <v>-280.74416897888347</v>
      </c>
      <c r="H67" s="44">
        <v>0</v>
      </c>
      <c r="I67" s="44">
        <v>0</v>
      </c>
    </row>
    <row r="68" spans="1:9" ht="15">
      <c r="A68" s="41" t="str">
        <f>HLOOKUP(INDICE!$F$2,Nombres!$C$3:$D$636,37,FALSE)</f>
        <v>Gross income</v>
      </c>
      <c r="B68" s="41">
        <f>+SUM(B64:B67)</f>
        <v>699.0593539647546</v>
      </c>
      <c r="C68" s="41">
        <f aca="true" t="shared" si="9" ref="C68:I68">+SUM(C64:C67)</f>
        <v>789.0548765879331</v>
      </c>
      <c r="D68" s="41">
        <f t="shared" si="9"/>
        <v>840.9282766826108</v>
      </c>
      <c r="E68" s="42">
        <f t="shared" si="9"/>
        <v>896.7835086478619</v>
      </c>
      <c r="F68" s="50">
        <f t="shared" si="9"/>
        <v>882.4797475155597</v>
      </c>
      <c r="G68" s="50">
        <f t="shared" si="9"/>
        <v>1092.3042590744403</v>
      </c>
      <c r="H68" s="50">
        <f t="shared" si="9"/>
        <v>0</v>
      </c>
      <c r="I68" s="50">
        <f t="shared" si="9"/>
        <v>0</v>
      </c>
    </row>
    <row r="69" spans="1:9" ht="15">
      <c r="A69" s="43" t="str">
        <f>HLOOKUP(INDICE!$F$2,Nombres!$C$3:$D$636,38,FALSE)</f>
        <v>Operating expenses</v>
      </c>
      <c r="B69" s="44">
        <v>-335.57001763717903</v>
      </c>
      <c r="C69" s="44">
        <v>-360.797727912139</v>
      </c>
      <c r="D69" s="44">
        <v>-404.9784665445219</v>
      </c>
      <c r="E69" s="45">
        <v>-443.66495973508904</v>
      </c>
      <c r="F69" s="44">
        <v>-413.5478299531054</v>
      </c>
      <c r="G69" s="44">
        <v>-509.57658814689466</v>
      </c>
      <c r="H69" s="44">
        <v>0</v>
      </c>
      <c r="I69" s="44">
        <v>0</v>
      </c>
    </row>
    <row r="70" spans="1:9" ht="15">
      <c r="A70" s="43" t="str">
        <f>HLOOKUP(INDICE!$F$2,Nombres!$C$3:$D$636,39,FALSE)</f>
        <v>  Administration expenses</v>
      </c>
      <c r="B70" s="44">
        <v>-300.7321095273286</v>
      </c>
      <c r="C70" s="44">
        <v>-323.63054167127467</v>
      </c>
      <c r="D70" s="44">
        <v>-366.1498747911311</v>
      </c>
      <c r="E70" s="45">
        <v>-403.358455011843</v>
      </c>
      <c r="F70" s="44">
        <v>-378.3121640111626</v>
      </c>
      <c r="G70" s="44">
        <v>-462.2892540888375</v>
      </c>
      <c r="H70" s="44">
        <v>0</v>
      </c>
      <c r="I70" s="44">
        <v>0</v>
      </c>
    </row>
    <row r="71" spans="1:9" ht="15">
      <c r="A71" s="46" t="str">
        <f>HLOOKUP(INDICE!$F$2,Nombres!$C$3:$D$636,40,FALSE)</f>
        <v>  Personnel expenses</v>
      </c>
      <c r="B71" s="44">
        <v>-162.01267288934235</v>
      </c>
      <c r="C71" s="44">
        <v>-170.89715419139912</v>
      </c>
      <c r="D71" s="44">
        <v>-190.67316890743382</v>
      </c>
      <c r="E71" s="45">
        <v>-211.8420236073829</v>
      </c>
      <c r="F71" s="44">
        <v>-200.8115031016319</v>
      </c>
      <c r="G71" s="44">
        <v>-245.98309306836813</v>
      </c>
      <c r="H71" s="44">
        <v>0</v>
      </c>
      <c r="I71" s="44">
        <v>0</v>
      </c>
    </row>
    <row r="72" spans="1:9" ht="15">
      <c r="A72" s="46" t="str">
        <f>HLOOKUP(INDICE!$F$2,Nombres!$C$3:$D$636,41,FALSE)</f>
        <v>  General and administrative expenses</v>
      </c>
      <c r="B72" s="44">
        <v>-138.7194366379862</v>
      </c>
      <c r="C72" s="44">
        <v>-152.73338747987555</v>
      </c>
      <c r="D72" s="44">
        <v>-175.47670588369724</v>
      </c>
      <c r="E72" s="45">
        <v>-191.51643140446006</v>
      </c>
      <c r="F72" s="44">
        <v>-177.5006609095307</v>
      </c>
      <c r="G72" s="44">
        <v>-216.30616102046932</v>
      </c>
      <c r="H72" s="44">
        <v>0</v>
      </c>
      <c r="I72" s="44">
        <v>0</v>
      </c>
    </row>
    <row r="73" spans="1:9" ht="15">
      <c r="A73" s="43" t="str">
        <f>HLOOKUP(INDICE!$F$2,Nombres!$C$3:$D$636,42,FALSE)</f>
        <v>  Depreciation</v>
      </c>
      <c r="B73" s="44">
        <v>-34.83790810985042</v>
      </c>
      <c r="C73" s="44">
        <v>-37.167186240864346</v>
      </c>
      <c r="D73" s="44">
        <v>-38.82859175339081</v>
      </c>
      <c r="E73" s="45">
        <v>-40.306504723246015</v>
      </c>
      <c r="F73" s="44">
        <v>-35.23566594194281</v>
      </c>
      <c r="G73" s="44">
        <v>-47.28733405805718</v>
      </c>
      <c r="H73" s="44">
        <v>0</v>
      </c>
      <c r="I73" s="44">
        <v>0</v>
      </c>
    </row>
    <row r="74" spans="1:9" ht="15">
      <c r="A74" s="41" t="str">
        <f>HLOOKUP(INDICE!$F$2,Nombres!$C$3:$D$636,43,FALSE)</f>
        <v>Operating income</v>
      </c>
      <c r="B74" s="41">
        <f>+B68+B69</f>
        <v>363.48933632757553</v>
      </c>
      <c r="C74" s="41">
        <f aca="true" t="shared" si="10" ref="C74:I74">+C68+C69</f>
        <v>428.2571486757941</v>
      </c>
      <c r="D74" s="41">
        <f t="shared" si="10"/>
        <v>435.9498101380889</v>
      </c>
      <c r="E74" s="42">
        <f t="shared" si="10"/>
        <v>453.1185489127729</v>
      </c>
      <c r="F74" s="50">
        <f t="shared" si="10"/>
        <v>468.93191756245426</v>
      </c>
      <c r="G74" s="50">
        <f t="shared" si="10"/>
        <v>582.7276709275457</v>
      </c>
      <c r="H74" s="50">
        <f t="shared" si="10"/>
        <v>0</v>
      </c>
      <c r="I74" s="50">
        <f t="shared" si="10"/>
        <v>0</v>
      </c>
    </row>
    <row r="75" spans="1:9" ht="15">
      <c r="A75" s="43" t="str">
        <f>HLOOKUP(INDICE!$F$2,Nombres!$C$3:$D$636,44,FALSE)</f>
        <v>Impaiment on financial assets not measured at fair value through profit or loss</v>
      </c>
      <c r="B75" s="44">
        <v>-161.07849942571215</v>
      </c>
      <c r="C75" s="44">
        <v>-193.25686955651693</v>
      </c>
      <c r="D75" s="44">
        <v>-176.67924732096463</v>
      </c>
      <c r="E75" s="45">
        <v>-120.30082978383125</v>
      </c>
      <c r="F75" s="44">
        <v>-141.31512025644776</v>
      </c>
      <c r="G75" s="44">
        <v>-130.40587974355233</v>
      </c>
      <c r="H75" s="44">
        <v>0</v>
      </c>
      <c r="I75" s="44">
        <v>0</v>
      </c>
    </row>
    <row r="76" spans="1:9" ht="15">
      <c r="A76" s="43" t="str">
        <f>HLOOKUP(INDICE!$F$2,Nombres!$C$3:$D$636,45,FALSE)</f>
        <v>Provisions or reversal of provisions and other results</v>
      </c>
      <c r="B76" s="44">
        <v>-16.060679948903672</v>
      </c>
      <c r="C76" s="44">
        <v>-14.375140318294896</v>
      </c>
      <c r="D76" s="44">
        <v>-19.55886285103009</v>
      </c>
      <c r="E76" s="45">
        <v>-30.160592127291565</v>
      </c>
      <c r="F76" s="44">
        <v>-16.415632246991557</v>
      </c>
      <c r="G76" s="44">
        <v>-25.18339675300844</v>
      </c>
      <c r="H76" s="44">
        <v>0</v>
      </c>
      <c r="I76" s="44">
        <v>0</v>
      </c>
    </row>
    <row r="77" spans="1:9" ht="15">
      <c r="A77" s="41" t="str">
        <f>HLOOKUP(INDICE!$F$2,Nombres!$C$3:$D$636,46,FALSE)</f>
        <v>Profit/(loss) before tax</v>
      </c>
      <c r="B77" s="41">
        <f>+B74+B75+B76</f>
        <v>186.3501569529597</v>
      </c>
      <c r="C77" s="41">
        <f aca="true" t="shared" si="11" ref="C77:I77">+C74+C75+C76</f>
        <v>220.62513880098226</v>
      </c>
      <c r="D77" s="41">
        <f t="shared" si="11"/>
        <v>239.71169996609416</v>
      </c>
      <c r="E77" s="42">
        <f t="shared" si="11"/>
        <v>302.65712700165005</v>
      </c>
      <c r="F77" s="50">
        <f t="shared" si="11"/>
        <v>311.20116505901495</v>
      </c>
      <c r="G77" s="50">
        <f t="shared" si="11"/>
        <v>427.13839443098493</v>
      </c>
      <c r="H77" s="50">
        <f t="shared" si="11"/>
        <v>0</v>
      </c>
      <c r="I77" s="50">
        <f t="shared" si="11"/>
        <v>0</v>
      </c>
    </row>
    <row r="78" spans="1:9" ht="15">
      <c r="A78" s="43" t="str">
        <f>HLOOKUP(INDICE!$F$2,Nombres!$C$3:$D$636,47,FALSE)</f>
        <v>Income tax</v>
      </c>
      <c r="B78" s="44">
        <v>-54.50956000251399</v>
      </c>
      <c r="C78" s="44">
        <v>-73.5475650718119</v>
      </c>
      <c r="D78" s="44">
        <v>-75.70103490269386</v>
      </c>
      <c r="E78" s="45">
        <v>-80.86454778029379</v>
      </c>
      <c r="F78" s="44">
        <v>-87.43615940896666</v>
      </c>
      <c r="G78" s="44">
        <v>-54.26923607103336</v>
      </c>
      <c r="H78" s="44">
        <v>0</v>
      </c>
      <c r="I78" s="44">
        <v>0</v>
      </c>
    </row>
    <row r="79" spans="1:9" ht="15">
      <c r="A79" s="41" t="str">
        <f>HLOOKUP(INDICE!$F$2,Nombres!$C$3:$D$636,48,FALSE)</f>
        <v>Profit/(loss) for the year</v>
      </c>
      <c r="B79" s="41">
        <f>+B77+B78</f>
        <v>131.84059695044573</v>
      </c>
      <c r="C79" s="41">
        <f aca="true" t="shared" si="12" ref="C79:I79">+C77+C78</f>
        <v>147.07757372917035</v>
      </c>
      <c r="D79" s="41">
        <f t="shared" si="12"/>
        <v>164.0106650634003</v>
      </c>
      <c r="E79" s="42">
        <f t="shared" si="12"/>
        <v>221.79257922135628</v>
      </c>
      <c r="F79" s="50">
        <f t="shared" si="12"/>
        <v>223.7650056500483</v>
      </c>
      <c r="G79" s="50">
        <f t="shared" si="12"/>
        <v>372.8691583599516</v>
      </c>
      <c r="H79" s="50">
        <f t="shared" si="12"/>
        <v>0</v>
      </c>
      <c r="I79" s="50">
        <f t="shared" si="12"/>
        <v>0</v>
      </c>
    </row>
    <row r="80" spans="1:9" ht="15">
      <c r="A80" s="43" t="str">
        <f>HLOOKUP(INDICE!$F$2,Nombres!$C$3:$D$636,49,FALSE)</f>
        <v>Non-controlling interests</v>
      </c>
      <c r="B80" s="44">
        <v>-37.46676143294789</v>
      </c>
      <c r="C80" s="44">
        <v>-37.03546188720542</v>
      </c>
      <c r="D80" s="44">
        <v>-45.66272113429503</v>
      </c>
      <c r="E80" s="45">
        <v>-68.62276263941666</v>
      </c>
      <c r="F80" s="44">
        <v>-66.21299539981379</v>
      </c>
      <c r="G80" s="44">
        <v>-117.20495694018621</v>
      </c>
      <c r="H80" s="44">
        <v>0</v>
      </c>
      <c r="I80" s="44">
        <v>0</v>
      </c>
    </row>
    <row r="81" spans="1:9" ht="15">
      <c r="A81" s="47" t="str">
        <f>HLOOKUP(INDICE!$F$2,Nombres!$C$3:$D$636,50,FALSE)</f>
        <v>Net attributable profit</v>
      </c>
      <c r="B81" s="47">
        <f>+B79+B80</f>
        <v>94.37383551749784</v>
      </c>
      <c r="C81" s="47">
        <f aca="true" t="shared" si="13" ref="C81:I81">+C79+C80</f>
        <v>110.04211184196492</v>
      </c>
      <c r="D81" s="47">
        <f t="shared" si="13"/>
        <v>118.34794392910527</v>
      </c>
      <c r="E81" s="47">
        <f t="shared" si="13"/>
        <v>153.1698165819396</v>
      </c>
      <c r="F81" s="51">
        <f t="shared" si="13"/>
        <v>157.5520102502345</v>
      </c>
      <c r="G81" s="51">
        <f t="shared" si="13"/>
        <v>255.6642014197654</v>
      </c>
      <c r="H81" s="51">
        <f t="shared" si="13"/>
        <v>0</v>
      </c>
      <c r="I81" s="51">
        <f t="shared" si="13"/>
        <v>0</v>
      </c>
    </row>
    <row r="82" spans="1:9" ht="15">
      <c r="A82" s="62"/>
      <c r="B82" s="63">
        <v>0</v>
      </c>
      <c r="C82" s="63">
        <v>0</v>
      </c>
      <c r="D82" s="63">
        <v>0</v>
      </c>
      <c r="E82" s="63">
        <v>0</v>
      </c>
      <c r="F82" s="63">
        <v>0</v>
      </c>
      <c r="G82" s="63">
        <v>0</v>
      </c>
      <c r="H82" s="63">
        <v>0</v>
      </c>
      <c r="I82" s="63">
        <v>0</v>
      </c>
    </row>
    <row r="83" spans="1:15" ht="15">
      <c r="A83" s="41"/>
      <c r="B83" s="41"/>
      <c r="C83" s="41"/>
      <c r="D83" s="41"/>
      <c r="E83" s="41"/>
      <c r="F83" s="50"/>
      <c r="G83" s="50"/>
      <c r="H83" s="50"/>
      <c r="I83" s="50"/>
      <c r="N83" s="162"/>
      <c r="O83" s="162"/>
    </row>
    <row r="84" spans="1:15" ht="18">
      <c r="A84" s="33" t="str">
        <f>HLOOKUP(INDICE!$F$2,Nombres!$C$3:$D$636,51,FALSE)</f>
        <v>Balance sheets</v>
      </c>
      <c r="B84" s="34"/>
      <c r="C84" s="34"/>
      <c r="D84" s="34"/>
      <c r="E84" s="34"/>
      <c r="F84" s="68"/>
      <c r="G84" s="68"/>
      <c r="H84" s="68"/>
      <c r="I84" s="68"/>
      <c r="N84" s="162"/>
      <c r="O84" s="162"/>
    </row>
    <row r="85" spans="1:15" ht="15">
      <c r="A85" s="35" t="str">
        <f>HLOOKUP(INDICE!$F$2,Nombres!$C$3:$D$636,73,FALSE)</f>
        <v>(Constant million euros)    </v>
      </c>
      <c r="B85" s="30"/>
      <c r="C85" s="52"/>
      <c r="D85" s="52"/>
      <c r="E85" s="52"/>
      <c r="F85" s="69"/>
      <c r="G85" s="44"/>
      <c r="H85" s="44"/>
      <c r="I85" s="44"/>
      <c r="N85" s="162"/>
      <c r="O85" s="162"/>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7115.411559421509</v>
      </c>
      <c r="C87" s="44">
        <v>7673.1142195927305</v>
      </c>
      <c r="D87" s="44">
        <v>8629.919795973572</v>
      </c>
      <c r="E87" s="45">
        <v>9145.328582932443</v>
      </c>
      <c r="F87" s="44">
        <v>8397.674424567793</v>
      </c>
      <c r="G87" s="44">
        <v>8882.579</v>
      </c>
      <c r="H87" s="44">
        <v>0</v>
      </c>
      <c r="I87" s="44">
        <v>0</v>
      </c>
    </row>
    <row r="88" spans="1:9" ht="15">
      <c r="A88" s="43" t="str">
        <f>HLOOKUP(INDICE!$F$2,Nombres!$C$3:$D$636,53,FALSE)</f>
        <v>Financial assets designated at fair value </v>
      </c>
      <c r="B88" s="58">
        <v>7824.531481497674</v>
      </c>
      <c r="C88" s="58">
        <v>7919.905028800866</v>
      </c>
      <c r="D88" s="58">
        <v>8051.127172080038</v>
      </c>
      <c r="E88" s="64">
        <v>7685.691384199414</v>
      </c>
      <c r="F88" s="44">
        <v>10008.99579222184</v>
      </c>
      <c r="G88" s="44">
        <v>11048.235</v>
      </c>
      <c r="H88" s="44">
        <v>0</v>
      </c>
      <c r="I88" s="44">
        <v>0</v>
      </c>
    </row>
    <row r="89" spans="1:9" ht="15">
      <c r="A89" s="43" t="str">
        <f>HLOOKUP(INDICE!$F$2,Nombres!$C$3:$D$636,54,FALSE)</f>
        <v>Financial assets at amortized cost</v>
      </c>
      <c r="B89" s="44">
        <v>38549.46384344726</v>
      </c>
      <c r="C89" s="44">
        <v>39615.35016053675</v>
      </c>
      <c r="D89" s="44">
        <v>40151.99360599493</v>
      </c>
      <c r="E89" s="45">
        <v>40728.78499080472</v>
      </c>
      <c r="F89" s="44">
        <v>40775.81513303073</v>
      </c>
      <c r="G89" s="44">
        <v>43317.137</v>
      </c>
      <c r="H89" s="44">
        <v>0</v>
      </c>
      <c r="I89" s="44">
        <v>0</v>
      </c>
    </row>
    <row r="90" spans="1:9" ht="15">
      <c r="A90" s="43" t="str">
        <f>HLOOKUP(INDICE!$F$2,Nombres!$C$3:$D$636,55,FALSE)</f>
        <v>    of which loans and advances to customers</v>
      </c>
      <c r="B90" s="44">
        <v>34388.23867484831</v>
      </c>
      <c r="C90" s="44">
        <v>35736.68555727136</v>
      </c>
      <c r="D90" s="44">
        <v>35976.86446821335</v>
      </c>
      <c r="E90" s="45">
        <v>37619.88174696715</v>
      </c>
      <c r="F90" s="44">
        <v>38279.0201894284</v>
      </c>
      <c r="G90" s="44">
        <v>40176.287000000004</v>
      </c>
      <c r="H90" s="44">
        <v>0</v>
      </c>
      <c r="I90" s="44">
        <v>0</v>
      </c>
    </row>
    <row r="91" spans="1:9" ht="15" hidden="1">
      <c r="A91" s="43"/>
      <c r="B91" s="44"/>
      <c r="C91" s="44"/>
      <c r="D91" s="44"/>
      <c r="E91" s="45"/>
      <c r="F91" s="44"/>
      <c r="G91" s="44"/>
      <c r="H91" s="44"/>
      <c r="I91" s="44"/>
    </row>
    <row r="92" spans="1:9" ht="15">
      <c r="A92" s="43" t="str">
        <f>HLOOKUP(INDICE!$F$2,Nombres!$C$3:$D$636,56,FALSE)</f>
        <v>Tangible assets</v>
      </c>
      <c r="B92" s="44">
        <v>827.6765456078747</v>
      </c>
      <c r="C92" s="44">
        <v>839.1314402056963</v>
      </c>
      <c r="D92" s="44">
        <v>861.8948366224147</v>
      </c>
      <c r="E92" s="45">
        <v>931.4252671307304</v>
      </c>
      <c r="F92" s="44">
        <v>997.5031677050516</v>
      </c>
      <c r="G92" s="44">
        <v>1099.981</v>
      </c>
      <c r="H92" s="44">
        <v>0</v>
      </c>
      <c r="I92" s="44">
        <v>0</v>
      </c>
    </row>
    <row r="93" spans="1:9" ht="15">
      <c r="A93" s="43" t="str">
        <f>HLOOKUP(INDICE!$F$2,Nombres!$C$3:$D$636,57,FALSE)</f>
        <v>Other assets</v>
      </c>
      <c r="B93" s="58">
        <f>+B94-B92-B89-B88-B87</f>
        <v>1746.1183957900303</v>
      </c>
      <c r="C93" s="58">
        <f aca="true" t="shared" si="15" ref="C93:I93">+C94-C92-C89-C88-C87</f>
        <v>1841.2113904888765</v>
      </c>
      <c r="D93" s="58">
        <f t="shared" si="15"/>
        <v>1824.1913429974102</v>
      </c>
      <c r="E93" s="64">
        <f t="shared" si="15"/>
        <v>1828.8220180814442</v>
      </c>
      <c r="F93" s="44">
        <f t="shared" si="15"/>
        <v>1834.270734057307</v>
      </c>
      <c r="G93" s="44">
        <f t="shared" si="15"/>
        <v>1995.0128934900113</v>
      </c>
      <c r="H93" s="44">
        <f t="shared" si="15"/>
        <v>0</v>
      </c>
      <c r="I93" s="44">
        <f t="shared" si="15"/>
        <v>0</v>
      </c>
    </row>
    <row r="94" spans="1:9" ht="15">
      <c r="A94" s="47" t="str">
        <f>HLOOKUP(INDICE!$F$2,Nombres!$C$3:$D$636,58,FALSE)</f>
        <v>Total assets / Liabilities and equity</v>
      </c>
      <c r="B94" s="47">
        <v>56063.20182576434</v>
      </c>
      <c r="C94" s="47">
        <v>57888.71223962492</v>
      </c>
      <c r="D94" s="47">
        <v>59519.126753668366</v>
      </c>
      <c r="E94" s="47">
        <v>60320.052243148755</v>
      </c>
      <c r="F94" s="51">
        <v>62014.25925158272</v>
      </c>
      <c r="G94" s="51">
        <v>66342.94489349001</v>
      </c>
      <c r="H94" s="51">
        <v>0</v>
      </c>
      <c r="I94" s="51">
        <v>0</v>
      </c>
    </row>
    <row r="95" spans="1:9" ht="15">
      <c r="A95" s="43" t="str">
        <f>HLOOKUP(INDICE!$F$2,Nombres!$C$3:$D$636,59,FALSE)</f>
        <v>Financial liabilities held for trading and designated at fair value through profit or loss</v>
      </c>
      <c r="B95" s="58">
        <v>1275.9399904951229</v>
      </c>
      <c r="C95" s="58">
        <v>1275.4474404594484</v>
      </c>
      <c r="D95" s="58">
        <v>1738.3344389780073</v>
      </c>
      <c r="E95" s="64">
        <v>2014.7990594879916</v>
      </c>
      <c r="F95" s="44">
        <v>2540.8402871178696</v>
      </c>
      <c r="G95" s="44">
        <v>3104.51</v>
      </c>
      <c r="H95" s="44">
        <v>0</v>
      </c>
      <c r="I95" s="44">
        <v>0</v>
      </c>
    </row>
    <row r="96" spans="1:9" ht="15">
      <c r="A96" s="43" t="str">
        <f>HLOOKUP(INDICE!$F$2,Nombres!$C$3:$D$636,60,FALSE)</f>
        <v>Deposits from central banks and credit institutions</v>
      </c>
      <c r="B96" s="58">
        <v>5679.273208608684</v>
      </c>
      <c r="C96" s="58">
        <v>6092.515850167343</v>
      </c>
      <c r="D96" s="58">
        <v>6162.278314724377</v>
      </c>
      <c r="E96" s="64">
        <v>6155.134584936263</v>
      </c>
      <c r="F96" s="44">
        <v>6619.86984976833</v>
      </c>
      <c r="G96" s="44">
        <v>5653.09799999</v>
      </c>
      <c r="H96" s="44">
        <v>0</v>
      </c>
      <c r="I96" s="44">
        <v>0</v>
      </c>
    </row>
    <row r="97" spans="1:9" ht="15">
      <c r="A97" s="43" t="str">
        <f>HLOOKUP(INDICE!$F$2,Nombres!$C$3:$D$636,61,FALSE)</f>
        <v>Deposits from customers</v>
      </c>
      <c r="B97" s="58">
        <v>37061.29988690034</v>
      </c>
      <c r="C97" s="58">
        <v>38382.38114019823</v>
      </c>
      <c r="D97" s="58">
        <v>39001.527045811235</v>
      </c>
      <c r="E97" s="64">
        <v>39149.933275675474</v>
      </c>
      <c r="F97" s="44">
        <v>39264.96138270265</v>
      </c>
      <c r="G97" s="44">
        <v>43314.07300001</v>
      </c>
      <c r="H97" s="44">
        <v>0</v>
      </c>
      <c r="I97" s="44">
        <v>0</v>
      </c>
    </row>
    <row r="98" spans="1:9" ht="15">
      <c r="A98" s="43" t="str">
        <f>HLOOKUP(INDICE!$F$2,Nombres!$C$3:$D$636,62,FALSE)</f>
        <v>Debt certificates</v>
      </c>
      <c r="B98" s="44">
        <v>3305.9075659230384</v>
      </c>
      <c r="C98" s="44">
        <v>3301.0579907147394</v>
      </c>
      <c r="D98" s="44">
        <v>3428.181926584506</v>
      </c>
      <c r="E98" s="45">
        <v>3441.505762211724</v>
      </c>
      <c r="F98" s="44">
        <v>3347.771399191755</v>
      </c>
      <c r="G98" s="44">
        <v>3818.33995903</v>
      </c>
      <c r="H98" s="44">
        <v>0</v>
      </c>
      <c r="I98" s="44">
        <v>0</v>
      </c>
    </row>
    <row r="99" spans="1:9" ht="15" hidden="1">
      <c r="A99" s="43"/>
      <c r="B99" s="44"/>
      <c r="C99" s="44"/>
      <c r="D99" s="44"/>
      <c r="E99" s="45"/>
      <c r="F99" s="44"/>
      <c r="G99" s="44"/>
      <c r="H99" s="44"/>
      <c r="I99" s="44"/>
    </row>
    <row r="100" spans="1:9" ht="15">
      <c r="A100" s="43" t="str">
        <f>HLOOKUP(INDICE!$F$2,Nombres!$C$3:$D$636,63,FALSE)</f>
        <v>Other liabilities</v>
      </c>
      <c r="B100" s="58">
        <f>+B94-B95-B96-B97-B98-B101</f>
        <v>3998.5209862181846</v>
      </c>
      <c r="C100" s="58">
        <f aca="true" t="shared" si="16" ref="C100:I100">+C94-C95-C96-C97-C98-C101</f>
        <v>4032.998726268157</v>
      </c>
      <c r="D100" s="58">
        <f t="shared" si="16"/>
        <v>4147.538837580836</v>
      </c>
      <c r="E100" s="64">
        <f t="shared" si="16"/>
        <v>4214.319936683287</v>
      </c>
      <c r="F100" s="44">
        <f t="shared" si="16"/>
        <v>4621.034118328182</v>
      </c>
      <c r="G100" s="44">
        <f t="shared" si="16"/>
        <v>4407.153500380009</v>
      </c>
      <c r="H100" s="44">
        <f t="shared" si="16"/>
        <v>0</v>
      </c>
      <c r="I100" s="44">
        <f t="shared" si="16"/>
        <v>0</v>
      </c>
    </row>
    <row r="101" spans="1:9" ht="15">
      <c r="A101" s="43" t="str">
        <f>HLOOKUP(INDICE!$F$2,Nombres!$C$3:$D$636,282,FALSE)</f>
        <v>Regulatory capital allocated</v>
      </c>
      <c r="B101" s="58">
        <v>4742.260187618974</v>
      </c>
      <c r="C101" s="58">
        <v>4804.311091816995</v>
      </c>
      <c r="D101" s="58">
        <v>5041.266189989403</v>
      </c>
      <c r="E101" s="64">
        <v>5344.35962415402</v>
      </c>
      <c r="F101" s="44">
        <v>5619.782214473937</v>
      </c>
      <c r="G101" s="44">
        <v>6045.770434080001</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36396.57452935805</v>
      </c>
      <c r="C107" s="44">
        <v>37791.39197035765</v>
      </c>
      <c r="D107" s="44">
        <v>37984.01499345829</v>
      </c>
      <c r="E107" s="45">
        <v>39493.63205296037</v>
      </c>
      <c r="F107" s="44">
        <v>40112.81771309353</v>
      </c>
      <c r="G107" s="44">
        <v>42044.91848917</v>
      </c>
      <c r="H107" s="44">
        <v>0</v>
      </c>
      <c r="I107" s="44">
        <v>0</v>
      </c>
    </row>
    <row r="108" spans="1:9" ht="15">
      <c r="A108" s="43" t="str">
        <f>HLOOKUP(INDICE!$F$2,Nombres!$C$3:$D$636,67,FALSE)</f>
        <v>Customer deposits under management (*)</v>
      </c>
      <c r="B108" s="44">
        <v>37077.335267340735</v>
      </c>
      <c r="C108" s="44">
        <v>38384.931996155494</v>
      </c>
      <c r="D108" s="44">
        <v>38999.37466486125</v>
      </c>
      <c r="E108" s="45">
        <v>39179.14603014559</v>
      </c>
      <c r="F108" s="44">
        <v>39284.55153032778</v>
      </c>
      <c r="G108" s="44">
        <v>43332.99135025999</v>
      </c>
      <c r="H108" s="44">
        <v>0</v>
      </c>
      <c r="I108" s="44">
        <v>0</v>
      </c>
    </row>
    <row r="109" spans="1:9" ht="15">
      <c r="A109" s="43" t="str">
        <f>HLOOKUP(INDICE!$F$2,Nombres!$C$3:$D$636,68,FALSE)</f>
        <v>Investment funds and managed portfolios</v>
      </c>
      <c r="B109" s="44">
        <v>5283.514804134298</v>
      </c>
      <c r="C109" s="44">
        <v>4893.740585357661</v>
      </c>
      <c r="D109" s="44">
        <v>4899.457193879002</v>
      </c>
      <c r="E109" s="45">
        <v>5914.325961888799</v>
      </c>
      <c r="F109" s="44">
        <v>5997.544852523637</v>
      </c>
      <c r="G109" s="44">
        <v>5744.49304491</v>
      </c>
      <c r="H109" s="44">
        <v>0</v>
      </c>
      <c r="I109" s="44">
        <v>0</v>
      </c>
    </row>
    <row r="110" spans="1:9" ht="15">
      <c r="A110" s="43" t="str">
        <f>HLOOKUP(INDICE!$F$2,Nombres!$C$3:$D$636,69,FALSE)</f>
        <v>Pension funds</v>
      </c>
      <c r="B110" s="44">
        <v>10886.594711000394</v>
      </c>
      <c r="C110" s="44">
        <v>11125.116635039547</v>
      </c>
      <c r="D110" s="44">
        <v>11302.904331593427</v>
      </c>
      <c r="E110" s="45">
        <v>11443.424237257592</v>
      </c>
      <c r="F110" s="44">
        <v>11624.909788718782</v>
      </c>
      <c r="G110" s="44">
        <v>11766.86765503</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392</v>
      </c>
    </row>
  </sheetData>
  <sheetProtection/>
  <mergeCells count="4">
    <mergeCell ref="B6:E6"/>
    <mergeCell ref="F6:I6"/>
    <mergeCell ref="B62:E62"/>
    <mergeCell ref="F62:I62"/>
  </mergeCells>
  <conditionalFormatting sqref="C82:I82">
    <cfRule type="cellIs" priority="10" dxfId="127" operator="notBetween">
      <formula>0.5</formula>
      <formula>-0.5</formula>
    </cfRule>
  </conditionalFormatting>
  <conditionalFormatting sqref="C26">
    <cfRule type="cellIs" priority="9" dxfId="13" operator="notBetween">
      <formula>-0.4</formula>
      <formula>0.4</formula>
    </cfRule>
  </conditionalFormatting>
  <conditionalFormatting sqref="D26">
    <cfRule type="cellIs" priority="8" dxfId="13" operator="notBetween">
      <formula>-0.4</formula>
      <formula>0.4</formula>
    </cfRule>
  </conditionalFormatting>
  <conditionalFormatting sqref="E26">
    <cfRule type="cellIs" priority="7" dxfId="13" operator="notBetween">
      <formula>-0.4</formula>
      <formula>0.4</formula>
    </cfRule>
  </conditionalFormatting>
  <conditionalFormatting sqref="F26">
    <cfRule type="cellIs" priority="6" dxfId="13" operator="notBetween">
      <formula>-0.4</formula>
      <formula>0.4</formula>
    </cfRule>
  </conditionalFormatting>
  <conditionalFormatting sqref="G26">
    <cfRule type="cellIs" priority="5" dxfId="13" operator="notBetween">
      <formula>-0.4</formula>
      <formula>0.4</formula>
    </cfRule>
  </conditionalFormatting>
  <conditionalFormatting sqref="H26">
    <cfRule type="cellIs" priority="4" dxfId="13" operator="notBetween">
      <formula>-0.4</formula>
      <formula>0.4</formula>
    </cfRule>
  </conditionalFormatting>
  <conditionalFormatting sqref="I26">
    <cfRule type="cellIs" priority="3" dxfId="13" operator="notBetween">
      <formula>-0.4</formula>
      <formula>0.4</formula>
    </cfRule>
  </conditionalFormatting>
  <conditionalFormatting sqref="B26:I26">
    <cfRule type="cellIs" priority="2" dxfId="127" operator="notBetween">
      <formula>0.5</formula>
      <formula>-0.5</formula>
    </cfRule>
  </conditionalFormatting>
  <conditionalFormatting sqref="B82:I82">
    <cfRule type="cellIs" priority="1" dxfId="127"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37">
      <selection activeCell="A1" sqref="A1"/>
    </sheetView>
  </sheetViews>
  <sheetFormatPr defaultColWidth="11.421875" defaultRowHeight="15"/>
  <cols>
    <col min="1" max="1" width="62.00390625" style="31" customWidth="1"/>
    <col min="2" max="7" width="11.421875" style="31" customWidth="1"/>
    <col min="8" max="9" width="0" style="31" hidden="1" customWidth="1"/>
    <col min="10"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00">
        <f>+España!B6</f>
        <v>2021</v>
      </c>
      <c r="C6" s="300"/>
      <c r="D6" s="300"/>
      <c r="E6" s="301"/>
      <c r="F6" s="300">
        <f>+España!F6</f>
        <v>2022</v>
      </c>
      <c r="G6" s="300"/>
      <c r="H6" s="300"/>
      <c r="I6" s="300"/>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201.59000000000003</v>
      </c>
      <c r="C8" s="41">
        <v>224.785</v>
      </c>
      <c r="D8" s="41">
        <v>282.751</v>
      </c>
      <c r="E8" s="42">
        <v>342.65200000000004</v>
      </c>
      <c r="F8" s="50">
        <v>318.816</v>
      </c>
      <c r="G8" s="50">
        <v>462.1120000000001</v>
      </c>
      <c r="H8" s="50">
        <v>0</v>
      </c>
      <c r="I8" s="50">
        <v>0</v>
      </c>
    </row>
    <row r="9" spans="1:9" ht="15">
      <c r="A9" s="43" t="str">
        <f>HLOOKUP(INDICE!$F$2,Nombres!$C$3:$D$636,34,FALSE)</f>
        <v>Net fees and commissions</v>
      </c>
      <c r="B9" s="44">
        <v>31.211</v>
      </c>
      <c r="C9" s="44">
        <v>52.53021648</v>
      </c>
      <c r="D9" s="44">
        <v>60.98599999999999</v>
      </c>
      <c r="E9" s="45">
        <v>57.87094900000001</v>
      </c>
      <c r="F9" s="44">
        <v>61.04930800000001</v>
      </c>
      <c r="G9" s="44">
        <v>85.27700000000002</v>
      </c>
      <c r="H9" s="44">
        <v>0</v>
      </c>
      <c r="I9" s="44">
        <v>0</v>
      </c>
    </row>
    <row r="10" spans="1:9" ht="15">
      <c r="A10" s="43" t="str">
        <f>HLOOKUP(INDICE!$F$2,Nombres!$C$3:$D$636,35,FALSE)</f>
        <v>Net trading income</v>
      </c>
      <c r="B10" s="44">
        <v>25.746997999999998</v>
      </c>
      <c r="C10" s="44">
        <v>24.615463</v>
      </c>
      <c r="D10" s="44">
        <v>25.485568999999998</v>
      </c>
      <c r="E10" s="45">
        <v>16.042649509999997</v>
      </c>
      <c r="F10" s="44">
        <v>34.023920000000004</v>
      </c>
      <c r="G10" s="44">
        <v>31.88125</v>
      </c>
      <c r="H10" s="44">
        <v>0</v>
      </c>
      <c r="I10" s="44">
        <v>0</v>
      </c>
    </row>
    <row r="11" spans="1:9" ht="15">
      <c r="A11" s="43" t="str">
        <f>HLOOKUP(INDICE!$F$2,Nombres!$C$3:$D$636,36,FALSE)</f>
        <v>Other operating income and expenses</v>
      </c>
      <c r="B11" s="44">
        <v>-121.00899999999999</v>
      </c>
      <c r="C11" s="44">
        <v>-125.608</v>
      </c>
      <c r="D11" s="44">
        <v>-119.70800000000001</v>
      </c>
      <c r="E11" s="45">
        <v>-161.60999999999999</v>
      </c>
      <c r="F11" s="44">
        <v>-185.903</v>
      </c>
      <c r="G11" s="44">
        <v>-262.47799999999995</v>
      </c>
      <c r="H11" s="44">
        <v>0</v>
      </c>
      <c r="I11" s="44">
        <v>0</v>
      </c>
    </row>
    <row r="12" spans="1:9" ht="15">
      <c r="A12" s="41" t="str">
        <f>HLOOKUP(INDICE!$F$2,Nombres!$C$3:$D$636,37,FALSE)</f>
        <v>Gross income</v>
      </c>
      <c r="B12" s="41">
        <f>+SUM(B8:B11)</f>
        <v>137.53899800000008</v>
      </c>
      <c r="C12" s="41">
        <f aca="true" t="shared" si="0" ref="C12:I12">+SUM(C8:C11)</f>
        <v>176.32267947999998</v>
      </c>
      <c r="D12" s="41">
        <f t="shared" si="0"/>
        <v>249.51456899999994</v>
      </c>
      <c r="E12" s="42">
        <f t="shared" si="0"/>
        <v>254.95559851000004</v>
      </c>
      <c r="F12" s="50">
        <f t="shared" si="0"/>
        <v>227.986228</v>
      </c>
      <c r="G12" s="50">
        <f t="shared" si="0"/>
        <v>316.7922500000002</v>
      </c>
      <c r="H12" s="50">
        <f t="shared" si="0"/>
        <v>0</v>
      </c>
      <c r="I12" s="50">
        <f t="shared" si="0"/>
        <v>0</v>
      </c>
    </row>
    <row r="13" spans="1:9" ht="15">
      <c r="A13" s="43" t="str">
        <f>HLOOKUP(INDICE!$F$2,Nombres!$C$3:$D$636,38,FALSE)</f>
        <v>Operating expenses</v>
      </c>
      <c r="B13" s="44">
        <v>-106.12388035</v>
      </c>
      <c r="C13" s="44">
        <v>-118.05492236</v>
      </c>
      <c r="D13" s="44">
        <v>-162.63306934000002</v>
      </c>
      <c r="E13" s="45">
        <v>-177.55090436000003</v>
      </c>
      <c r="F13" s="44">
        <v>-145.78886380999998</v>
      </c>
      <c r="G13" s="44">
        <v>-216.16730637000003</v>
      </c>
      <c r="H13" s="44">
        <v>0</v>
      </c>
      <c r="I13" s="44">
        <v>0</v>
      </c>
    </row>
    <row r="14" spans="1:9" ht="15">
      <c r="A14" s="43" t="str">
        <f>HLOOKUP(INDICE!$F$2,Nombres!$C$3:$D$636,39,FALSE)</f>
        <v>  Administration expenses</v>
      </c>
      <c r="B14" s="44">
        <v>-98.70588035</v>
      </c>
      <c r="C14" s="44">
        <v>-108.32692236</v>
      </c>
      <c r="D14" s="44">
        <v>-151.30306934</v>
      </c>
      <c r="E14" s="45">
        <v>-164.43490436000002</v>
      </c>
      <c r="F14" s="44">
        <v>-139.93386381</v>
      </c>
      <c r="G14" s="44">
        <v>-199.43230637</v>
      </c>
      <c r="H14" s="44">
        <v>0</v>
      </c>
      <c r="I14" s="44">
        <v>0</v>
      </c>
    </row>
    <row r="15" spans="1:9" ht="15">
      <c r="A15" s="46" t="str">
        <f>HLOOKUP(INDICE!$F$2,Nombres!$C$3:$D$636,40,FALSE)</f>
        <v>  Personnel expenses</v>
      </c>
      <c r="B15" s="44">
        <v>-55.644999999999996</v>
      </c>
      <c r="C15" s="44">
        <v>-59.501</v>
      </c>
      <c r="D15" s="44">
        <v>-75.02199999999999</v>
      </c>
      <c r="E15" s="45">
        <v>-82.89559500000001</v>
      </c>
      <c r="F15" s="44">
        <v>-75.525</v>
      </c>
      <c r="G15" s="44">
        <v>-107.994</v>
      </c>
      <c r="H15" s="44">
        <v>0</v>
      </c>
      <c r="I15" s="44">
        <v>0</v>
      </c>
    </row>
    <row r="16" spans="1:9" ht="15">
      <c r="A16" s="46" t="str">
        <f>HLOOKUP(INDICE!$F$2,Nombres!$C$3:$D$636,41,FALSE)</f>
        <v>  General and administrative expenses</v>
      </c>
      <c r="B16" s="44">
        <v>-43.06088035</v>
      </c>
      <c r="C16" s="44">
        <v>-48.82592236000001</v>
      </c>
      <c r="D16" s="44">
        <v>-76.28106933999999</v>
      </c>
      <c r="E16" s="45">
        <v>-81.53930936000003</v>
      </c>
      <c r="F16" s="44">
        <v>-64.40886380999999</v>
      </c>
      <c r="G16" s="44">
        <v>-91.43830637000002</v>
      </c>
      <c r="H16" s="44">
        <v>0</v>
      </c>
      <c r="I16" s="44">
        <v>0</v>
      </c>
    </row>
    <row r="17" spans="1:9" ht="15">
      <c r="A17" s="43" t="str">
        <f>HLOOKUP(INDICE!$F$2,Nombres!$C$3:$D$636,42,FALSE)</f>
        <v>  Depreciation</v>
      </c>
      <c r="B17" s="44">
        <v>-7.418000000000002</v>
      </c>
      <c r="C17" s="44">
        <v>-9.728</v>
      </c>
      <c r="D17" s="44">
        <v>-11.33</v>
      </c>
      <c r="E17" s="45">
        <v>-13.116</v>
      </c>
      <c r="F17" s="44">
        <v>-5.8549999999999995</v>
      </c>
      <c r="G17" s="44">
        <v>-16.735</v>
      </c>
      <c r="H17" s="44">
        <v>0</v>
      </c>
      <c r="I17" s="44">
        <v>0</v>
      </c>
    </row>
    <row r="18" spans="1:9" ht="15">
      <c r="A18" s="41" t="str">
        <f>HLOOKUP(INDICE!$F$2,Nombres!$C$3:$D$636,43,FALSE)</f>
        <v>Operating income</v>
      </c>
      <c r="B18" s="41">
        <f>+B12+B13</f>
        <v>31.415117650000084</v>
      </c>
      <c r="C18" s="41">
        <f aca="true" t="shared" si="1" ref="C18:I18">+C12+C13</f>
        <v>58.26775711999997</v>
      </c>
      <c r="D18" s="41">
        <f t="shared" si="1"/>
        <v>86.88149965999992</v>
      </c>
      <c r="E18" s="42">
        <f t="shared" si="1"/>
        <v>77.40469415000001</v>
      </c>
      <c r="F18" s="50">
        <f t="shared" si="1"/>
        <v>82.19736419000003</v>
      </c>
      <c r="G18" s="50">
        <f t="shared" si="1"/>
        <v>100.62494363000016</v>
      </c>
      <c r="H18" s="50">
        <f t="shared" si="1"/>
        <v>0</v>
      </c>
      <c r="I18" s="50">
        <f t="shared" si="1"/>
        <v>0</v>
      </c>
    </row>
    <row r="19" spans="1:9" ht="15">
      <c r="A19" s="43" t="str">
        <f>HLOOKUP(INDICE!$F$2,Nombres!$C$3:$D$636,44,FALSE)</f>
        <v>Impaiment on financial assets not measured at fair value through profit or loss</v>
      </c>
      <c r="B19" s="44">
        <v>-20.544000000000004</v>
      </c>
      <c r="C19" s="44">
        <v>-32.67099999999999</v>
      </c>
      <c r="D19" s="44">
        <v>-33.587999999999994</v>
      </c>
      <c r="E19" s="45">
        <v>-26.778</v>
      </c>
      <c r="F19" s="44">
        <v>-47.348999999999975</v>
      </c>
      <c r="G19" s="44">
        <v>-16.98500000000002</v>
      </c>
      <c r="H19" s="44">
        <v>0</v>
      </c>
      <c r="I19" s="44">
        <v>0</v>
      </c>
    </row>
    <row r="20" spans="1:9" ht="15">
      <c r="A20" s="43" t="str">
        <f>HLOOKUP(INDICE!$F$2,Nombres!$C$3:$D$636,45,FALSE)</f>
        <v>Provisions or reversal of provisions and other results</v>
      </c>
      <c r="B20" s="44">
        <v>-1.9580000000000004</v>
      </c>
      <c r="C20" s="44">
        <v>-4.7379999999999995</v>
      </c>
      <c r="D20" s="44">
        <v>-3.2439999999999998</v>
      </c>
      <c r="E20" s="45">
        <v>-9.539999999999997</v>
      </c>
      <c r="F20" s="44">
        <v>-4.836</v>
      </c>
      <c r="G20" s="44">
        <v>-12.673</v>
      </c>
      <c r="H20" s="44">
        <v>0</v>
      </c>
      <c r="I20" s="44">
        <v>0</v>
      </c>
    </row>
    <row r="21" spans="1:9" ht="15">
      <c r="A21" s="41" t="str">
        <f>HLOOKUP(INDICE!$F$2,Nombres!$C$3:$D$636,46,FALSE)</f>
        <v>Profit/(loss) before tax</v>
      </c>
      <c r="B21" s="41">
        <f>+B18+B19+B20</f>
        <v>8.91311765000008</v>
      </c>
      <c r="C21" s="41">
        <f aca="true" t="shared" si="2" ref="C21:I21">+C18+C19+C20</f>
        <v>20.85875711999998</v>
      </c>
      <c r="D21" s="41">
        <f t="shared" si="2"/>
        <v>50.049499659999924</v>
      </c>
      <c r="E21" s="42">
        <f t="shared" si="2"/>
        <v>41.086694150000014</v>
      </c>
      <c r="F21" s="50">
        <f t="shared" si="2"/>
        <v>30.012364190000056</v>
      </c>
      <c r="G21" s="50">
        <f t="shared" si="2"/>
        <v>70.96694363000015</v>
      </c>
      <c r="H21" s="50">
        <f t="shared" si="2"/>
        <v>0</v>
      </c>
      <c r="I21" s="50">
        <f t="shared" si="2"/>
        <v>0</v>
      </c>
    </row>
    <row r="22" spans="1:9" ht="15">
      <c r="A22" s="43" t="str">
        <f>HLOOKUP(INDICE!$F$2,Nombres!$C$3:$D$636,47,FALSE)</f>
        <v>Income tax</v>
      </c>
      <c r="B22" s="44">
        <v>-3.435435299999999</v>
      </c>
      <c r="C22" s="44">
        <v>-9.961027120000002</v>
      </c>
      <c r="D22" s="44">
        <v>-10.61474992000001</v>
      </c>
      <c r="E22" s="45">
        <v>-12.272786740000027</v>
      </c>
      <c r="F22" s="44">
        <v>-4.880427639999995</v>
      </c>
      <c r="G22" s="44">
        <v>49.968401039999975</v>
      </c>
      <c r="H22" s="44">
        <v>0</v>
      </c>
      <c r="I22" s="44">
        <v>0</v>
      </c>
    </row>
    <row r="23" spans="1:9" ht="15">
      <c r="A23" s="41" t="str">
        <f>HLOOKUP(INDICE!$F$2,Nombres!$C$3:$D$636,48,FALSE)</f>
        <v>Profit/(loss) for the year</v>
      </c>
      <c r="B23" s="41">
        <f>+B21+B22</f>
        <v>5.477682350000081</v>
      </c>
      <c r="C23" s="41">
        <f aca="true" t="shared" si="3" ref="C23:I23">+C21+C22</f>
        <v>10.897729999999976</v>
      </c>
      <c r="D23" s="41">
        <f t="shared" si="3"/>
        <v>39.434749739999916</v>
      </c>
      <c r="E23" s="42">
        <f t="shared" si="3"/>
        <v>28.813907409999985</v>
      </c>
      <c r="F23" s="50">
        <f t="shared" si="3"/>
        <v>25.131936550000063</v>
      </c>
      <c r="G23" s="50">
        <f t="shared" si="3"/>
        <v>120.93534467000012</v>
      </c>
      <c r="H23" s="50">
        <f t="shared" si="3"/>
        <v>0</v>
      </c>
      <c r="I23" s="50">
        <f t="shared" si="3"/>
        <v>0</v>
      </c>
    </row>
    <row r="24" spans="1:9" ht="15">
      <c r="A24" s="43" t="str">
        <f>HLOOKUP(INDICE!$F$2,Nombres!$C$3:$D$636,49,FALSE)</f>
        <v>Non-controlling interests</v>
      </c>
      <c r="B24" s="44">
        <v>-1.0705837599999972</v>
      </c>
      <c r="C24" s="44">
        <v>-2.3194256900000028</v>
      </c>
      <c r="D24" s="44">
        <v>-13.459307979999993</v>
      </c>
      <c r="E24" s="45">
        <v>-9.535898540000012</v>
      </c>
      <c r="F24" s="44">
        <v>-6.679911369999999</v>
      </c>
      <c r="G24" s="44">
        <v>-38.769879939999996</v>
      </c>
      <c r="H24" s="44">
        <v>0</v>
      </c>
      <c r="I24" s="44">
        <v>0</v>
      </c>
    </row>
    <row r="25" spans="1:9" ht="15">
      <c r="A25" s="47" t="str">
        <f>HLOOKUP(INDICE!$F$2,Nombres!$C$3:$D$636,50,FALSE)</f>
        <v>Net attributable profit</v>
      </c>
      <c r="B25" s="47">
        <f>+B23+B24</f>
        <v>4.407098590000084</v>
      </c>
      <c r="C25" s="47">
        <f aca="true" t="shared" si="4" ref="C25:I25">+C23+C24</f>
        <v>8.578304309999973</v>
      </c>
      <c r="D25" s="47">
        <f t="shared" si="4"/>
        <v>25.975441759999924</v>
      </c>
      <c r="E25" s="47">
        <f t="shared" si="4"/>
        <v>19.278008869999972</v>
      </c>
      <c r="F25" s="51">
        <f t="shared" si="4"/>
        <v>18.452025180000064</v>
      </c>
      <c r="G25" s="51">
        <f t="shared" si="4"/>
        <v>82.16546473000012</v>
      </c>
      <c r="H25" s="51">
        <f t="shared" si="4"/>
        <v>0</v>
      </c>
      <c r="I25" s="51">
        <f t="shared" si="4"/>
        <v>0</v>
      </c>
    </row>
    <row r="26" spans="1:9" ht="15">
      <c r="A26" s="62"/>
      <c r="B26" s="63">
        <v>5.5067062021407764E-14</v>
      </c>
      <c r="C26" s="63">
        <v>0</v>
      </c>
      <c r="D26" s="63">
        <v>-4.973799150320701E-14</v>
      </c>
      <c r="E26" s="63">
        <v>0</v>
      </c>
      <c r="F26" s="63">
        <v>6.394884621840902E-14</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1814.7499999999998</v>
      </c>
      <c r="C31" s="44">
        <v>1743.115</v>
      </c>
      <c r="D31" s="44">
        <v>1725.562</v>
      </c>
      <c r="E31" s="45">
        <v>1883.8760000000002</v>
      </c>
      <c r="F31" s="44">
        <v>1617.2679999999998</v>
      </c>
      <c r="G31" s="44">
        <v>1458.5610000000001</v>
      </c>
      <c r="H31" s="44">
        <v>0</v>
      </c>
      <c r="I31" s="44">
        <v>0</v>
      </c>
    </row>
    <row r="32" spans="1:9" ht="15">
      <c r="A32" s="43" t="str">
        <f>HLOOKUP(INDICE!$F$2,Nombres!$C$3:$D$636,53,FALSE)</f>
        <v>Financial assets designated at fair value </v>
      </c>
      <c r="B32" s="58">
        <v>1347.5679999999998</v>
      </c>
      <c r="C32" s="58">
        <v>1426.29</v>
      </c>
      <c r="D32" s="58">
        <v>1574.5140000000001</v>
      </c>
      <c r="E32" s="64">
        <v>1590.261</v>
      </c>
      <c r="F32" s="44">
        <v>2951.362</v>
      </c>
      <c r="G32" s="44">
        <v>3358.946</v>
      </c>
      <c r="H32" s="44">
        <v>0</v>
      </c>
      <c r="I32" s="44">
        <v>0</v>
      </c>
    </row>
    <row r="33" spans="1:9" ht="15">
      <c r="A33" s="43" t="str">
        <f>HLOOKUP(INDICE!$F$2,Nombres!$C$3:$D$636,54,FALSE)</f>
        <v>Financial assets at amortized cost</v>
      </c>
      <c r="B33" s="44">
        <v>3214.4900000000002</v>
      </c>
      <c r="C33" s="44">
        <v>3911.3070000000002</v>
      </c>
      <c r="D33" s="44">
        <v>4157.168</v>
      </c>
      <c r="E33" s="45">
        <v>4826.938999999999</v>
      </c>
      <c r="F33" s="44">
        <v>4265.255999999999</v>
      </c>
      <c r="G33" s="44">
        <v>5266.887000000001</v>
      </c>
      <c r="H33" s="44">
        <v>0</v>
      </c>
      <c r="I33" s="44">
        <v>0</v>
      </c>
    </row>
    <row r="34" spans="1:9" ht="15">
      <c r="A34" s="43" t="str">
        <f>HLOOKUP(INDICE!$F$2,Nombres!$C$3:$D$636,55,FALSE)</f>
        <v>    of which loans and advances to customers</v>
      </c>
      <c r="B34" s="44">
        <v>2678.9059999999995</v>
      </c>
      <c r="C34" s="44">
        <v>2718.075</v>
      </c>
      <c r="D34" s="44">
        <v>2908.585</v>
      </c>
      <c r="E34" s="45">
        <v>3296.4390000000003</v>
      </c>
      <c r="F34" s="44">
        <v>3349.9570000000003</v>
      </c>
      <c r="G34" s="44">
        <v>3977.5950000000003</v>
      </c>
      <c r="H34" s="44">
        <v>0</v>
      </c>
      <c r="I34" s="44">
        <v>0</v>
      </c>
    </row>
    <row r="35" spans="1:9" ht="15" hidden="1">
      <c r="A35" s="43"/>
      <c r="B35" s="44"/>
      <c r="C35" s="44"/>
      <c r="D35" s="44"/>
      <c r="E35" s="45"/>
      <c r="F35" s="44"/>
      <c r="G35" s="44"/>
      <c r="H35" s="44"/>
      <c r="I35" s="44"/>
    </row>
    <row r="36" spans="1:9" ht="15">
      <c r="A36" s="43" t="str">
        <f>HLOOKUP(INDICE!$F$2,Nombres!$C$3:$D$636,56,FALSE)</f>
        <v>Tangible assets</v>
      </c>
      <c r="B36" s="44">
        <v>358.37536584</v>
      </c>
      <c r="C36" s="44">
        <v>374.83600000000007</v>
      </c>
      <c r="D36" s="44">
        <v>399.10699999999997</v>
      </c>
      <c r="E36" s="45">
        <v>451.578</v>
      </c>
      <c r="F36" s="44">
        <v>524.04</v>
      </c>
      <c r="G36" s="44">
        <v>621.434</v>
      </c>
      <c r="H36" s="44">
        <v>0</v>
      </c>
      <c r="I36" s="44">
        <v>0</v>
      </c>
    </row>
    <row r="37" spans="1:9" ht="15">
      <c r="A37" s="43" t="str">
        <f>HLOOKUP(INDICE!$F$2,Nombres!$C$3:$D$636,57,FALSE)</f>
        <v>Other assets</v>
      </c>
      <c r="B37" s="58">
        <f>+B38-B36-B33-B32-B31</f>
        <v>295.6163780199988</v>
      </c>
      <c r="C37" s="58">
        <f aca="true" t="shared" si="5" ref="C37:I37">+C38-C36-C33-C32-C31</f>
        <v>294.76199999999994</v>
      </c>
      <c r="D37" s="58">
        <f t="shared" si="5"/>
        <v>270.47801206000076</v>
      </c>
      <c r="E37" s="64">
        <f t="shared" si="5"/>
        <v>284.7910000000006</v>
      </c>
      <c r="F37" s="44">
        <f t="shared" si="5"/>
        <v>297.0854528299999</v>
      </c>
      <c r="G37" s="44">
        <f t="shared" si="5"/>
        <v>321.9555165100005</v>
      </c>
      <c r="H37" s="44">
        <f t="shared" si="5"/>
        <v>0</v>
      </c>
      <c r="I37" s="44">
        <f t="shared" si="5"/>
        <v>0</v>
      </c>
    </row>
    <row r="38" spans="1:9" ht="15">
      <c r="A38" s="47" t="str">
        <f>HLOOKUP(INDICE!$F$2,Nombres!$C$3:$D$636,58,FALSE)</f>
        <v>Total assets / Liabilities and equity</v>
      </c>
      <c r="B38" s="47">
        <v>7030.799743859999</v>
      </c>
      <c r="C38" s="47">
        <v>7750.31</v>
      </c>
      <c r="D38" s="47">
        <v>8126.82901206</v>
      </c>
      <c r="E38" s="47">
        <v>9037.445</v>
      </c>
      <c r="F38" s="51">
        <v>9655.01145283</v>
      </c>
      <c r="G38" s="51">
        <v>11027.78351651</v>
      </c>
      <c r="H38" s="51">
        <v>0</v>
      </c>
      <c r="I38" s="51">
        <v>0</v>
      </c>
    </row>
    <row r="39" spans="1:9" ht="15">
      <c r="A39" s="43" t="str">
        <f>HLOOKUP(INDICE!$F$2,Nombres!$C$3:$D$636,59,FALSE)</f>
        <v>Financial liabilities held for trading and designated at fair value through profit or loss</v>
      </c>
      <c r="B39" s="58">
        <v>3.699</v>
      </c>
      <c r="C39" s="58">
        <v>1.248</v>
      </c>
      <c r="D39" s="58">
        <v>3.49</v>
      </c>
      <c r="E39" s="64">
        <v>2.7</v>
      </c>
      <c r="F39" s="44">
        <v>2.659</v>
      </c>
      <c r="G39" s="44">
        <v>1.1320000000000001</v>
      </c>
      <c r="H39" s="44">
        <v>0</v>
      </c>
      <c r="I39" s="44">
        <v>0</v>
      </c>
    </row>
    <row r="40" spans="1:9" ht="15.75" customHeight="1">
      <c r="A40" s="43" t="str">
        <f>HLOOKUP(INDICE!$F$2,Nombres!$C$3:$D$636,60,FALSE)</f>
        <v>Deposits from central banks and credit institutions</v>
      </c>
      <c r="B40" s="58">
        <v>120.434</v>
      </c>
      <c r="C40" s="58">
        <v>106.039</v>
      </c>
      <c r="D40" s="58">
        <v>107.00999999999999</v>
      </c>
      <c r="E40" s="64">
        <v>112.35500000000002</v>
      </c>
      <c r="F40" s="44">
        <v>116.77300000000004</v>
      </c>
      <c r="G40" s="44">
        <v>157.352</v>
      </c>
      <c r="H40" s="44">
        <v>0</v>
      </c>
      <c r="I40" s="44">
        <v>0</v>
      </c>
    </row>
    <row r="41" spans="1:9" ht="15">
      <c r="A41" s="43" t="str">
        <f>HLOOKUP(INDICE!$F$2,Nombres!$C$3:$D$636,61,FALSE)</f>
        <v>Deposits from customers</v>
      </c>
      <c r="B41" s="58">
        <v>4706.075999999999</v>
      </c>
      <c r="C41" s="58">
        <v>5349.341</v>
      </c>
      <c r="D41" s="58">
        <v>5515.021</v>
      </c>
      <c r="E41" s="64">
        <v>6082.594</v>
      </c>
      <c r="F41" s="44">
        <v>6466.273999999999</v>
      </c>
      <c r="G41" s="44">
        <v>7491.32</v>
      </c>
      <c r="H41" s="44">
        <v>0</v>
      </c>
      <c r="I41" s="44">
        <v>0</v>
      </c>
    </row>
    <row r="42" spans="1:9" ht="15">
      <c r="A42" s="43" t="str">
        <f>HLOOKUP(INDICE!$F$2,Nombres!$C$3:$D$636,62,FALSE)</f>
        <v>Debt certificates</v>
      </c>
      <c r="B42" s="44">
        <v>193.7862963</v>
      </c>
      <c r="C42" s="44">
        <v>182.45249046</v>
      </c>
      <c r="D42" s="44">
        <v>199.47880386000003</v>
      </c>
      <c r="E42" s="45">
        <v>228.56989066</v>
      </c>
      <c r="F42" s="44">
        <v>251.78840171</v>
      </c>
      <c r="G42" s="44">
        <v>281.33826361</v>
      </c>
      <c r="H42" s="44">
        <v>0</v>
      </c>
      <c r="I42" s="44">
        <v>0</v>
      </c>
    </row>
    <row r="43" spans="1:9" ht="15" hidden="1">
      <c r="A43" s="43"/>
      <c r="B43" s="44"/>
      <c r="C43" s="44"/>
      <c r="D43" s="44"/>
      <c r="E43" s="45"/>
      <c r="F43" s="44"/>
      <c r="G43" s="44"/>
      <c r="H43" s="44"/>
      <c r="I43" s="44"/>
    </row>
    <row r="44" spans="1:9" ht="15">
      <c r="A44" s="43" t="str">
        <f>HLOOKUP(INDICE!$F$2,Nombres!$C$3:$D$636,63,FALSE)</f>
        <v>Other liabilities</v>
      </c>
      <c r="B44" s="58">
        <f>+B38-B39-B40-B41-B42-B45</f>
        <v>1345.5633811499997</v>
      </c>
      <c r="C44" s="58">
        <f aca="true" t="shared" si="6" ref="C44:I44">+C38-C39-C40-C41-C42-C45</f>
        <v>1465.610611580001</v>
      </c>
      <c r="D44" s="58">
        <f t="shared" si="6"/>
        <v>1590.5955163200006</v>
      </c>
      <c r="E44" s="64">
        <f t="shared" si="6"/>
        <v>1844.5041246699993</v>
      </c>
      <c r="F44" s="44">
        <f t="shared" si="6"/>
        <v>1962.178336110002</v>
      </c>
      <c r="G44" s="44">
        <f t="shared" si="6"/>
        <v>2163.9178413300006</v>
      </c>
      <c r="H44" s="44">
        <f t="shared" si="6"/>
        <v>0</v>
      </c>
      <c r="I44" s="44">
        <f t="shared" si="6"/>
        <v>0</v>
      </c>
    </row>
    <row r="45" spans="1:9" ht="15">
      <c r="A45" s="43" t="str">
        <f>HLOOKUP(INDICE!$F$2,Nombres!$C$3:$D$636,282,FALSE)</f>
        <v>Regulatory capital allocated</v>
      </c>
      <c r="B45" s="58">
        <v>661.24106641</v>
      </c>
      <c r="C45" s="58">
        <v>645.6188979599999</v>
      </c>
      <c r="D45" s="58">
        <v>711.23369188</v>
      </c>
      <c r="E45" s="64">
        <v>766.72198467</v>
      </c>
      <c r="F45" s="44">
        <v>855.3387150099999</v>
      </c>
      <c r="G45" s="44">
        <v>932.72341157</v>
      </c>
      <c r="H45" s="44">
        <v>0</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Relevant business indicators</v>
      </c>
      <c r="B48" s="34"/>
      <c r="C48" s="34"/>
      <c r="D48" s="34"/>
      <c r="E48" s="34"/>
      <c r="F48" s="68"/>
      <c r="G48" s="68"/>
      <c r="H48" s="68"/>
      <c r="I48" s="68"/>
    </row>
    <row r="49" spans="1:9" ht="15">
      <c r="A49" s="35"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Loans and advances to customers (gross) (*)</v>
      </c>
      <c r="B51" s="44">
        <v>2810.1806310599995</v>
      </c>
      <c r="C51" s="44">
        <v>2853.1629853199997</v>
      </c>
      <c r="D51" s="44">
        <v>3049.04189683</v>
      </c>
      <c r="E51" s="45">
        <v>3414.34292927</v>
      </c>
      <c r="F51" s="44">
        <v>3446.8974832</v>
      </c>
      <c r="G51" s="44">
        <v>4076.26825822</v>
      </c>
      <c r="H51" s="44">
        <v>0</v>
      </c>
      <c r="I51" s="44">
        <v>0</v>
      </c>
    </row>
    <row r="52" spans="1:9" ht="15">
      <c r="A52" s="43" t="str">
        <f>HLOOKUP(INDICE!$F$2,Nombres!$C$3:$D$636,67,FALSE)</f>
        <v>Customer deposits under management (*)</v>
      </c>
      <c r="B52" s="44">
        <v>4706.07777928</v>
      </c>
      <c r="C52" s="44">
        <v>5349.3398651200005</v>
      </c>
      <c r="D52" s="44">
        <v>5515.0211831999995</v>
      </c>
      <c r="E52" s="45">
        <v>6082.59164753</v>
      </c>
      <c r="F52" s="44">
        <v>6466.27290943</v>
      </c>
      <c r="G52" s="44">
        <v>7491.320779940001</v>
      </c>
      <c r="H52" s="44">
        <v>0</v>
      </c>
      <c r="I52" s="44">
        <v>0</v>
      </c>
    </row>
    <row r="53" spans="1:9" ht="15">
      <c r="A53" s="43" t="str">
        <f>HLOOKUP(INDICE!$F$2,Nombres!$C$3:$D$636,68,FALSE)</f>
        <v>Investment funds and managed portfolios</v>
      </c>
      <c r="B53" s="44">
        <v>1327.07892138</v>
      </c>
      <c r="C53" s="44">
        <v>1346.10370657</v>
      </c>
      <c r="D53" s="44">
        <v>1673.9364056799998</v>
      </c>
      <c r="E53" s="45">
        <v>1716.11286795</v>
      </c>
      <c r="F53" s="44">
        <v>1985.78785607</v>
      </c>
      <c r="G53" s="44">
        <v>1986.68423752</v>
      </c>
      <c r="H53" s="44">
        <v>0</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0</v>
      </c>
      <c r="C55" s="44">
        <v>0</v>
      </c>
      <c r="D55" s="44">
        <v>0</v>
      </c>
      <c r="E55" s="45">
        <v>0</v>
      </c>
      <c r="F55" s="44">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00">
        <f>+B$6</f>
        <v>2021</v>
      </c>
      <c r="C62" s="300"/>
      <c r="D62" s="300"/>
      <c r="E62" s="301"/>
      <c r="F62" s="300">
        <f>+F$6</f>
        <v>2022</v>
      </c>
      <c r="G62" s="300"/>
      <c r="H62" s="300"/>
      <c r="I62" s="300"/>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168.4901822536191</v>
      </c>
      <c r="C64" s="41">
        <v>208.9676212932594</v>
      </c>
      <c r="D64" s="41">
        <v>254.95811152580552</v>
      </c>
      <c r="E64" s="42">
        <v>325.1863419767126</v>
      </c>
      <c r="F64" s="50">
        <v>302.93035726189714</v>
      </c>
      <c r="G64" s="50">
        <v>477.99764273810297</v>
      </c>
      <c r="H64" s="50">
        <v>0</v>
      </c>
      <c r="I64" s="50">
        <v>0</v>
      </c>
    </row>
    <row r="65" spans="1:9" ht="15">
      <c r="A65" s="43" t="str">
        <f>HLOOKUP(INDICE!$F$2,Nombres!$C$3:$D$636,34,FALSE)</f>
        <v>Net fees and commissions</v>
      </c>
      <c r="B65" s="44">
        <v>26.03261348004822</v>
      </c>
      <c r="C65" s="44">
        <v>47.86484803077674</v>
      </c>
      <c r="D65" s="44">
        <v>54.78585327815964</v>
      </c>
      <c r="E65" s="45">
        <v>55.372876662955306</v>
      </c>
      <c r="F65" s="44">
        <v>57.98919555938545</v>
      </c>
      <c r="G65" s="44">
        <v>88.33711244061456</v>
      </c>
      <c r="H65" s="44">
        <v>0</v>
      </c>
      <c r="I65" s="44">
        <v>0</v>
      </c>
    </row>
    <row r="66" spans="1:9" ht="15">
      <c r="A66" s="43" t="str">
        <f>HLOOKUP(INDICE!$F$2,Nombres!$C$3:$D$636,35,FALSE)</f>
        <v>Net trading income</v>
      </c>
      <c r="B66" s="44">
        <v>21.534896501823994</v>
      </c>
      <c r="C66" s="44">
        <v>23.08246323297666</v>
      </c>
      <c r="D66" s="44">
        <v>23.13279009830376</v>
      </c>
      <c r="E66" s="45">
        <v>16.299326244409468</v>
      </c>
      <c r="F66" s="44">
        <v>32.31928122231554</v>
      </c>
      <c r="G66" s="44">
        <v>33.58588877768447</v>
      </c>
      <c r="H66" s="44">
        <v>0</v>
      </c>
      <c r="I66" s="44">
        <v>0</v>
      </c>
    </row>
    <row r="67" spans="1:9" ht="15">
      <c r="A67" s="43" t="str">
        <f>HLOOKUP(INDICE!$F$2,Nombres!$C$3:$D$636,36,FALSE)</f>
        <v>Other operating income and expenses</v>
      </c>
      <c r="B67" s="44">
        <v>-116.27664023300586</v>
      </c>
      <c r="C67" s="44">
        <v>-123.19453537170628</v>
      </c>
      <c r="D67" s="44">
        <v>-115.4492306853625</v>
      </c>
      <c r="E67" s="45">
        <v>-159.16212574245745</v>
      </c>
      <c r="F67" s="44">
        <v>-183.6332740007254</v>
      </c>
      <c r="G67" s="44">
        <v>-264.7477259992745</v>
      </c>
      <c r="H67" s="44">
        <v>0</v>
      </c>
      <c r="I67" s="44">
        <v>0</v>
      </c>
    </row>
    <row r="68" spans="1:9" ht="15">
      <c r="A68" s="41" t="str">
        <f>HLOOKUP(INDICE!$F$2,Nombres!$C$3:$D$636,37,FALSE)</f>
        <v>Gross income</v>
      </c>
      <c r="B68" s="41">
        <f>+SUM(B64:B67)</f>
        <v>99.78105200248545</v>
      </c>
      <c r="C68" s="41">
        <f aca="true" t="shared" si="9" ref="C68:I68">+SUM(C64:C67)</f>
        <v>156.7203971853065</v>
      </c>
      <c r="D68" s="41">
        <f t="shared" si="9"/>
        <v>217.42752421690645</v>
      </c>
      <c r="E68" s="42">
        <f t="shared" si="9"/>
        <v>237.69641914161994</v>
      </c>
      <c r="F68" s="50">
        <f t="shared" si="9"/>
        <v>209.6055600428727</v>
      </c>
      <c r="G68" s="50">
        <f t="shared" si="9"/>
        <v>335.1729179571274</v>
      </c>
      <c r="H68" s="50">
        <f t="shared" si="9"/>
        <v>0</v>
      </c>
      <c r="I68" s="50">
        <f t="shared" si="9"/>
        <v>0</v>
      </c>
    </row>
    <row r="69" spans="1:9" ht="15">
      <c r="A69" s="43" t="str">
        <f>HLOOKUP(INDICE!$F$2,Nombres!$C$3:$D$636,38,FALSE)</f>
        <v>Operating expenses</v>
      </c>
      <c r="B69" s="44">
        <v>-89.21604088655832</v>
      </c>
      <c r="C69" s="44">
        <v>-110.43802288187226</v>
      </c>
      <c r="D69" s="44">
        <v>-147.2353246361455</v>
      </c>
      <c r="E69" s="45">
        <v>-169.76718633745188</v>
      </c>
      <c r="F69" s="44">
        <v>-138.64950732996877</v>
      </c>
      <c r="G69" s="44">
        <v>-223.30666285003122</v>
      </c>
      <c r="H69" s="44">
        <v>0</v>
      </c>
      <c r="I69" s="44">
        <v>0</v>
      </c>
    </row>
    <row r="70" spans="1:9" ht="15">
      <c r="A70" s="43" t="str">
        <f>HLOOKUP(INDICE!$F$2,Nombres!$C$3:$D$636,39,FALSE)</f>
        <v>  Administration expenses</v>
      </c>
      <c r="B70" s="44">
        <v>-82.54832944726007</v>
      </c>
      <c r="C70" s="44">
        <v>-101.02766104940821</v>
      </c>
      <c r="D70" s="44">
        <v>-136.4079926824782</v>
      </c>
      <c r="E70" s="45">
        <v>-156.9007800893568</v>
      </c>
      <c r="F70" s="44">
        <v>-133.03538793606597</v>
      </c>
      <c r="G70" s="44">
        <v>-206.33078224393407</v>
      </c>
      <c r="H70" s="44">
        <v>0</v>
      </c>
      <c r="I70" s="44">
        <v>0</v>
      </c>
    </row>
    <row r="71" spans="1:9" ht="15">
      <c r="A71" s="46" t="str">
        <f>HLOOKUP(INDICE!$F$2,Nombres!$C$3:$D$636,40,FALSE)</f>
        <v>  Personnel expenses</v>
      </c>
      <c r="B71" s="44">
        <v>-46.54384636817154</v>
      </c>
      <c r="C71" s="44">
        <v>-55.53570116457119</v>
      </c>
      <c r="D71" s="44">
        <v>-67.78758545212038</v>
      </c>
      <c r="E71" s="45">
        <v>-79.28889570151813</v>
      </c>
      <c r="F71" s="44">
        <v>-71.79081487604071</v>
      </c>
      <c r="G71" s="44">
        <v>-111.72818512395929</v>
      </c>
      <c r="H71" s="44">
        <v>0</v>
      </c>
      <c r="I71" s="44">
        <v>0</v>
      </c>
    </row>
    <row r="72" spans="1:9" ht="15">
      <c r="A72" s="46" t="str">
        <f>HLOOKUP(INDICE!$F$2,Nombres!$C$3:$D$636,41,FALSE)</f>
        <v>  General and administrative expenses</v>
      </c>
      <c r="B72" s="44">
        <v>-36.004483079088544</v>
      </c>
      <c r="C72" s="44">
        <v>-45.49195988483701</v>
      </c>
      <c r="D72" s="44">
        <v>-68.62040723035781</v>
      </c>
      <c r="E72" s="45">
        <v>-77.61188438783867</v>
      </c>
      <c r="F72" s="44">
        <v>-61.24457306002526</v>
      </c>
      <c r="G72" s="44">
        <v>-94.60259711997476</v>
      </c>
      <c r="H72" s="44">
        <v>0</v>
      </c>
      <c r="I72" s="44">
        <v>0</v>
      </c>
    </row>
    <row r="73" spans="1:9" ht="15">
      <c r="A73" s="43" t="str">
        <f>HLOOKUP(INDICE!$F$2,Nombres!$C$3:$D$636,42,FALSE)</f>
        <v>  Depreciation</v>
      </c>
      <c r="B73" s="44">
        <v>-6.667711439298234</v>
      </c>
      <c r="C73" s="44">
        <v>-9.410361832464057</v>
      </c>
      <c r="D73" s="44">
        <v>-10.82733195366729</v>
      </c>
      <c r="E73" s="45">
        <v>-12.866406248095085</v>
      </c>
      <c r="F73" s="44">
        <v>-5.61411939390282</v>
      </c>
      <c r="G73" s="44">
        <v>-16.975880606097178</v>
      </c>
      <c r="H73" s="44">
        <v>0</v>
      </c>
      <c r="I73" s="44">
        <v>0</v>
      </c>
    </row>
    <row r="74" spans="1:9" ht="15">
      <c r="A74" s="41" t="str">
        <f>HLOOKUP(INDICE!$F$2,Nombres!$C$3:$D$636,43,FALSE)</f>
        <v>Operating income</v>
      </c>
      <c r="B74" s="41">
        <f>+B68+B69</f>
        <v>10.565011115927135</v>
      </c>
      <c r="C74" s="41">
        <f aca="true" t="shared" si="10" ref="C74:I74">+C68+C69</f>
        <v>46.28237430343424</v>
      </c>
      <c r="D74" s="41">
        <f t="shared" si="10"/>
        <v>70.19219958076096</v>
      </c>
      <c r="E74" s="42">
        <f t="shared" si="10"/>
        <v>67.92923280416807</v>
      </c>
      <c r="F74" s="50">
        <f t="shared" si="10"/>
        <v>70.95605271290393</v>
      </c>
      <c r="G74" s="50">
        <f t="shared" si="10"/>
        <v>111.86625510709621</v>
      </c>
      <c r="H74" s="50">
        <f t="shared" si="10"/>
        <v>0</v>
      </c>
      <c r="I74" s="50">
        <f t="shared" si="10"/>
        <v>0</v>
      </c>
    </row>
    <row r="75" spans="1:9" ht="15">
      <c r="A75" s="43" t="str">
        <f>HLOOKUP(INDICE!$F$2,Nombres!$C$3:$D$636,44,FALSE)</f>
        <v>Impaiment on financial assets not measured at fair value through profit or loss</v>
      </c>
      <c r="B75" s="44">
        <v>-17.168249565107242</v>
      </c>
      <c r="C75" s="44">
        <v>-30.105440237072497</v>
      </c>
      <c r="D75" s="44">
        <v>-30.787741404756442</v>
      </c>
      <c r="E75" s="45">
        <v>-26.59832477508404</v>
      </c>
      <c r="F75" s="44">
        <v>-45.01638481958008</v>
      </c>
      <c r="G75" s="44">
        <v>-19.317615180419942</v>
      </c>
      <c r="H75" s="44">
        <v>0</v>
      </c>
      <c r="I75" s="44">
        <v>0</v>
      </c>
    </row>
    <row r="76" spans="1:9" ht="15">
      <c r="A76" s="43" t="str">
        <f>HLOOKUP(INDICE!$F$2,Nombres!$C$3:$D$636,45,FALSE)</f>
        <v>Provisions or reversal of provisions and other results</v>
      </c>
      <c r="B76" s="44">
        <v>-1.5793522360970802</v>
      </c>
      <c r="C76" s="44">
        <v>-4.243488859632252</v>
      </c>
      <c r="D76" s="44">
        <v>-2.9489720014369873</v>
      </c>
      <c r="E76" s="45">
        <v>-8.787135734510583</v>
      </c>
      <c r="F76" s="44">
        <v>-4.592133402291434</v>
      </c>
      <c r="G76" s="44">
        <v>-12.916866597708571</v>
      </c>
      <c r="H76" s="44">
        <v>0</v>
      </c>
      <c r="I76" s="44">
        <v>0</v>
      </c>
    </row>
    <row r="77" spans="1:9" ht="15">
      <c r="A77" s="41" t="str">
        <f>HLOOKUP(INDICE!$F$2,Nombres!$C$3:$D$636,46,FALSE)</f>
        <v>Profit/(loss) before tax</v>
      </c>
      <c r="B77" s="41">
        <f>+B74+B75+B76</f>
        <v>-8.182590685277187</v>
      </c>
      <c r="C77" s="41">
        <f aca="true" t="shared" si="11" ref="C77:I77">+C74+C75+C76</f>
        <v>11.933445206729491</v>
      </c>
      <c r="D77" s="41">
        <f t="shared" si="11"/>
        <v>36.455486174567525</v>
      </c>
      <c r="E77" s="42">
        <f t="shared" si="11"/>
        <v>32.543772294573444</v>
      </c>
      <c r="F77" s="50">
        <f t="shared" si="11"/>
        <v>21.34753449103241</v>
      </c>
      <c r="G77" s="50">
        <f t="shared" si="11"/>
        <v>79.63177332896768</v>
      </c>
      <c r="H77" s="50">
        <f t="shared" si="11"/>
        <v>0</v>
      </c>
      <c r="I77" s="50">
        <f t="shared" si="11"/>
        <v>0</v>
      </c>
    </row>
    <row r="78" spans="1:9" ht="15">
      <c r="A78" s="43" t="str">
        <f>HLOOKUP(INDICE!$F$2,Nombres!$C$3:$D$636,47,FALSE)</f>
        <v>Income tax</v>
      </c>
      <c r="B78" s="44">
        <v>1.5315403386280613</v>
      </c>
      <c r="C78" s="44">
        <v>-9.27776545018559</v>
      </c>
      <c r="D78" s="44">
        <v>-5.9718462769730145</v>
      </c>
      <c r="E78" s="45">
        <v>-8.939139078544565</v>
      </c>
      <c r="F78" s="44">
        <v>-2.3624512978940286</v>
      </c>
      <c r="G78" s="44">
        <v>47.45042469789401</v>
      </c>
      <c r="H78" s="44">
        <v>0</v>
      </c>
      <c r="I78" s="44">
        <v>0</v>
      </c>
    </row>
    <row r="79" spans="1:9" ht="15">
      <c r="A79" s="41" t="str">
        <f>HLOOKUP(INDICE!$F$2,Nombres!$C$3:$D$636,48,FALSE)</f>
        <v>Profit/(loss) for the year</v>
      </c>
      <c r="B79" s="41">
        <f>+B77+B78</f>
        <v>-6.651050346649126</v>
      </c>
      <c r="C79" s="41">
        <f aca="true" t="shared" si="12" ref="C79:I79">+C77+C78</f>
        <v>2.6556797565439005</v>
      </c>
      <c r="D79" s="41">
        <f t="shared" si="12"/>
        <v>30.48363989759451</v>
      </c>
      <c r="E79" s="42">
        <f t="shared" si="12"/>
        <v>23.60463321602888</v>
      </c>
      <c r="F79" s="50">
        <f t="shared" si="12"/>
        <v>18.98508319313838</v>
      </c>
      <c r="G79" s="50">
        <f t="shared" si="12"/>
        <v>127.08219802686169</v>
      </c>
      <c r="H79" s="50">
        <f t="shared" si="12"/>
        <v>0</v>
      </c>
      <c r="I79" s="50">
        <f t="shared" si="12"/>
        <v>0</v>
      </c>
    </row>
    <row r="80" spans="1:9" ht="15">
      <c r="A80" s="43" t="str">
        <f>HLOOKUP(INDICE!$F$2,Nombres!$C$3:$D$636,49,FALSE)</f>
        <v>Non-controlling interests</v>
      </c>
      <c r="B80" s="44">
        <v>2.928508089416497</v>
      </c>
      <c r="C80" s="44">
        <v>0.34551820925572674</v>
      </c>
      <c r="D80" s="44">
        <v>-10.456185101439377</v>
      </c>
      <c r="E80" s="45">
        <v>-7.837697555553203</v>
      </c>
      <c r="F80" s="44">
        <v>-4.710453157988969</v>
      </c>
      <c r="G80" s="44">
        <v>-40.73933815201103</v>
      </c>
      <c r="H80" s="44">
        <v>0</v>
      </c>
      <c r="I80" s="44">
        <v>0</v>
      </c>
    </row>
    <row r="81" spans="1:9" ht="15">
      <c r="A81" s="47" t="str">
        <f>HLOOKUP(INDICE!$F$2,Nombres!$C$3:$D$636,50,FALSE)</f>
        <v>Net attributable profit</v>
      </c>
      <c r="B81" s="47">
        <f>+B79+B80</f>
        <v>-3.7225422572326288</v>
      </c>
      <c r="C81" s="47">
        <f aca="true" t="shared" si="13" ref="C81:I81">+C79+C80</f>
        <v>3.0011979657996273</v>
      </c>
      <c r="D81" s="47">
        <f t="shared" si="13"/>
        <v>20.027454796155133</v>
      </c>
      <c r="E81" s="47">
        <f t="shared" si="13"/>
        <v>15.766935660475678</v>
      </c>
      <c r="F81" s="51">
        <f t="shared" si="13"/>
        <v>14.27463003514941</v>
      </c>
      <c r="G81" s="51">
        <f t="shared" si="13"/>
        <v>86.34285987485066</v>
      </c>
      <c r="H81" s="51">
        <f t="shared" si="13"/>
        <v>0</v>
      </c>
      <c r="I81" s="51">
        <f t="shared" si="13"/>
        <v>0</v>
      </c>
    </row>
    <row r="82" spans="1:9" ht="15">
      <c r="A82" s="62"/>
      <c r="B82" s="63">
        <v>1.7763568394002505E-14</v>
      </c>
      <c r="C82" s="63">
        <v>-5.595524044110789E-14</v>
      </c>
      <c r="D82" s="63">
        <v>0</v>
      </c>
      <c r="E82" s="63">
        <v>1.5987211554602254E-14</v>
      </c>
      <c r="F82" s="63">
        <v>1.4210854715202004E-14</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1506.4826257027485</v>
      </c>
      <c r="C87" s="44">
        <v>1526.3946904485622</v>
      </c>
      <c r="D87" s="44">
        <v>1518.3934189531124</v>
      </c>
      <c r="E87" s="45">
        <v>1687.9292420268778</v>
      </c>
      <c r="F87" s="44">
        <v>1533.1497377652502</v>
      </c>
      <c r="G87" s="44">
        <v>1458.5610000000001</v>
      </c>
      <c r="H87" s="44">
        <v>0</v>
      </c>
      <c r="I87" s="44">
        <v>0</v>
      </c>
    </row>
    <row r="88" spans="1:9" ht="15">
      <c r="A88" s="43" t="str">
        <f>HLOOKUP(INDICE!$F$2,Nombres!$C$3:$D$636,53,FALSE)</f>
        <v>Financial assets designated at fair value </v>
      </c>
      <c r="B88" s="58">
        <v>1118.6597486998219</v>
      </c>
      <c r="C88" s="58">
        <v>1248.9603285152614</v>
      </c>
      <c r="D88" s="58">
        <v>1385.4800323891814</v>
      </c>
      <c r="E88" s="64">
        <v>1424.8538886608806</v>
      </c>
      <c r="F88" s="44">
        <v>2797.854082533213</v>
      </c>
      <c r="G88" s="44">
        <v>3358.946</v>
      </c>
      <c r="H88" s="44">
        <v>0</v>
      </c>
      <c r="I88" s="44">
        <v>0</v>
      </c>
    </row>
    <row r="89" spans="1:9" ht="15">
      <c r="A89" s="43" t="str">
        <f>HLOOKUP(INDICE!$F$2,Nombres!$C$3:$D$636,54,FALSE)</f>
        <v>Financial assets at amortized cost</v>
      </c>
      <c r="B89" s="44">
        <v>2668.4520377436165</v>
      </c>
      <c r="C89" s="44">
        <v>3425.0168448520576</v>
      </c>
      <c r="D89" s="44">
        <v>3658.064174270454</v>
      </c>
      <c r="E89" s="45">
        <v>4324.876736887129</v>
      </c>
      <c r="F89" s="44">
        <v>4043.4090811799033</v>
      </c>
      <c r="G89" s="44">
        <v>5266.887000000001</v>
      </c>
      <c r="H89" s="44">
        <v>0</v>
      </c>
      <c r="I89" s="44">
        <v>0</v>
      </c>
    </row>
    <row r="90" spans="1:9" ht="15">
      <c r="A90" s="43" t="str">
        <f>HLOOKUP(INDICE!$F$2,Nombres!$C$3:$D$636,55,FALSE)</f>
        <v>    of which loans and advances to customers</v>
      </c>
      <c r="B90" s="44">
        <v>2223.8464498640847</v>
      </c>
      <c r="C90" s="44">
        <v>2380.138572751066</v>
      </c>
      <c r="D90" s="44">
        <v>2559.3843179588666</v>
      </c>
      <c r="E90" s="45">
        <v>2953.567953866305</v>
      </c>
      <c r="F90" s="44">
        <v>3175.7171328900745</v>
      </c>
      <c r="G90" s="44">
        <v>3977.5950000000003</v>
      </c>
      <c r="H90" s="44">
        <v>0</v>
      </c>
      <c r="I90" s="44">
        <v>0</v>
      </c>
    </row>
    <row r="91" spans="1:9" ht="15" hidden="1">
      <c r="A91" s="43"/>
      <c r="B91" s="44"/>
      <c r="C91" s="44"/>
      <c r="D91" s="44"/>
      <c r="E91" s="45"/>
      <c r="F91" s="44"/>
      <c r="G91" s="44"/>
      <c r="H91" s="44"/>
      <c r="I91" s="44"/>
    </row>
    <row r="92" spans="1:9" ht="15">
      <c r="A92" s="43" t="str">
        <f>HLOOKUP(INDICE!$F$2,Nombres!$C$3:$D$636,56,FALSE)</f>
        <v>Tangible assets</v>
      </c>
      <c r="B92" s="44">
        <v>342.91683949739337</v>
      </c>
      <c r="C92" s="44">
        <v>364.15472338168655</v>
      </c>
      <c r="D92" s="44">
        <v>388.48592723608965</v>
      </c>
      <c r="E92" s="45">
        <v>440.22870493933397</v>
      </c>
      <c r="F92" s="44">
        <v>516.5025648716476</v>
      </c>
      <c r="G92" s="44">
        <v>621.434</v>
      </c>
      <c r="H92" s="44">
        <v>0</v>
      </c>
      <c r="I92" s="44">
        <v>0</v>
      </c>
    </row>
    <row r="93" spans="1:9" ht="15">
      <c r="A93" s="43" t="str">
        <f>HLOOKUP(INDICE!$F$2,Nombres!$C$3:$D$636,57,FALSE)</f>
        <v>Other assets</v>
      </c>
      <c r="B93" s="58">
        <f>+B94-B92-B89-B88-B87</f>
        <v>244.96662648608367</v>
      </c>
      <c r="C93" s="58">
        <f aca="true" t="shared" si="15" ref="C93:I93">+C94-C92-C89-C88-C87</f>
        <v>258.439051655258</v>
      </c>
      <c r="D93" s="58">
        <f t="shared" si="15"/>
        <v>238.79353816993216</v>
      </c>
      <c r="E93" s="64">
        <f t="shared" si="15"/>
        <v>256.42502875962737</v>
      </c>
      <c r="F93" s="44">
        <f t="shared" si="15"/>
        <v>282.44532157506023</v>
      </c>
      <c r="G93" s="44">
        <f t="shared" si="15"/>
        <v>321.9555165100005</v>
      </c>
      <c r="H93" s="44">
        <f t="shared" si="15"/>
        <v>0</v>
      </c>
      <c r="I93" s="44">
        <f t="shared" si="15"/>
        <v>0</v>
      </c>
    </row>
    <row r="94" spans="1:9" ht="15">
      <c r="A94" s="47" t="str">
        <f>HLOOKUP(INDICE!$F$2,Nombres!$C$3:$D$636,58,FALSE)</f>
        <v>Total assets / Liabilities and equity</v>
      </c>
      <c r="B94" s="47">
        <v>5881.477878129664</v>
      </c>
      <c r="C94" s="47">
        <v>6822.965638852826</v>
      </c>
      <c r="D94" s="47">
        <v>7189.21709101877</v>
      </c>
      <c r="E94" s="47">
        <v>8134.313601273849</v>
      </c>
      <c r="F94" s="51">
        <v>9173.360787925074</v>
      </c>
      <c r="G94" s="51">
        <v>11027.78351651</v>
      </c>
      <c r="H94" s="51">
        <v>0</v>
      </c>
      <c r="I94" s="51">
        <v>0</v>
      </c>
    </row>
    <row r="95" spans="1:9" ht="15">
      <c r="A95" s="43" t="str">
        <f>HLOOKUP(INDICE!$F$2,Nombres!$C$3:$D$636,59,FALSE)</f>
        <v>Financial liabilities held for trading and designated at fair value through profit or loss</v>
      </c>
      <c r="B95" s="58">
        <v>3.070659447568242</v>
      </c>
      <c r="C95" s="58">
        <v>1.0928370036858186</v>
      </c>
      <c r="D95" s="58">
        <v>3.0709954392518855</v>
      </c>
      <c r="E95" s="64">
        <v>2.4191660987626418</v>
      </c>
      <c r="F95" s="44">
        <v>2.520698581013042</v>
      </c>
      <c r="G95" s="44">
        <v>1.1320000000000001</v>
      </c>
      <c r="H95" s="44">
        <v>0</v>
      </c>
      <c r="I95" s="44">
        <v>0</v>
      </c>
    </row>
    <row r="96" spans="1:9" ht="15">
      <c r="A96" s="43" t="str">
        <f>HLOOKUP(INDICE!$F$2,Nombres!$C$3:$D$636,60,FALSE)</f>
        <v>Deposits from central banks and credit institutions</v>
      </c>
      <c r="B96" s="58">
        <v>99.97615569300719</v>
      </c>
      <c r="C96" s="58">
        <v>92.85524281557734</v>
      </c>
      <c r="D96" s="58">
        <v>94.1625277806144</v>
      </c>
      <c r="E96" s="64">
        <v>100.66866926906543</v>
      </c>
      <c r="F96" s="44">
        <v>110.69933636729446</v>
      </c>
      <c r="G96" s="44">
        <v>157.352</v>
      </c>
      <c r="H96" s="44">
        <v>0</v>
      </c>
      <c r="I96" s="44">
        <v>0</v>
      </c>
    </row>
    <row r="97" spans="1:9" ht="15">
      <c r="A97" s="43" t="str">
        <f>HLOOKUP(INDICE!$F$2,Nombres!$C$3:$D$636,61,FALSE)</f>
        <v>Deposits from customers</v>
      </c>
      <c r="B97" s="58">
        <v>3906.6657827451104</v>
      </c>
      <c r="C97" s="58">
        <v>4684.261049786619</v>
      </c>
      <c r="D97" s="58">
        <v>4852.895225896382</v>
      </c>
      <c r="E97" s="64">
        <v>5449.927850865575</v>
      </c>
      <c r="F97" s="44">
        <v>6129.946482226975</v>
      </c>
      <c r="G97" s="44">
        <v>7491.32</v>
      </c>
      <c r="H97" s="44">
        <v>0</v>
      </c>
      <c r="I97" s="44">
        <v>0</v>
      </c>
    </row>
    <row r="98" spans="1:9" ht="15">
      <c r="A98" s="43" t="str">
        <f>HLOOKUP(INDICE!$F$2,Nombres!$C$3:$D$636,62,FALSE)</f>
        <v>Debt certificates</v>
      </c>
      <c r="B98" s="44">
        <v>160.8682675163162</v>
      </c>
      <c r="C98" s="44">
        <v>159.76829566452068</v>
      </c>
      <c r="D98" s="44">
        <v>175.5296552669001</v>
      </c>
      <c r="E98" s="45">
        <v>204.7957521046503</v>
      </c>
      <c r="F98" s="44">
        <v>238.69224028053355</v>
      </c>
      <c r="G98" s="44">
        <v>281.33826361</v>
      </c>
      <c r="H98" s="44">
        <v>0</v>
      </c>
      <c r="I98" s="44">
        <v>0</v>
      </c>
    </row>
    <row r="99" spans="1:9" ht="15" hidden="1">
      <c r="A99" s="43"/>
      <c r="B99" s="44"/>
      <c r="C99" s="44"/>
      <c r="D99" s="44"/>
      <c r="E99" s="45"/>
      <c r="F99" s="44"/>
      <c r="G99" s="44"/>
      <c r="H99" s="44"/>
      <c r="I99" s="44"/>
    </row>
    <row r="100" spans="1:9" ht="15">
      <c r="A100" s="43" t="str">
        <f>HLOOKUP(INDICE!$F$2,Nombres!$C$3:$D$636,63,FALSE)</f>
        <v>Other liabilities</v>
      </c>
      <c r="B100" s="58">
        <f>+B94-B95-B96-B97-B98-B101</f>
        <v>1161.9516272837595</v>
      </c>
      <c r="C100" s="58">
        <f aca="true" t="shared" si="16" ref="C100:I100">+C94-C95-C96-C97-C98-C101</f>
        <v>1319.6178142872886</v>
      </c>
      <c r="D100" s="58">
        <f t="shared" si="16"/>
        <v>1437.6934776290532</v>
      </c>
      <c r="E100" s="64">
        <f t="shared" si="16"/>
        <v>1689.5092301488198</v>
      </c>
      <c r="F100" s="44">
        <f t="shared" si="16"/>
        <v>1880.6416013187686</v>
      </c>
      <c r="G100" s="44">
        <f t="shared" si="16"/>
        <v>2163.9178413300006</v>
      </c>
      <c r="H100" s="44">
        <f t="shared" si="16"/>
        <v>0</v>
      </c>
      <c r="I100" s="44">
        <f t="shared" si="16"/>
        <v>0</v>
      </c>
    </row>
    <row r="101" spans="1:9" ht="15">
      <c r="A101" s="43" t="str">
        <f>HLOOKUP(INDICE!$F$2,Nombres!$C$3:$D$636,282,FALSE)</f>
        <v>Regulatory capital allocated</v>
      </c>
      <c r="B101" s="58">
        <v>548.945385443902</v>
      </c>
      <c r="C101" s="58">
        <v>565.3703992951347</v>
      </c>
      <c r="D101" s="58">
        <v>625.865209006568</v>
      </c>
      <c r="E101" s="64">
        <v>686.9929327869753</v>
      </c>
      <c r="F101" s="44">
        <v>810.8604291504907</v>
      </c>
      <c r="G101" s="44">
        <v>932.72341157</v>
      </c>
      <c r="H101" s="44">
        <v>0</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2332.821763757143</v>
      </c>
      <c r="C107" s="44">
        <v>2498.431160179802</v>
      </c>
      <c r="D107" s="44">
        <v>2682.9781545137103</v>
      </c>
      <c r="E107" s="45">
        <v>3059.208394088858</v>
      </c>
      <c r="F107" s="44">
        <v>3267.6154925910737</v>
      </c>
      <c r="G107" s="44">
        <v>4076.26825822</v>
      </c>
      <c r="H107" s="44">
        <v>0</v>
      </c>
      <c r="I107" s="44">
        <v>0</v>
      </c>
    </row>
    <row r="108" spans="1:9" ht="15">
      <c r="A108" s="43" t="str">
        <f>HLOOKUP(INDICE!$F$2,Nombres!$C$3:$D$636,67,FALSE)</f>
        <v>Customer deposits under management (*)</v>
      </c>
      <c r="B108" s="44">
        <v>3906.667259782943</v>
      </c>
      <c r="C108" s="44">
        <v>4684.2600560054825</v>
      </c>
      <c r="D108" s="44">
        <v>4852.895387101644</v>
      </c>
      <c r="E108" s="45">
        <v>5449.925743081992</v>
      </c>
      <c r="F108" s="44">
        <v>6129.945448380321</v>
      </c>
      <c r="G108" s="44">
        <v>7491.320779940001</v>
      </c>
      <c r="H108" s="44">
        <v>0</v>
      </c>
      <c r="I108" s="44">
        <v>0</v>
      </c>
    </row>
    <row r="109" spans="1:9" ht="15">
      <c r="A109" s="43" t="str">
        <f>HLOOKUP(INDICE!$F$2,Nombres!$C$3:$D$636,68,FALSE)</f>
        <v>Investment funds and managed portfolios</v>
      </c>
      <c r="B109" s="44">
        <v>1101.6511023531143</v>
      </c>
      <c r="C109" s="44">
        <v>1178.7435427390492</v>
      </c>
      <c r="D109" s="44">
        <v>1472.9659219028579</v>
      </c>
      <c r="E109" s="45">
        <v>1537.6155821462853</v>
      </c>
      <c r="F109" s="44">
        <v>1882.5019296685145</v>
      </c>
      <c r="G109" s="44">
        <v>1986.68423752</v>
      </c>
      <c r="H109" s="44">
        <v>0</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HLOOKUP(INDICE!$F$2,Nombres!$C$3:$D$636,78,FALSE)</f>
        <v>(Million Argentinian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0">
        <f>+B$6</f>
        <v>2021</v>
      </c>
      <c r="C118" s="300"/>
      <c r="D118" s="300"/>
      <c r="E118" s="301"/>
      <c r="F118" s="300">
        <f>+F$6</f>
        <v>2022</v>
      </c>
      <c r="G118" s="300"/>
      <c r="H118" s="300"/>
      <c r="I118" s="300"/>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41">
        <v>21735.656959069278</v>
      </c>
      <c r="C120" s="41">
        <v>26758.454143550065</v>
      </c>
      <c r="D120" s="41">
        <v>32552.26818263314</v>
      </c>
      <c r="E120" s="42">
        <v>41353.91734199981</v>
      </c>
      <c r="F120" s="50">
        <v>39255.376981208814</v>
      </c>
      <c r="G120" s="50">
        <v>62174.86435180591</v>
      </c>
      <c r="H120" s="50">
        <v>0</v>
      </c>
      <c r="I120" s="50">
        <v>0</v>
      </c>
    </row>
    <row r="121" spans="1:9" ht="15">
      <c r="A121" s="43" t="str">
        <f>HLOOKUP(INDICE!$F$2,Nombres!$C$3:$D$636,34,FALSE)</f>
        <v>Net fees and commissions</v>
      </c>
      <c r="B121" s="44">
        <v>3365.2045704127745</v>
      </c>
      <c r="C121" s="44">
        <v>6159.171520703305</v>
      </c>
      <c r="D121" s="44">
        <v>7016.5727384810925</v>
      </c>
      <c r="E121" s="45">
        <v>7036.341768693674</v>
      </c>
      <c r="F121" s="44">
        <v>7516.917595045193</v>
      </c>
      <c r="G121" s="44">
        <v>11488.56400352605</v>
      </c>
      <c r="H121" s="44">
        <v>0</v>
      </c>
      <c r="I121" s="44">
        <v>0</v>
      </c>
    </row>
    <row r="122" spans="1:9" ht="15">
      <c r="A122" s="43" t="str">
        <f>HLOOKUP(INDICE!$F$2,Nombres!$C$3:$D$636,35,FALSE)</f>
        <v>Net trading income</v>
      </c>
      <c r="B122" s="44">
        <v>2776.0698261513107</v>
      </c>
      <c r="C122" s="44">
        <v>2951.9460733159035</v>
      </c>
      <c r="D122" s="44">
        <v>2940.694890179773</v>
      </c>
      <c r="E122" s="45">
        <v>2025.0348765523192</v>
      </c>
      <c r="F122" s="44">
        <v>4189.318622586353</v>
      </c>
      <c r="G122" s="44">
        <v>4370.724426444238</v>
      </c>
      <c r="H122" s="44">
        <v>0</v>
      </c>
      <c r="I122" s="44">
        <v>0</v>
      </c>
    </row>
    <row r="123" spans="1:9" ht="15">
      <c r="A123" s="43" t="str">
        <f>HLOOKUP(INDICE!$F$2,Nombres!$C$3:$D$636,36,FALSE)</f>
        <v>Other operating income and expenses</v>
      </c>
      <c r="B123" s="44">
        <v>-13047.324336326277</v>
      </c>
      <c r="C123" s="44">
        <v>-15001.86287632614</v>
      </c>
      <c r="D123" s="44">
        <v>-13818.287526209393</v>
      </c>
      <c r="E123" s="45">
        <v>-19570.77610866346</v>
      </c>
      <c r="F123" s="44">
        <v>-22889.981515788615</v>
      </c>
      <c r="G123" s="44">
        <v>-35347.64479436862</v>
      </c>
      <c r="H123" s="44">
        <v>0</v>
      </c>
      <c r="I123" s="44">
        <v>0</v>
      </c>
    </row>
    <row r="124" spans="1:9" ht="15">
      <c r="A124" s="41" t="str">
        <f>HLOOKUP(INDICE!$F$2,Nombres!$C$3:$D$636,37,FALSE)</f>
        <v>Gross income</v>
      </c>
      <c r="B124" s="41">
        <f>+SUM(B120:B123)</f>
        <v>14829.607019307085</v>
      </c>
      <c r="C124" s="41">
        <f aca="true" t="shared" si="19" ref="C124:I124">+SUM(C120:C123)</f>
        <v>20867.708861243136</v>
      </c>
      <c r="D124" s="41">
        <f t="shared" si="19"/>
        <v>28691.248285084606</v>
      </c>
      <c r="E124" s="42">
        <f t="shared" si="19"/>
        <v>30844.51787858234</v>
      </c>
      <c r="F124" s="50">
        <f t="shared" si="19"/>
        <v>28071.631683051743</v>
      </c>
      <c r="G124" s="50">
        <f t="shared" si="19"/>
        <v>42686.507987407575</v>
      </c>
      <c r="H124" s="50">
        <f t="shared" si="19"/>
        <v>0</v>
      </c>
      <c r="I124" s="50">
        <f t="shared" si="19"/>
        <v>0</v>
      </c>
    </row>
    <row r="125" spans="1:9" ht="15">
      <c r="A125" s="43" t="str">
        <f>HLOOKUP(INDICE!$F$2,Nombres!$C$3:$D$636,38,FALSE)</f>
        <v>Operating expenses</v>
      </c>
      <c r="B125" s="44">
        <v>-11442.394257914146</v>
      </c>
      <c r="C125" s="44">
        <v>-14054.76614190039</v>
      </c>
      <c r="D125" s="44">
        <v>-18711.769598807507</v>
      </c>
      <c r="E125" s="45">
        <v>-21468.59057887973</v>
      </c>
      <c r="F125" s="44">
        <v>-17950.782923453222</v>
      </c>
      <c r="G125" s="44">
        <v>-29061.619875948454</v>
      </c>
      <c r="H125" s="44">
        <v>0</v>
      </c>
      <c r="I125" s="44">
        <v>0</v>
      </c>
    </row>
    <row r="126" spans="1:9" ht="15">
      <c r="A126" s="43" t="str">
        <f>HLOOKUP(INDICE!$F$2,Nombres!$C$3:$D$636,39,FALSE)</f>
        <v>  Administration expenses</v>
      </c>
      <c r="B126" s="44">
        <v>-10642.577286227179</v>
      </c>
      <c r="C126" s="44">
        <v>-12904.468709681145</v>
      </c>
      <c r="D126" s="44">
        <v>-17407.34715520446</v>
      </c>
      <c r="E126" s="45">
        <v>-19882.872983606692</v>
      </c>
      <c r="F126" s="44">
        <v>-17229.864800695963</v>
      </c>
      <c r="G126" s="44">
        <v>-26848.452972028725</v>
      </c>
      <c r="H126" s="44">
        <v>0</v>
      </c>
      <c r="I126" s="44">
        <v>0</v>
      </c>
    </row>
    <row r="127" spans="1:9" ht="15">
      <c r="A127" s="46" t="str">
        <f>HLOOKUP(INDICE!$F$2,Nombres!$C$3:$D$636,40,FALSE)</f>
        <v>  Personnel expenses</v>
      </c>
      <c r="B127" s="44">
        <v>-5999.705498722209</v>
      </c>
      <c r="C127" s="44">
        <v>-7096.519460579362</v>
      </c>
      <c r="D127" s="44">
        <v>-8638.174647986692</v>
      </c>
      <c r="E127" s="45">
        <v>-10043.280688462253</v>
      </c>
      <c r="F127" s="44">
        <v>-9299.289704738145</v>
      </c>
      <c r="G127" s="44">
        <v>-14536.936502022949</v>
      </c>
      <c r="H127" s="44">
        <v>0</v>
      </c>
      <c r="I127" s="44">
        <v>0</v>
      </c>
    </row>
    <row r="128" spans="1:9" ht="15">
      <c r="A128" s="46" t="str">
        <f>HLOOKUP(INDICE!$F$2,Nombres!$C$3:$D$636,41,FALSE)</f>
        <v>  General and administrative expenses</v>
      </c>
      <c r="B128" s="44">
        <v>-4642.8717875049715</v>
      </c>
      <c r="C128" s="44">
        <v>-5807.9492491017845</v>
      </c>
      <c r="D128" s="44">
        <v>-8769.172507217772</v>
      </c>
      <c r="E128" s="45">
        <v>-9839.59229514444</v>
      </c>
      <c r="F128" s="44">
        <v>-7930.575095957818</v>
      </c>
      <c r="G128" s="44">
        <v>-12311.516470005772</v>
      </c>
      <c r="H128" s="44">
        <v>0</v>
      </c>
      <c r="I128" s="44">
        <v>0</v>
      </c>
    </row>
    <row r="129" spans="1:9" ht="15">
      <c r="A129" s="43" t="str">
        <f>HLOOKUP(INDICE!$F$2,Nombres!$C$3:$D$636,42,FALSE)</f>
        <v>  Depreciation</v>
      </c>
      <c r="B129" s="44">
        <v>-799.8169716869681</v>
      </c>
      <c r="C129" s="44">
        <v>-1150.297432219244</v>
      </c>
      <c r="D129" s="44">
        <v>-1304.4224436030456</v>
      </c>
      <c r="E129" s="45">
        <v>-1585.7175952730377</v>
      </c>
      <c r="F129" s="44">
        <v>-720.918122757257</v>
      </c>
      <c r="G129" s="44">
        <v>-2213.166903919725</v>
      </c>
      <c r="H129" s="44">
        <v>0</v>
      </c>
      <c r="I129" s="44">
        <v>0</v>
      </c>
    </row>
    <row r="130" spans="1:9" ht="15">
      <c r="A130" s="41" t="str">
        <f>HLOOKUP(INDICE!$F$2,Nombres!$C$3:$D$636,43,FALSE)</f>
        <v>Operating income</v>
      </c>
      <c r="B130" s="41">
        <f>+B124+B125</f>
        <v>3387.212761392939</v>
      </c>
      <c r="C130" s="41">
        <f aca="true" t="shared" si="20" ref="C130:I130">+C124+C125</f>
        <v>6812.9427193427455</v>
      </c>
      <c r="D130" s="41">
        <f t="shared" si="20"/>
        <v>9979.4786862771</v>
      </c>
      <c r="E130" s="42">
        <f t="shared" si="20"/>
        <v>9375.92729970261</v>
      </c>
      <c r="F130" s="50">
        <f t="shared" si="20"/>
        <v>10120.84875959852</v>
      </c>
      <c r="G130" s="50">
        <f t="shared" si="20"/>
        <v>13624.88811145912</v>
      </c>
      <c r="H130" s="50">
        <f t="shared" si="20"/>
        <v>0</v>
      </c>
      <c r="I130" s="50">
        <f t="shared" si="20"/>
        <v>0</v>
      </c>
    </row>
    <row r="131" spans="1:9" ht="15">
      <c r="A131" s="43" t="str">
        <f>HLOOKUP(INDICE!$F$2,Nombres!$C$3:$D$636,44,FALSE)</f>
        <v>Impaiment on financial assets not measured at fair value through profit or loss</v>
      </c>
      <c r="B131" s="44">
        <v>-2215.0768220999025</v>
      </c>
      <c r="C131" s="44">
        <v>-3837.3749453017717</v>
      </c>
      <c r="D131" s="44">
        <v>-3868.3082401255815</v>
      </c>
      <c r="E131" s="45">
        <v>-3297.189114074396</v>
      </c>
      <c r="F131" s="44">
        <v>-5830.017454215773</v>
      </c>
      <c r="G131" s="44">
        <v>-2525.9553703188435</v>
      </c>
      <c r="H131" s="44">
        <v>0</v>
      </c>
      <c r="I131" s="44">
        <v>0</v>
      </c>
    </row>
    <row r="132" spans="1:9" ht="15">
      <c r="A132" s="43" t="str">
        <f>HLOOKUP(INDICE!$F$2,Nombres!$C$3:$D$636,45,FALSE)</f>
        <v>Provisions or reversal of provisions and other results</v>
      </c>
      <c r="B132" s="44">
        <v>-211.11372749569747</v>
      </c>
      <c r="C132" s="44">
        <v>-550.4613365749893</v>
      </c>
      <c r="D132" s="44">
        <v>-374.4727047255634</v>
      </c>
      <c r="E132" s="45">
        <v>-1130.9304131954575</v>
      </c>
      <c r="F132" s="44">
        <v>-595.4500498128259</v>
      </c>
      <c r="G132" s="44">
        <v>-1678.693143285328</v>
      </c>
      <c r="H132" s="44">
        <v>0</v>
      </c>
      <c r="I132" s="44">
        <v>0</v>
      </c>
    </row>
    <row r="133" spans="1:9" ht="15">
      <c r="A133" s="41" t="str">
        <f>HLOOKUP(INDICE!$F$2,Nombres!$C$3:$D$636,46,FALSE)</f>
        <v>Profit/(loss) before tax</v>
      </c>
      <c r="B133" s="41">
        <f>+B130+B131+B132</f>
        <v>961.0222117973387</v>
      </c>
      <c r="C133" s="41">
        <f aca="true" t="shared" si="21" ref="C133:I133">+C130+C131+C132</f>
        <v>2425.1064374659845</v>
      </c>
      <c r="D133" s="41">
        <f t="shared" si="21"/>
        <v>5736.6977414259545</v>
      </c>
      <c r="E133" s="42">
        <f t="shared" si="21"/>
        <v>4947.807772432756</v>
      </c>
      <c r="F133" s="50">
        <f t="shared" si="21"/>
        <v>3695.381255569922</v>
      </c>
      <c r="G133" s="50">
        <f t="shared" si="21"/>
        <v>9420.23959785495</v>
      </c>
      <c r="H133" s="50">
        <f t="shared" si="21"/>
        <v>0</v>
      </c>
      <c r="I133" s="50">
        <f t="shared" si="21"/>
        <v>0</v>
      </c>
    </row>
    <row r="134" spans="1:9" ht="15">
      <c r="A134" s="43" t="str">
        <f>HLOOKUP(INDICE!$F$2,Nombres!$C$3:$D$636,47,FALSE)</f>
        <v>Income tax</v>
      </c>
      <c r="B134" s="44">
        <v>-370.41243705480065</v>
      </c>
      <c r="C134" s="44">
        <v>-1153.2452280933553</v>
      </c>
      <c r="D134" s="44">
        <v>-1220.5962790118053</v>
      </c>
      <c r="E134" s="45">
        <v>-1478.2837493599184</v>
      </c>
      <c r="F134" s="44">
        <v>-600.9203642154448</v>
      </c>
      <c r="G134" s="44">
        <v>6457.137612384988</v>
      </c>
      <c r="H134" s="44">
        <v>0</v>
      </c>
      <c r="I134" s="44">
        <v>0</v>
      </c>
    </row>
    <row r="135" spans="1:9" ht="15">
      <c r="A135" s="41" t="str">
        <f>HLOOKUP(INDICE!$F$2,Nombres!$C$3:$D$636,48,FALSE)</f>
        <v>Profit/(loss) for the year</v>
      </c>
      <c r="B135" s="41">
        <f>+B133+B134</f>
        <v>590.6097747425381</v>
      </c>
      <c r="C135" s="41">
        <f aca="true" t="shared" si="22" ref="C135:I135">+C133+C134</f>
        <v>1271.8612093726292</v>
      </c>
      <c r="D135" s="41">
        <f t="shared" si="22"/>
        <v>4516.101462414149</v>
      </c>
      <c r="E135" s="42">
        <f t="shared" si="22"/>
        <v>3469.5240230728377</v>
      </c>
      <c r="F135" s="50">
        <f t="shared" si="22"/>
        <v>3094.460891354477</v>
      </c>
      <c r="G135" s="50">
        <f t="shared" si="22"/>
        <v>15877.377210239938</v>
      </c>
      <c r="H135" s="50">
        <f t="shared" si="22"/>
        <v>0</v>
      </c>
      <c r="I135" s="50">
        <f t="shared" si="22"/>
        <v>0</v>
      </c>
    </row>
    <row r="136" spans="1:9" ht="15">
      <c r="A136" s="43" t="str">
        <f>HLOOKUP(INDICE!$F$2,Nombres!$C$3:$D$636,49,FALSE)</f>
        <v>Non-controlling interests</v>
      </c>
      <c r="B136" s="44">
        <v>-115.43152613378948</v>
      </c>
      <c r="C136" s="44">
        <v>-270.1339852288121</v>
      </c>
      <c r="D136" s="44">
        <v>-1540.1517393508057</v>
      </c>
      <c r="E136" s="45">
        <v>-1144.853022958522</v>
      </c>
      <c r="F136" s="44">
        <v>-822.4883287865507</v>
      </c>
      <c r="G136" s="44">
        <v>-5080.723364363719</v>
      </c>
      <c r="H136" s="44">
        <v>0</v>
      </c>
      <c r="I136" s="44">
        <v>0</v>
      </c>
    </row>
    <row r="137" spans="1:9" ht="15">
      <c r="A137" s="47" t="str">
        <f>HLOOKUP(INDICE!$F$2,Nombres!$C$3:$D$636,50,FALSE)</f>
        <v>Net attributable profit</v>
      </c>
      <c r="B137" s="47">
        <f>+B135+B136</f>
        <v>475.1782486087486</v>
      </c>
      <c r="C137" s="47">
        <f aca="true" t="shared" si="23" ref="C137:I137">+C135+C136</f>
        <v>1001.7272241438171</v>
      </c>
      <c r="D137" s="47">
        <f t="shared" si="23"/>
        <v>2975.9497230633433</v>
      </c>
      <c r="E137" s="47">
        <f t="shared" si="23"/>
        <v>2324.6710001143156</v>
      </c>
      <c r="F137" s="51">
        <f t="shared" si="23"/>
        <v>2271.9725625679266</v>
      </c>
      <c r="G137" s="51">
        <f t="shared" si="23"/>
        <v>10796.653845876219</v>
      </c>
      <c r="H137" s="51">
        <f t="shared" si="23"/>
        <v>0</v>
      </c>
      <c r="I137" s="51">
        <f t="shared" si="23"/>
        <v>0</v>
      </c>
    </row>
    <row r="138" spans="1:9" ht="15">
      <c r="A138" s="62"/>
      <c r="B138" s="63">
        <v>2.0463630789890885E-12</v>
      </c>
      <c r="C138" s="63">
        <v>0</v>
      </c>
      <c r="D138" s="63">
        <v>-7.275957614183426E-12</v>
      </c>
      <c r="E138" s="63">
        <v>5.4569682106375694E-12</v>
      </c>
      <c r="F138" s="63">
        <v>-4.092726157978177E-12</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HLOOKUP(INDICE!$F$2,Nombres!$C$3:$D$636,78,FALSE)</f>
        <v>(Million Argentinian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195668.35391870118</v>
      </c>
      <c r="C143" s="44">
        <v>198254.61735477528</v>
      </c>
      <c r="D143" s="44">
        <v>197215.37827158908</v>
      </c>
      <c r="E143" s="45">
        <v>219235.4101425981</v>
      </c>
      <c r="F143" s="44">
        <v>199131.99155514664</v>
      </c>
      <c r="G143" s="44">
        <v>189444.0898891105</v>
      </c>
      <c r="H143" s="44">
        <v>0</v>
      </c>
      <c r="I143" s="44">
        <v>0</v>
      </c>
    </row>
    <row r="144" spans="1:9" ht="15">
      <c r="A144" s="43" t="str">
        <f>HLOOKUP(INDICE!$F$2,Nombres!$C$3:$D$636,53,FALSE)</f>
        <v>Financial assets designated at fair value </v>
      </c>
      <c r="B144" s="58">
        <v>145296.2735106854</v>
      </c>
      <c r="C144" s="58">
        <v>162220.26555158006</v>
      </c>
      <c r="D144" s="58">
        <v>179952.02380668602</v>
      </c>
      <c r="E144" s="64">
        <v>185066.0672829731</v>
      </c>
      <c r="F144" s="44">
        <v>363397.1567236727</v>
      </c>
      <c r="G144" s="44">
        <v>436274.15511361416</v>
      </c>
      <c r="H144" s="44">
        <v>0</v>
      </c>
      <c r="I144" s="44">
        <v>0</v>
      </c>
    </row>
    <row r="145" spans="1:9" ht="15">
      <c r="A145" s="43" t="str">
        <f>HLOOKUP(INDICE!$F$2,Nombres!$C$3:$D$636,54,FALSE)</f>
        <v>Financial assets at amortized cost</v>
      </c>
      <c r="B145" s="44">
        <v>346589.8702235161</v>
      </c>
      <c r="C145" s="44">
        <v>444855.71671522193</v>
      </c>
      <c r="D145" s="44">
        <v>475124.89244579175</v>
      </c>
      <c r="E145" s="45">
        <v>561733.3366942953</v>
      </c>
      <c r="F145" s="44">
        <v>525175.123586529</v>
      </c>
      <c r="G145" s="44">
        <v>684085.6256706354</v>
      </c>
      <c r="H145" s="44">
        <v>0</v>
      </c>
      <c r="I145" s="44">
        <v>0</v>
      </c>
    </row>
    <row r="146" spans="1:9" ht="15">
      <c r="A146" s="43" t="str">
        <f>HLOOKUP(INDICE!$F$2,Nombres!$C$3:$D$636,55,FALSE)</f>
        <v>    of which loans and advances to customers</v>
      </c>
      <c r="B146" s="44">
        <v>288842.6104548462</v>
      </c>
      <c r="C146" s="44">
        <v>309142.49436588</v>
      </c>
      <c r="D146" s="44">
        <v>332423.6921131029</v>
      </c>
      <c r="E146" s="45">
        <v>383621.9348699468</v>
      </c>
      <c r="F146" s="44">
        <v>412475.6125973583</v>
      </c>
      <c r="G146" s="44">
        <v>516626.9115398509</v>
      </c>
      <c r="H146" s="44">
        <v>0</v>
      </c>
      <c r="I146" s="44">
        <v>0</v>
      </c>
    </row>
    <row r="147" spans="1:9" ht="15" hidden="1">
      <c r="A147" s="43"/>
      <c r="B147" s="44"/>
      <c r="C147" s="44"/>
      <c r="D147" s="44"/>
      <c r="E147" s="45"/>
      <c r="F147" s="44"/>
      <c r="G147" s="44"/>
      <c r="H147" s="44"/>
      <c r="I147" s="44"/>
    </row>
    <row r="148" spans="1:9" ht="15">
      <c r="A148" s="43" t="str">
        <f>HLOOKUP(INDICE!$F$2,Nombres!$C$3:$D$636,56,FALSE)</f>
        <v>Tangible assets</v>
      </c>
      <c r="B148" s="44">
        <v>38640.42866451309</v>
      </c>
      <c r="C148" s="44">
        <v>42632.280572879325</v>
      </c>
      <c r="D148" s="44">
        <v>45614.14656548944</v>
      </c>
      <c r="E148" s="45">
        <v>52552.231697507785</v>
      </c>
      <c r="F148" s="44">
        <v>64524.32673778189</v>
      </c>
      <c r="G148" s="44">
        <v>80714.48404019405</v>
      </c>
      <c r="H148" s="44">
        <v>0</v>
      </c>
      <c r="I148" s="44">
        <v>0</v>
      </c>
    </row>
    <row r="149" spans="1:9" ht="15">
      <c r="A149" s="43" t="str">
        <f>HLOOKUP(INDICE!$F$2,Nombres!$C$3:$D$636,57,FALSE)</f>
        <v>Other assets</v>
      </c>
      <c r="B149" s="58">
        <f>+B150-B148-B145-B144-B143</f>
        <v>31873.68512389154</v>
      </c>
      <c r="C149" s="58">
        <f aca="true" t="shared" si="25" ref="C149:H149">+C150-C148-C145-C144-C143</f>
        <v>33524.9983625453</v>
      </c>
      <c r="D149" s="58">
        <f t="shared" si="25"/>
        <v>30913.072646801593</v>
      </c>
      <c r="E149" s="64">
        <f t="shared" si="25"/>
        <v>33142.45294802869</v>
      </c>
      <c r="F149" s="44">
        <f t="shared" si="25"/>
        <v>36579.72450088704</v>
      </c>
      <c r="G149" s="44">
        <f t="shared" si="25"/>
        <v>41816.94821815172</v>
      </c>
      <c r="H149" s="44">
        <f t="shared" si="25"/>
        <v>0</v>
      </c>
      <c r="I149" s="44">
        <f>+I150-I148-I145-I144-I143</f>
        <v>0</v>
      </c>
    </row>
    <row r="150" spans="1:9" ht="15">
      <c r="A150" s="47" t="str">
        <f>HLOOKUP(INDICE!$F$2,Nombres!$C$3:$D$636,58,FALSE)</f>
        <v>Total assets / Liabilities and equity</v>
      </c>
      <c r="B150" s="47">
        <v>758068.6114413072</v>
      </c>
      <c r="C150" s="47">
        <v>881487.8785570019</v>
      </c>
      <c r="D150" s="47">
        <v>928819.5137363579</v>
      </c>
      <c r="E150" s="47">
        <v>1051729.498765403</v>
      </c>
      <c r="F150" s="51">
        <v>1188808.3231040174</v>
      </c>
      <c r="G150" s="51">
        <v>1432335.3029317057</v>
      </c>
      <c r="H150" s="51">
        <v>0</v>
      </c>
      <c r="I150" s="51">
        <v>0</v>
      </c>
    </row>
    <row r="151" spans="1:9" ht="15">
      <c r="A151" s="43" t="str">
        <f>HLOOKUP(INDICE!$F$2,Nombres!$C$3:$D$636,59,FALSE)</f>
        <v>Financial liabilities held for trading and designated at fair value through profit or loss</v>
      </c>
      <c r="B151" s="58">
        <v>398.83027477353664</v>
      </c>
      <c r="C151" s="58">
        <v>141.94230584830007</v>
      </c>
      <c r="D151" s="58">
        <v>398.8739147986835</v>
      </c>
      <c r="E151" s="64">
        <v>314.2115549988507</v>
      </c>
      <c r="F151" s="44">
        <v>327.3990244938593</v>
      </c>
      <c r="G151" s="44">
        <v>147.02896193883774</v>
      </c>
      <c r="H151" s="44">
        <v>0</v>
      </c>
      <c r="I151" s="44">
        <v>0</v>
      </c>
    </row>
    <row r="152" spans="1:9" ht="15">
      <c r="A152" s="43" t="str">
        <f>HLOOKUP(INDICE!$F$2,Nombres!$C$3:$D$636,60,FALSE)</f>
        <v>Deposits from central banks and credit institutions</v>
      </c>
      <c r="B152" s="58">
        <v>12985.327199804304</v>
      </c>
      <c r="C152" s="58">
        <v>12060.43282840376</v>
      </c>
      <c r="D152" s="58">
        <v>12230.22854515963</v>
      </c>
      <c r="E152" s="64">
        <v>13075.273800702174</v>
      </c>
      <c r="F152" s="44">
        <v>14378.099393464245</v>
      </c>
      <c r="G152" s="44">
        <v>20437.54524646643</v>
      </c>
      <c r="H152" s="44">
        <v>0</v>
      </c>
      <c r="I152" s="44">
        <v>0</v>
      </c>
    </row>
    <row r="153" spans="1:9" ht="15">
      <c r="A153" s="43" t="str">
        <f>HLOOKUP(INDICE!$F$2,Nombres!$C$3:$D$636,61,FALSE)</f>
        <v>Deposits from customers</v>
      </c>
      <c r="B153" s="58">
        <v>507414.3239213696</v>
      </c>
      <c r="C153" s="58">
        <v>608411.6957602976</v>
      </c>
      <c r="D153" s="58">
        <v>630314.6178988395</v>
      </c>
      <c r="E153" s="64">
        <v>707859.7478395109</v>
      </c>
      <c r="F153" s="44">
        <v>796183.4523166625</v>
      </c>
      <c r="G153" s="44">
        <v>973004.4197452771</v>
      </c>
      <c r="H153" s="44">
        <v>0</v>
      </c>
      <c r="I153" s="44">
        <v>0</v>
      </c>
    </row>
    <row r="154" spans="1:9" ht="15">
      <c r="A154" s="43" t="str">
        <f>HLOOKUP(INDICE!$F$2,Nombres!$C$3:$D$636,62,FALSE)</f>
        <v>Debt certificates</v>
      </c>
      <c r="B154" s="44">
        <v>20894.252987476346</v>
      </c>
      <c r="C154" s="44">
        <v>20751.38397728956</v>
      </c>
      <c r="D154" s="44">
        <v>22798.536222062157</v>
      </c>
      <c r="E154" s="45">
        <v>26599.74102599847</v>
      </c>
      <c r="F154" s="44">
        <v>31002.360699030454</v>
      </c>
      <c r="G154" s="44">
        <v>36541.407113298046</v>
      </c>
      <c r="H154" s="44">
        <v>0</v>
      </c>
      <c r="I154" s="44">
        <v>0</v>
      </c>
    </row>
    <row r="155" spans="1:9" ht="15" hidden="1">
      <c r="A155" s="43"/>
      <c r="B155" s="44"/>
      <c r="C155" s="44"/>
      <c r="D155" s="44"/>
      <c r="E155" s="45"/>
      <c r="F155" s="44"/>
      <c r="G155" s="44"/>
      <c r="H155" s="44"/>
      <c r="I155" s="44"/>
    </row>
    <row r="156" spans="1:9" ht="15.75" customHeight="1">
      <c r="A156" s="43" t="str">
        <f>HLOOKUP(INDICE!$F$2,Nombres!$C$3:$D$636,63,FALSE)</f>
        <v>Other liabilities</v>
      </c>
      <c r="B156" s="58">
        <f>+B150-B151-B152-B153-B154-B157</f>
        <v>145080.13328717608</v>
      </c>
      <c r="C156" s="58">
        <f aca="true" t="shared" si="26" ref="C156:I156">+C150-C151-C152-C153-C154-C157</f>
        <v>166692.4276309313</v>
      </c>
      <c r="D156" s="58">
        <f t="shared" si="26"/>
        <v>181789.98866928119</v>
      </c>
      <c r="E156" s="64">
        <f t="shared" si="26"/>
        <v>214653.52193124234</v>
      </c>
      <c r="F156" s="44">
        <f t="shared" si="26"/>
        <v>241600.3283660772</v>
      </c>
      <c r="G156" s="44">
        <f t="shared" si="26"/>
        <v>281058.82856155524</v>
      </c>
      <c r="H156" s="44">
        <f t="shared" si="26"/>
        <v>0</v>
      </c>
      <c r="I156" s="44">
        <f t="shared" si="26"/>
        <v>0</v>
      </c>
    </row>
    <row r="157" spans="1:9" ht="15.75" customHeight="1">
      <c r="A157" s="43" t="str">
        <f>HLOOKUP(INDICE!$F$2,Nombres!$C$3:$D$636,282,FALSE)</f>
        <v>Regulatory capital allocated</v>
      </c>
      <c r="B157" s="58">
        <v>71295.74377070741</v>
      </c>
      <c r="C157" s="58">
        <v>73429.99605423138</v>
      </c>
      <c r="D157" s="58">
        <v>81287.26848621668</v>
      </c>
      <c r="E157" s="64">
        <v>89227.00261295025</v>
      </c>
      <c r="F157" s="44">
        <v>105316.68330428928</v>
      </c>
      <c r="G157" s="44">
        <v>121146.07330316995</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8"/>
      <c r="G160" s="68"/>
      <c r="H160" s="68"/>
      <c r="I160" s="68"/>
    </row>
    <row r="161" spans="1:9" ht="15">
      <c r="A161" s="35" t="str">
        <f>HLOOKUP(INDICE!$F$2,Nombres!$C$3:$D$636,78,FALSE)</f>
        <v>(Million Argentinian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302996.7864960612</v>
      </c>
      <c r="C163" s="44">
        <v>324506.83741774067</v>
      </c>
      <c r="D163" s="44">
        <v>348476.5838893369</v>
      </c>
      <c r="E163" s="45">
        <v>397342.9633723176</v>
      </c>
      <c r="F163" s="44">
        <v>424411.76138774696</v>
      </c>
      <c r="G163" s="44">
        <v>529443.0128889758</v>
      </c>
      <c r="H163" s="44">
        <v>0</v>
      </c>
      <c r="I163" s="44">
        <v>0</v>
      </c>
    </row>
    <row r="164" spans="1:9" ht="15">
      <c r="A164" s="43" t="str">
        <f>HLOOKUP(INDICE!$F$2,Nombres!$C$3:$D$636,67,FALSE)</f>
        <v>Customer deposits under management (*)</v>
      </c>
      <c r="B164" s="44">
        <v>507414.515765309</v>
      </c>
      <c r="C164" s="44">
        <v>608411.566683788</v>
      </c>
      <c r="D164" s="44">
        <v>630314.6388368629</v>
      </c>
      <c r="E164" s="45">
        <v>707859.4740716382</v>
      </c>
      <c r="F164" s="44">
        <v>796183.3180362736</v>
      </c>
      <c r="G164" s="44">
        <v>973004.5210471927</v>
      </c>
      <c r="H164" s="44">
        <v>0</v>
      </c>
      <c r="I164" s="44">
        <v>0</v>
      </c>
    </row>
    <row r="165" spans="1:9" ht="15">
      <c r="A165" s="43" t="str">
        <f>HLOOKUP(INDICE!$F$2,Nombres!$C$3:$D$636,68,FALSE)</f>
        <v>Investment funds and managed portfolios</v>
      </c>
      <c r="B165" s="44">
        <v>143087.1183725748</v>
      </c>
      <c r="C165" s="44">
        <v>153100.21155568052</v>
      </c>
      <c r="D165" s="44">
        <v>191315.06225146668</v>
      </c>
      <c r="E165" s="45">
        <v>199712.03436744696</v>
      </c>
      <c r="F165" s="44">
        <v>244507.33618994747</v>
      </c>
      <c r="G165" s="44">
        <v>258038.97627457322</v>
      </c>
      <c r="H165" s="44">
        <v>0</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15" ht="15">
      <c r="A167" s="43" t="str">
        <f>HLOOKUP(INDICE!$F$2,Nombres!$C$3:$D$636,70,FALSE)</f>
        <v>Other off balance-sheet funds</v>
      </c>
      <c r="B167" s="44">
        <v>0</v>
      </c>
      <c r="C167" s="44">
        <v>0</v>
      </c>
      <c r="D167" s="44">
        <v>0</v>
      </c>
      <c r="E167" s="45">
        <v>0</v>
      </c>
      <c r="F167" s="44">
        <v>0</v>
      </c>
      <c r="G167" s="44">
        <v>0</v>
      </c>
      <c r="H167" s="44">
        <v>0</v>
      </c>
      <c r="I167" s="44">
        <v>0</v>
      </c>
      <c r="N167" s="73"/>
      <c r="O167" s="73"/>
    </row>
    <row r="168" spans="1:15" ht="15">
      <c r="A168" s="62" t="str">
        <f>HLOOKUP(INDICE!$F$2,Nombres!$C$3:$D$636,71,FALSE)</f>
        <v>(*) Excluding repos. </v>
      </c>
      <c r="B168" s="58"/>
      <c r="C168" s="58"/>
      <c r="D168" s="58"/>
      <c r="E168" s="58"/>
      <c r="F168" s="58"/>
      <c r="G168" s="58"/>
      <c r="H168" s="58"/>
      <c r="I168" s="58"/>
      <c r="N168" s="73"/>
      <c r="O168" s="73"/>
    </row>
    <row r="169" spans="1:15" ht="15">
      <c r="A169" s="62">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27" operator="notBetween">
      <formula>0.5</formula>
      <formula>-0.5</formula>
    </cfRule>
  </conditionalFormatting>
  <conditionalFormatting sqref="B82:I82">
    <cfRule type="cellIs" priority="2" dxfId="127" operator="notBetween">
      <formula>0.5</formula>
      <formula>-0.5</formula>
    </cfRule>
  </conditionalFormatting>
  <conditionalFormatting sqref="B138:I138">
    <cfRule type="cellIs" priority="1" dxfId="127"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2022-07-28T14:43:01Z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