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10" windowHeight="4380"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APRs" sheetId="18" r:id="rId18"/>
    <sheet name="Empleados, oficinas y cajeros" sheetId="19" r:id="rId19"/>
    <sheet name="Diferenciales" sheetId="20" r:id="rId20"/>
    <sheet name="Tipos de Cambio" sheetId="21" r:id="rId21"/>
    <sheet name="Inversion" sheetId="22" r:id="rId22"/>
    <sheet name="Recursos" sheetId="23" r:id="rId23"/>
    <sheet name="Hoja1" sheetId="24" state="hidden" r:id="rId24"/>
    <sheet name="Hoja2" sheetId="25" state="hidden" r:id="rId25"/>
    <sheet name="Hoja3" sheetId="26" state="hidden" r:id="rId26"/>
    <sheet name="ALCO" sheetId="27" r:id="rId27"/>
    <sheet name="Hoja4" sheetId="28" state="hidden" r:id="rId28"/>
  </sheets>
  <definedNames/>
  <calcPr fullCalcOnLoad="1"/>
</workbook>
</file>

<file path=xl/sharedStrings.xml><?xml version="1.0" encoding="utf-8"?>
<sst xmlns="http://schemas.openxmlformats.org/spreadsheetml/2006/main" count="650" uniqueCount="539">
  <si>
    <t>IDIOMA/LANGUAGE</t>
  </si>
  <si>
    <t>1er Trim.</t>
  </si>
  <si>
    <t>2º Trim.</t>
  </si>
  <si>
    <t>3er Trim.</t>
  </si>
  <si>
    <t>4º Trim.</t>
  </si>
  <si>
    <t>Resultado Atribuido</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</si>
  <si>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</si>
  <si>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</si>
  <si>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</si>
  <si>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</si>
  <si>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</si>
  <si>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</si>
  <si>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</si>
  <si>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</si>
  <si>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</si>
  <si>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</si>
  <si>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</si>
  <si>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</si>
  <si>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</si>
  <si>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</si>
  <si>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</si>
  <si>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</si>
  <si>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</si>
  <si>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</si>
  <si>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</si>
  <si>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</si>
  <si>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</si>
  <si>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</si>
  <si>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</si>
  <si>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</si>
  <si>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</si>
  <si>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</si>
  <si>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</si>
  <si>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</si>
  <si>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</si>
  <si>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</si>
  <si>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</si>
  <si>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</si>
  <si>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</si>
  <si>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</si>
  <si>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</si>
  <si>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</si>
  <si>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</si>
  <si>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</si>
  <si>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</si>
  <si>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</si>
  <si>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</si>
  <si>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</si>
  <si>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</si>
  <si>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</si>
  <si>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</si>
  <si>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</si>
  <si>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</si>
  <si>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</si>
  <si>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</si>
  <si>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</si>
  <si>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</si>
  <si>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</si>
  <si>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</si>
  <si>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</si>
  <si>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</si>
  <si>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</si>
  <si>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</si>
  <si>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</si>
  <si>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</si>
  <si>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</si>
  <si>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</si>
  <si>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</si>
  <si>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</si>
  <si>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</si>
  <si>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</si>
  <si>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</si>
  <si>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</si>
  <si>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</si>
  <si>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</si>
  <si>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</si>
  <si>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</si>
  <si>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</si>
  <si>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</si>
  <si>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</si>
  <si>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</si>
  <si>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</si>
  <si>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</si>
  <si>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</si>
  <si>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</si>
  <si>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</si>
  <si>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</si>
  <si>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</si>
  <si>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</si>
  <si>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</si>
  <si>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</si>
  <si>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</si>
  <si>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</si>
  <si>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</si>
  <si>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</si>
  <si>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</si>
  <si>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</si>
  <si>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</si>
  <si>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</si>
  <si>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</si>
  <si>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</si>
  <si>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</si>
  <si>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</si>
  <si>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</si>
  <si>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</si>
  <si>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</si>
  <si>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</si>
  <si>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</si>
  <si>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</si>
  <si>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</si>
  <si>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</si>
  <si>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</si>
  <si>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</si>
  <si>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</si>
  <si>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</si>
  <si>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</si>
  <si>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</si>
  <si>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</si>
  <si>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</si>
  <si>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</si>
  <si>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</si>
  <si>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</si>
  <si>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</si>
  <si>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</si>
  <si>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</si>
  <si>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</si>
  <si>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</si>
  <si>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</si>
  <si>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</si>
  <si>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</si>
  <si>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</si>
  <si>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</si>
  <si>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</si>
  <si>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</si>
  <si>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</si>
  <si>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</si>
  <si>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</si>
  <si>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</si>
  <si>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</si>
  <si>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</si>
  <si>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</si>
  <si>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</si>
  <si>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</si>
  <si>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</si>
  <si>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</si>
  <si>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</si>
  <si>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</si>
  <si>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</si>
  <si>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</si>
  <si>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</si>
  <si>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</si>
  <si>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</si>
  <si>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</si>
  <si>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</si>
  <si>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</si>
  <si>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</si>
  <si>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</si>
  <si>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</si>
  <si>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</si>
  <si>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</si>
  <si>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</si>
  <si>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</si>
  <si>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</si>
  <si>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</si>
  <si>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</si>
  <si>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</si>
  <si>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</si>
  <si>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</si>
  <si>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</si>
  <si>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</si>
  <si>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</si>
  <si>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</si>
  <si>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</si>
  <si>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</si>
  <si>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</si>
  <si>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</si>
  <si>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</si>
  <si>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</si>
  <si>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</si>
  <si>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</si>
  <si>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</si>
  <si>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</si>
  <si>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</si>
  <si>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</si>
  <si>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</si>
  <si>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</si>
  <si>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</si>
  <si>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</si>
  <si>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</si>
  <si>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</si>
  <si>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</si>
  <si>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</si>
  <si>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</si>
  <si>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</si>
  <si>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</si>
  <si>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</si>
  <si>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</si>
  <si>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</si>
  <si>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</si>
  <si>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</si>
  <si>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</si>
  <si>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</si>
  <si>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</si>
  <si>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</si>
  <si>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</si>
  <si>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</si>
  <si>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</si>
  <si>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</si>
  <si>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</si>
  <si>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</si>
  <si>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</si>
  <si>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</si>
  <si>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</si>
  <si>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</si>
  <si>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</si>
  <si>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</si>
  <si>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</si>
  <si>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</si>
  <si>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</si>
  <si>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</si>
  <si>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</si>
  <si>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</si>
  <si>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</si>
  <si>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</si>
  <si>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</si>
  <si>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</si>
  <si>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</si>
  <si>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</si>
  <si>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</si>
  <si>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</si>
  <si>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</si>
  <si>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</si>
  <si>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</si>
  <si>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</si>
  <si>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</si>
  <si>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</si>
  <si>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</si>
  <si>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</si>
  <si>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</si>
  <si>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</si>
  <si>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</si>
  <si>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</si>
  <si>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</si>
  <si>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</si>
  <si>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</si>
  <si>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</si>
  <si>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</si>
  <si>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</si>
  <si>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</si>
  <si>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</si>
  <si>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</si>
  <si>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</si>
  <si>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</si>
  <si>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</si>
  <si>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</si>
  <si>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</si>
  <si>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</si>
  <si>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</si>
  <si>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</si>
  <si>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</si>
  <si>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</si>
  <si>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</si>
  <si>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</si>
  <si>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</si>
  <si>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</si>
  <si>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</si>
  <si>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</si>
  <si>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</si>
  <si>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</si>
  <si>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</si>
  <si>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</si>
  <si>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</si>
  <si>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</si>
  <si>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</si>
  <si>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</si>
  <si>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</si>
  <si>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</si>
  <si>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</si>
  <si>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</si>
  <si>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</si>
  <si>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</si>
  <si>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</si>
  <si>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</si>
  <si>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</si>
  <si>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</si>
  <si>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</si>
  <si>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</si>
  <si>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</si>
  <si>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</si>
  <si>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</si>
  <si>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</si>
  <si>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</si>
  <si>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</si>
  <si>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</si>
  <si>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</si>
  <si>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</si>
  <si>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</si>
  <si>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</si>
  <si>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</si>
  <si>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</si>
  <si>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</si>
  <si>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</si>
  <si>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</si>
  <si>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</si>
  <si>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</si>
  <si>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</si>
  <si>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</si>
  <si>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</si>
  <si>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</si>
  <si>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</si>
  <si>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</si>
  <si>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</si>
  <si>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</si>
  <si>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</si>
  <si>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</si>
  <si>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</si>
  <si>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</si>
  <si>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</si>
  <si>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</si>
  <si>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</si>
  <si>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</si>
  <si>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</si>
  <si>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</si>
  <si>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</si>
  <si>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</si>
  <si>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</si>
  <si>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</si>
  <si>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</si>
  <si>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</si>
  <si>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</si>
  <si>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</si>
  <si>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</si>
  <si>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</si>
  <si>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</si>
  <si>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</si>
  <si>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</si>
  <si>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</si>
  <si>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</si>
  <si>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</si>
  <si>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</si>
  <si>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</si>
  <si>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</si>
  <si>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</si>
  <si>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</si>
  <si>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</si>
  <si>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</si>
  <si>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</si>
  <si>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</si>
  <si>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</si>
  <si>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</si>
  <si>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</si>
  <si>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</si>
  <si>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</si>
  <si>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</si>
  <si>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</si>
  <si>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</si>
  <si>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</si>
  <si>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</si>
  <si>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</si>
  <si>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</si>
  <si>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</si>
  <si>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</si>
  <si>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</si>
  <si>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</si>
  <si>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</si>
  <si>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</si>
  <si>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</si>
  <si>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</si>
  <si>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</si>
  <si>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</si>
  <si>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</si>
  <si>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</si>
  <si>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</si>
  <si>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</si>
  <si>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</si>
  <si>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</si>
  <si>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</si>
  <si>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</si>
  <si>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</si>
  <si>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</si>
  <si>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</si>
  <si>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</si>
  <si>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</si>
  <si>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</si>
  <si>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</si>
  <si>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</si>
  <si>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</si>
  <si>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</si>
  <si>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</si>
  <si>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</si>
  <si>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</si>
  <si>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</si>
  <si>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</si>
  <si>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</si>
  <si>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</si>
  <si>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</si>
  <si>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</si>
  <si>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</si>
  <si>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</si>
  <si>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</si>
  <si>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</si>
  <si>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</si>
  <si>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</si>
  <si>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</si>
  <si>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</si>
  <si>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</si>
  <si>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</si>
  <si>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</si>
  <si>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</si>
  <si>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</si>
  <si>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</si>
  <si>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</si>
  <si>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</si>
  <si>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</si>
  <si>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</si>
  <si>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</si>
  <si>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</si>
  <si>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</si>
  <si>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</si>
  <si>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</si>
  <si>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</si>
  <si>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</si>
  <si>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</si>
  <si>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</si>
  <si>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</si>
  <si>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</si>
  <si>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</si>
  <si>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</si>
  <si>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</si>
  <si>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</si>
  <si>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</si>
  <si>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</si>
  <si>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</si>
  <si>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</si>
  <si>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</si>
  <si>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</si>
  <si>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</si>
  <si>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</si>
  <si>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</si>
  <si>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</si>
  <si>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</si>
  <si>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</si>
  <si>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</si>
  <si>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</si>
  <si>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</si>
  <si>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</si>
  <si>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</si>
  <si>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</si>
  <si>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</si>
  <si>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</si>
  <si>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</si>
  <si>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</si>
  <si>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</si>
  <si>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</si>
  <si>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</si>
  <si>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</si>
  <si>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</si>
  <si>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</si>
  <si>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</si>
  <si>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</si>
  <si>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</si>
  <si>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</si>
  <si>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</si>
  <si>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</si>
  <si>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</si>
  <si>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</si>
  <si>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</si>
  <si>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</si>
  <si>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</si>
  <si>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</si>
  <si>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</si>
  <si>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</si>
  <si>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</si>
  <si>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</si>
  <si>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</si>
  <si>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</si>
  <si>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</si>
  <si>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</si>
  <si>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</si>
  <si>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</si>
  <si>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</si>
  <si>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</si>
  <si>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</si>
  <si>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</si>
  <si>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</si>
  <si>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</si>
  <si>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</si>
  <si>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</si>
  <si>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</si>
  <si>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</si>
  <si>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</si>
  <si>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</si>
  <si>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</si>
  <si>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</si>
  <si>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</si>
  <si>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</si>
  <si>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</si>
  <si>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</si>
  <si>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</si>
  <si>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</si>
  <si>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</si>
  <si>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</si>
  <si>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</si>
  <si>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</si>
  <si>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</si>
  <si>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</si>
  <si>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</si>
  <si>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</si>
  <si>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</si>
  <si>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</si>
  <si>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</si>
  <si>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</si>
  <si>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</si>
  <si>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</si>
  <si>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</si>
  <si>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</si>
  <si>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</si>
  <si>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</si>
  <si>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</si>
  <si>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</si>
  <si>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</si>
  <si>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</si>
  <si>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</si>
  <si>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(1) En aplicación de la NIC 29 "Información en economías hiperinflacionarias", la conversión de la cuenta de resultados de Argentina se hace empleando el tipo de cambio final.</t>
  </si>
  <si>
    <t xml:space="preserve">(1) According to IAS 29 "Financial information in hyperinflationary economies", the year-end exchange rate is used for the conversion of the Argentina income statement. </t>
  </si>
  <si>
    <t>(1)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</si>
  <si>
    <t>(1) Incluye 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</si>
  <si>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</si>
  <si>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t>
  </si>
  <si>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</sst>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5">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79" fillId="0" borderId="8" applyNumberFormat="0" applyFill="0" applyAlignment="0" applyProtection="0"/>
    <xf numFmtId="0" fontId="90" fillId="0" borderId="9" applyNumberFormat="0" applyFill="0" applyAlignment="0" applyProtection="0"/>
  </cellStyleXfs>
  <cellXfs count="310">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1"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2"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3"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3"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4" fillId="33" borderId="0" xfId="0" applyFont="1" applyFill="1" applyBorder="1" applyAlignment="1">
      <alignment horizontal="left" vertical="center"/>
    </xf>
    <xf numFmtId="0" fontId="95" fillId="33" borderId="0" xfId="0" applyFont="1" applyFill="1" applyBorder="1" applyAlignment="1">
      <alignment/>
    </xf>
    <xf numFmtId="0" fontId="96"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7" fillId="0" borderId="0" xfId="0" applyFont="1" applyFill="1" applyBorder="1" applyAlignment="1">
      <alignment horizontal="right" vertical="center"/>
    </xf>
    <xf numFmtId="0" fontId="97"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98" fillId="34" borderId="0" xfId="0" applyNumberFormat="1" applyFont="1" applyFill="1" applyBorder="1" applyAlignment="1">
      <alignment vertical="center"/>
    </xf>
    <xf numFmtId="3" fontId="98" fillId="0" borderId="0" xfId="0" applyNumberFormat="1" applyFont="1" applyFill="1" applyBorder="1" applyAlignment="1">
      <alignment vertical="center"/>
    </xf>
    <xf numFmtId="3" fontId="73" fillId="0" borderId="0" xfId="0" applyNumberFormat="1" applyFont="1" applyFill="1" applyAlignment="1">
      <alignment/>
    </xf>
    <xf numFmtId="3" fontId="16" fillId="0" borderId="0" xfId="0" applyNumberFormat="1" applyFont="1" applyFill="1" applyBorder="1" applyAlignment="1">
      <alignment horizontal="right" vertical="center"/>
    </xf>
    <xf numFmtId="3" fontId="98" fillId="34" borderId="0" xfId="0" applyNumberFormat="1" applyFont="1" applyFill="1" applyBorder="1" applyAlignment="1">
      <alignment horizontal="right" vertical="center"/>
    </xf>
    <xf numFmtId="0" fontId="16" fillId="0" borderId="0" xfId="0" applyFont="1" applyFill="1" applyBorder="1" applyAlignment="1">
      <alignment/>
    </xf>
    <xf numFmtId="164" fontId="97"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99" fillId="0" borderId="0" xfId="0" applyNumberFormat="1" applyFont="1" applyFill="1" applyBorder="1" applyAlignment="1">
      <alignment/>
    </xf>
    <xf numFmtId="3" fontId="17" fillId="0" borderId="0" xfId="0" applyNumberFormat="1" applyFont="1" applyFill="1" applyBorder="1" applyAlignment="1">
      <alignment vertical="center"/>
    </xf>
    <xf numFmtId="3" fontId="100" fillId="0" borderId="0" xfId="0" applyNumberFormat="1" applyFont="1" applyFill="1" applyBorder="1" applyAlignment="1">
      <alignment vertical="center" wrapText="1"/>
    </xf>
    <xf numFmtId="3" fontId="100"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4" fillId="0" borderId="0" xfId="0" applyFont="1" applyFill="1" applyBorder="1" applyAlignment="1">
      <alignment horizontal="left" vertical="center"/>
    </xf>
    <xf numFmtId="0" fontId="95" fillId="0" borderId="0" xfId="0" applyFont="1" applyFill="1" applyBorder="1" applyAlignment="1">
      <alignment/>
    </xf>
    <xf numFmtId="164" fontId="97" fillId="0" borderId="10" xfId="0" applyNumberFormat="1" applyFont="1" applyFill="1" applyBorder="1" applyAlignment="1">
      <alignment horizontal="right" vertical="center"/>
    </xf>
    <xf numFmtId="0" fontId="95" fillId="33" borderId="0" xfId="0" applyFont="1" applyFill="1" applyBorder="1" applyAlignment="1">
      <alignment horizontal="right"/>
    </xf>
    <xf numFmtId="0" fontId="15" fillId="0" borderId="0" xfId="0" applyFont="1" applyFill="1" applyBorder="1" applyAlignment="1">
      <alignment horizontal="right"/>
    </xf>
    <xf numFmtId="3" fontId="98" fillId="34" borderId="10" xfId="0" applyNumberFormat="1" applyFont="1" applyFill="1" applyBorder="1" applyAlignment="1">
      <alignment vertical="center"/>
    </xf>
    <xf numFmtId="0" fontId="95"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97" fillId="0" borderId="0" xfId="0" applyNumberFormat="1" applyFont="1" applyFill="1" applyBorder="1" applyAlignment="1">
      <alignment vertical="center"/>
    </xf>
    <xf numFmtId="3" fontId="15" fillId="0" borderId="0" xfId="0" applyNumberFormat="1" applyFont="1" applyFill="1" applyBorder="1" applyAlignment="1">
      <alignment/>
    </xf>
    <xf numFmtId="0" fontId="95" fillId="0" borderId="0" xfId="0" applyFont="1" applyFill="1" applyBorder="1" applyAlignment="1">
      <alignment/>
    </xf>
    <xf numFmtId="0" fontId="15" fillId="0" borderId="0" xfId="0" applyFont="1" applyFill="1" applyBorder="1" applyAlignment="1">
      <alignment/>
    </xf>
    <xf numFmtId="3" fontId="98" fillId="34" borderId="10" xfId="0" applyNumberFormat="1" applyFont="1" applyFill="1" applyBorder="1" applyAlignment="1">
      <alignment horizontal="right" vertical="center"/>
    </xf>
    <xf numFmtId="0" fontId="95"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6" fillId="0" borderId="0" xfId="0" applyFont="1" applyFill="1" applyBorder="1" applyAlignment="1" quotePrefix="1">
      <alignment horizontal="left" vertical="center"/>
    </xf>
    <xf numFmtId="0" fontId="97" fillId="0" borderId="0" xfId="0" applyFont="1" applyFill="1" applyBorder="1" applyAlignment="1" quotePrefix="1">
      <alignment horizontal="right" vertical="center"/>
    </xf>
    <xf numFmtId="0" fontId="97"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98"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4" fillId="33" borderId="0" xfId="0" applyFont="1" applyFill="1" applyBorder="1" applyAlignment="1" quotePrefix="1">
      <alignment horizontal="left" vertical="center"/>
    </xf>
    <xf numFmtId="0" fontId="0" fillId="0" borderId="0" xfId="0" applyFill="1" applyBorder="1" applyAlignment="1">
      <alignment horizontal="right"/>
    </xf>
    <xf numFmtId="0" fontId="94" fillId="33" borderId="0" xfId="0" applyFont="1" applyFill="1" applyAlignment="1">
      <alignment horizontal="left" vertical="center"/>
    </xf>
    <xf numFmtId="0" fontId="95" fillId="33" borderId="0" xfId="59" applyFont="1" applyFill="1">
      <alignment/>
      <protection/>
    </xf>
    <xf numFmtId="0" fontId="20" fillId="0" borderId="0" xfId="59" applyFont="1">
      <alignment/>
      <protection/>
    </xf>
    <xf numFmtId="0" fontId="96"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97"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1"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2" fillId="33" borderId="0" xfId="60" applyFont="1" applyFill="1" applyAlignment="1">
      <alignment horizontal="left" vertical="center"/>
      <protection/>
    </xf>
    <xf numFmtId="0" fontId="6" fillId="0" borderId="0" xfId="59" applyFont="1">
      <alignment/>
      <protection/>
    </xf>
    <xf numFmtId="164" fontId="97"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5" fillId="33" borderId="0" xfId="59" applyFont="1" applyFill="1" applyBorder="1">
      <alignment/>
      <protection/>
    </xf>
    <xf numFmtId="167" fontId="95"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5" fillId="33" borderId="0" xfId="0" applyNumberFormat="1" applyFont="1" applyFill="1" applyBorder="1" applyAlignment="1">
      <alignment/>
    </xf>
    <xf numFmtId="0" fontId="95"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99"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6"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3" fillId="0" borderId="0" xfId="59" applyFont="1" applyFill="1">
      <alignment/>
      <protection/>
    </xf>
    <xf numFmtId="3" fontId="103" fillId="0" borderId="0" xfId="0" applyNumberFormat="1" applyFont="1" applyFill="1" applyAlignment="1">
      <alignment/>
    </xf>
    <xf numFmtId="164" fontId="97" fillId="0" borderId="0" xfId="0" applyNumberFormat="1" applyFont="1" applyFill="1" applyBorder="1" applyAlignment="1">
      <alignment horizontal="center" vertical="center"/>
    </xf>
    <xf numFmtId="1" fontId="97" fillId="0" borderId="0" xfId="0" applyNumberFormat="1" applyFont="1" applyFill="1" applyBorder="1" applyAlignment="1">
      <alignment vertical="center"/>
    </xf>
    <xf numFmtId="164" fontId="97" fillId="0" borderId="11" xfId="0" applyNumberFormat="1" applyFont="1" applyFill="1" applyBorder="1" applyAlignment="1">
      <alignment horizontal="center" vertical="center"/>
    </xf>
    <xf numFmtId="0" fontId="103" fillId="0" borderId="11" xfId="59" applyFont="1" applyFill="1" applyBorder="1">
      <alignment/>
      <protection/>
    </xf>
    <xf numFmtId="3" fontId="103" fillId="0" borderId="11" xfId="0" applyNumberFormat="1" applyFont="1" applyFill="1" applyBorder="1" applyAlignment="1">
      <alignment/>
    </xf>
    <xf numFmtId="164" fontId="97"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4" fillId="33" borderId="0" xfId="60" applyFont="1" applyFill="1" applyBorder="1" applyAlignment="1">
      <alignment horizontal="left" vertical="center"/>
      <protection/>
    </xf>
    <xf numFmtId="0" fontId="6" fillId="0" borderId="0" xfId="54">
      <alignment/>
      <protection/>
    </xf>
    <xf numFmtId="0" fontId="96"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7"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97" fillId="0" borderId="11" xfId="0" applyNumberFormat="1" applyFont="1" applyFill="1" applyBorder="1" applyAlignment="1">
      <alignment horizontal="right" vertical="center"/>
    </xf>
    <xf numFmtId="0" fontId="105" fillId="0" borderId="0" xfId="0" applyFont="1" applyAlignment="1">
      <alignment horizontal="center"/>
    </xf>
    <xf numFmtId="3" fontId="16" fillId="0" borderId="0" xfId="0" applyNumberFormat="1" applyFont="1" applyFill="1" applyBorder="1" applyAlignment="1">
      <alignment horizontal="right"/>
    </xf>
    <xf numFmtId="170" fontId="105"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4" fillId="33" borderId="0" xfId="57" applyFont="1" applyFill="1" applyAlignment="1">
      <alignment horizontal="left" vertical="center"/>
      <protection/>
    </xf>
    <xf numFmtId="0" fontId="106"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6" fillId="36" borderId="0" xfId="0" applyFont="1" applyFill="1" applyBorder="1" applyAlignment="1">
      <alignment horizontal="left" vertical="center"/>
    </xf>
    <xf numFmtId="0" fontId="96"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07"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08" fillId="0" borderId="0" xfId="57" applyFont="1">
      <alignment/>
      <protection/>
    </xf>
    <xf numFmtId="10" fontId="25" fillId="0" borderId="0" xfId="63" applyNumberFormat="1" applyFont="1" applyFill="1" applyAlignment="1">
      <alignment/>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09" fillId="0" borderId="0" xfId="0" applyFont="1" applyAlignment="1">
      <alignment/>
    </xf>
    <xf numFmtId="0" fontId="110" fillId="0" borderId="0" xfId="61" applyFont="1" applyFill="1" applyBorder="1" applyAlignment="1" applyProtection="1">
      <alignment horizontal="left"/>
      <protection hidden="1" locked="0"/>
    </xf>
    <xf numFmtId="0" fontId="110"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1" fillId="0" borderId="11" xfId="0" applyFont="1" applyFill="1" applyBorder="1" applyAlignment="1">
      <alignment vertical="center"/>
    </xf>
    <xf numFmtId="164" fontId="97" fillId="0" borderId="0" xfId="0" applyNumberFormat="1" applyFont="1" applyFill="1" applyBorder="1" applyAlignment="1">
      <alignment horizontal="left" vertical="center"/>
    </xf>
    <xf numFmtId="0" fontId="93"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4"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5" fillId="33" borderId="0" xfId="54" applyFont="1" applyFill="1" applyBorder="1">
      <alignment/>
      <protection/>
    </xf>
    <xf numFmtId="3" fontId="17" fillId="0" borderId="0" xfId="54" applyNumberFormat="1" applyFont="1" applyFill="1" applyBorder="1" applyAlignment="1">
      <alignment vertical="center"/>
      <protection/>
    </xf>
    <xf numFmtId="3" fontId="25" fillId="0" borderId="0" xfId="57" applyNumberFormat="1" applyFont="1" applyFill="1" applyAlignment="1">
      <alignment horizontal="right"/>
      <protection/>
    </xf>
    <xf numFmtId="0" fontId="94"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99"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6" fontId="69"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98"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5" fillId="0" borderId="13" xfId="0" applyNumberFormat="1" applyFont="1" applyFill="1" applyBorder="1" applyAlignment="1">
      <alignment horizontal="right"/>
    </xf>
    <xf numFmtId="3" fontId="3" fillId="0" borderId="0" xfId="58" applyNumberFormat="1" applyFont="1">
      <alignment/>
      <protection/>
    </xf>
    <xf numFmtId="1" fontId="99"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2" fillId="0" borderId="0" xfId="0" applyFont="1" applyAlignment="1">
      <alignment/>
    </xf>
    <xf numFmtId="3" fontId="17" fillId="0" borderId="0" xfId="0" applyNumberFormat="1" applyFont="1" applyFill="1" applyBorder="1" applyAlignment="1">
      <alignment vertical="top" wrapText="1"/>
    </xf>
    <xf numFmtId="9" fontId="69" fillId="0" borderId="0" xfId="63" applyFont="1" applyFill="1" applyAlignment="1">
      <alignment/>
    </xf>
    <xf numFmtId="3" fontId="15" fillId="0" borderId="0" xfId="0" applyNumberFormat="1" applyFont="1" applyFill="1" applyAlignment="1">
      <alignment horizontal="left" vertical="center"/>
    </xf>
    <xf numFmtId="3" fontId="99" fillId="0" borderId="0" xfId="0" applyNumberFormat="1" applyFont="1" applyFill="1" applyBorder="1" applyAlignment="1">
      <alignment horizontal="right"/>
    </xf>
    <xf numFmtId="0" fontId="113" fillId="0" borderId="0" xfId="0" applyFont="1" applyAlignment="1">
      <alignment/>
    </xf>
    <xf numFmtId="0" fontId="0" fillId="0" borderId="0" xfId="57" applyFont="1" applyAlignment="1">
      <alignment horizontal="right"/>
      <protection/>
    </xf>
    <xf numFmtId="10" fontId="0" fillId="0" borderId="0" xfId="63" applyNumberFormat="1" applyFont="1" applyFill="1" applyAlignment="1">
      <alignment/>
    </xf>
    <xf numFmtId="10" fontId="0" fillId="0" borderId="0" xfId="64" applyNumberFormat="1" applyFont="1" applyAlignment="1">
      <alignment/>
    </xf>
    <xf numFmtId="167" fontId="0" fillId="0" borderId="0" xfId="63" applyNumberFormat="1" applyFont="1" applyAlignment="1">
      <alignment/>
    </xf>
    <xf numFmtId="0" fontId="0" fillId="0" borderId="0" xfId="57" applyFont="1" applyAlignment="1">
      <alignment horizontal="right"/>
      <protection/>
    </xf>
    <xf numFmtId="0" fontId="0" fillId="0" borderId="0" xfId="57" applyFont="1">
      <alignment/>
      <protection/>
    </xf>
    <xf numFmtId="3" fontId="17" fillId="0" borderId="0" xfId="0" applyNumberFormat="1" applyFont="1" applyFill="1" applyBorder="1" applyAlignment="1">
      <alignment horizontal="left" vertical="top" wrapText="1"/>
    </xf>
    <xf numFmtId="0" fontId="97" fillId="0" borderId="0" xfId="0" applyFont="1" applyFill="1" applyBorder="1" applyAlignment="1">
      <alignment horizontal="center" wrapText="1"/>
    </xf>
    <xf numFmtId="0" fontId="97" fillId="0" borderId="10" xfId="0" applyFont="1" applyFill="1" applyBorder="1" applyAlignment="1">
      <alignment horizontal="center" wrapText="1"/>
    </xf>
    <xf numFmtId="0" fontId="97" fillId="0" borderId="13" xfId="0" applyFont="1" applyFill="1" applyBorder="1" applyAlignment="1">
      <alignment horizontal="center" wrapText="1"/>
    </xf>
    <xf numFmtId="0" fontId="97" fillId="0" borderId="0" xfId="0" applyFont="1" applyFill="1" applyBorder="1" applyAlignment="1">
      <alignment horizontal="center" vertical="center"/>
    </xf>
    <xf numFmtId="0" fontId="97" fillId="0" borderId="0" xfId="54" applyFont="1" applyFill="1" applyBorder="1" applyAlignment="1">
      <alignment horizontal="center" wrapText="1"/>
      <protection/>
    </xf>
    <xf numFmtId="0" fontId="114" fillId="0" borderId="0" xfId="54" applyFont="1" applyFill="1" applyBorder="1" applyAlignment="1">
      <alignment horizontal="center"/>
      <protection/>
    </xf>
    <xf numFmtId="0" fontId="111" fillId="0" borderId="11" xfId="0" applyFont="1" applyFill="1" applyBorder="1" applyAlignment="1">
      <alignment horizontal="center" vertical="center"/>
    </xf>
    <xf numFmtId="0" fontId="97" fillId="0" borderId="0" xfId="57" applyFont="1" applyFill="1" applyAlignment="1">
      <alignment horizontal="center" vertical="center" wrapText="1"/>
      <protection/>
    </xf>
    <xf numFmtId="0" fontId="97"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2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b val="0"/>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8"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6"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76200</xdr:rowOff>
    </xdr:to>
    <xdr:sp>
      <xdr:nvSpPr>
        <xdr:cNvPr id="1" name="2 Rectángulo redondeado">
          <a:hlinkClick r:id="rId1"/>
        </xdr:cNvPr>
        <xdr:cNvSpPr>
          <a:spLocks/>
        </xdr:cNvSpPr>
      </xdr:nvSpPr>
      <xdr:spPr>
        <a:xfrm>
          <a:off x="8315325" y="32385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628650</xdr:colOff>
      <xdr:row>5</xdr:row>
      <xdr:rowOff>76200</xdr:rowOff>
    </xdr:to>
    <xdr:sp>
      <xdr:nvSpPr>
        <xdr:cNvPr id="1" name="2 Rectángulo redondeado">
          <a:hlinkClick r:id="rId1"/>
        </xdr:cNvPr>
        <xdr:cNvSpPr>
          <a:spLocks/>
        </xdr:cNvSpPr>
      </xdr:nvSpPr>
      <xdr:spPr>
        <a:xfrm>
          <a:off x="8115300" y="32385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xdr:row>
      <xdr:rowOff>238125</xdr:rowOff>
    </xdr:from>
    <xdr:to>
      <xdr:col>10</xdr:col>
      <xdr:colOff>590550</xdr:colOff>
      <xdr:row>6</xdr:row>
      <xdr:rowOff>9525</xdr:rowOff>
    </xdr:to>
    <xdr:sp>
      <xdr:nvSpPr>
        <xdr:cNvPr id="1" name="2 Rectángulo redondeado">
          <a:hlinkClick r:id="rId1"/>
        </xdr:cNvPr>
        <xdr:cNvSpPr>
          <a:spLocks/>
        </xdr:cNvSpPr>
      </xdr:nvSpPr>
      <xdr:spPr>
        <a:xfrm>
          <a:off x="8086725" y="447675"/>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66675</xdr:rowOff>
    </xdr:to>
    <xdr:sp>
      <xdr:nvSpPr>
        <xdr:cNvPr id="1" name="2 Rectángulo redondeado">
          <a:hlinkClick r:id="rId1"/>
        </xdr:cNvPr>
        <xdr:cNvSpPr>
          <a:spLocks/>
        </xdr:cNvSpPr>
      </xdr:nvSpPr>
      <xdr:spPr>
        <a:xfrm>
          <a:off x="10267950" y="504825"/>
          <a:ext cx="1238250"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114300</xdr:rowOff>
    </xdr:from>
    <xdr:to>
      <xdr:col>10</xdr:col>
      <xdr:colOff>742950</xdr:colOff>
      <xdr:row>5</xdr:row>
      <xdr:rowOff>104775</xdr:rowOff>
    </xdr:to>
    <xdr:sp>
      <xdr:nvSpPr>
        <xdr:cNvPr id="1" name="2 Rectángulo redondeado">
          <a:hlinkClick r:id="rId1"/>
        </xdr:cNvPr>
        <xdr:cNvSpPr>
          <a:spLocks/>
        </xdr:cNvSpPr>
      </xdr:nvSpPr>
      <xdr:spPr>
        <a:xfrm>
          <a:off x="8229600" y="323850"/>
          <a:ext cx="1219200"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104775</xdr:rowOff>
    </xdr:from>
    <xdr:to>
      <xdr:col>10</xdr:col>
      <xdr:colOff>609600</xdr:colOff>
      <xdr:row>4</xdr:row>
      <xdr:rowOff>47625</xdr:rowOff>
    </xdr:to>
    <xdr:sp>
      <xdr:nvSpPr>
        <xdr:cNvPr id="1" name="2 Rectángulo redondeado">
          <a:hlinkClick r:id="rId1"/>
        </xdr:cNvPr>
        <xdr:cNvSpPr>
          <a:spLocks/>
        </xdr:cNvSpPr>
      </xdr:nvSpPr>
      <xdr:spPr>
        <a:xfrm>
          <a:off x="6562725" y="104775"/>
          <a:ext cx="933450"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70961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466725</xdr:colOff>
      <xdr:row>4</xdr:row>
      <xdr:rowOff>76200</xdr:rowOff>
    </xdr:to>
    <xdr:sp>
      <xdr:nvSpPr>
        <xdr:cNvPr id="1" name="2 Rectángulo redondeado">
          <a:hlinkClick r:id="rId1"/>
        </xdr:cNvPr>
        <xdr:cNvSpPr>
          <a:spLocks/>
        </xdr:cNvSpPr>
      </xdr:nvSpPr>
      <xdr:spPr>
        <a:xfrm>
          <a:off x="7677150" y="247650"/>
          <a:ext cx="962025" cy="6096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628650</xdr:colOff>
      <xdr:row>3</xdr:row>
      <xdr:rowOff>114300</xdr:rowOff>
    </xdr:to>
    <xdr:sp>
      <xdr:nvSpPr>
        <xdr:cNvPr id="1" name="2 Rectángulo redondeado">
          <a:hlinkClick r:id="rId1"/>
        </xdr:cNvPr>
        <xdr:cNvSpPr>
          <a:spLocks/>
        </xdr:cNvSpPr>
      </xdr:nvSpPr>
      <xdr:spPr>
        <a:xfrm>
          <a:off x="5829300" y="304800"/>
          <a:ext cx="962025" cy="6286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5953125" y="352425"/>
          <a:ext cx="88582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1115675" y="247650"/>
          <a:ext cx="12477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15375" y="180975"/>
          <a:ext cx="1066800"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142875</xdr:rowOff>
    </xdr:from>
    <xdr:to>
      <xdr:col>11</xdr:col>
      <xdr:colOff>57150</xdr:colOff>
      <xdr:row>4</xdr:row>
      <xdr:rowOff>66675</xdr:rowOff>
    </xdr:to>
    <xdr:sp>
      <xdr:nvSpPr>
        <xdr:cNvPr id="1" name="2 Rectángulo redondeado">
          <a:hlinkClick r:id="rId1"/>
        </xdr:cNvPr>
        <xdr:cNvSpPr>
          <a:spLocks/>
        </xdr:cNvSpPr>
      </xdr:nvSpPr>
      <xdr:spPr>
        <a:xfrm>
          <a:off x="7038975" y="352425"/>
          <a:ext cx="895350" cy="4857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38100</xdr:rowOff>
    </xdr:from>
    <xdr:to>
      <xdr:col>11</xdr:col>
      <xdr:colOff>1114425</xdr:colOff>
      <xdr:row>4</xdr:row>
      <xdr:rowOff>152400</xdr:rowOff>
    </xdr:to>
    <xdr:sp>
      <xdr:nvSpPr>
        <xdr:cNvPr id="1" name="1 Rectángulo redondeado">
          <a:hlinkClick r:id="rId1"/>
        </xdr:cNvPr>
        <xdr:cNvSpPr>
          <a:spLocks/>
        </xdr:cNvSpPr>
      </xdr:nvSpPr>
      <xdr:spPr>
        <a:xfrm>
          <a:off x="6772275" y="247650"/>
          <a:ext cx="1352550" cy="6762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6505575" y="257175"/>
          <a:ext cx="96202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9620250" y="561975"/>
          <a:ext cx="1200150"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8458200" y="571500"/>
          <a:ext cx="120015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142875</xdr:rowOff>
    </xdr:from>
    <xdr:to>
      <xdr:col>10</xdr:col>
      <xdr:colOff>628650</xdr:colOff>
      <xdr:row>6</xdr:row>
      <xdr:rowOff>133350</xdr:rowOff>
    </xdr:to>
    <xdr:sp>
      <xdr:nvSpPr>
        <xdr:cNvPr id="1" name="2 Rectángulo redondeado">
          <a:hlinkClick r:id="rId1"/>
        </xdr:cNvPr>
        <xdr:cNvSpPr>
          <a:spLocks/>
        </xdr:cNvSpPr>
      </xdr:nvSpPr>
      <xdr:spPr>
        <a:xfrm>
          <a:off x="8096250" y="600075"/>
          <a:ext cx="1238250" cy="7429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8305800" y="533400"/>
          <a:ext cx="119062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8305800" y="466725"/>
          <a:ext cx="120015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8201025" y="49530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8372475" y="419100"/>
          <a:ext cx="1200150"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G6" sqref="G6"/>
    </sheetView>
  </sheetViews>
  <sheetFormatPr defaultColWidth="11.421875" defaultRowHeight="15"/>
  <cols>
    <col min="2" max="2" width="6.421875" style="0" customWidth="1"/>
    <col min="3" max="3" width="107.421875" style="0" customWidth="1"/>
    <col min="4" max="4" width="54.421875" style="0" customWidth="1"/>
  </cols>
  <sheetData>
    <row r="1" spans="1:4" ht="14.25">
      <c r="A1" s="230"/>
      <c r="B1" s="230"/>
      <c r="C1" s="231"/>
      <c r="D1" s="231"/>
    </row>
    <row r="2" spans="1:4" ht="14.25">
      <c r="A2" s="230"/>
      <c r="B2" s="230" t="s">
        <v>12</v>
      </c>
      <c r="C2" s="231" t="s">
        <v>13</v>
      </c>
      <c r="D2" s="231" t="s">
        <v>14</v>
      </c>
    </row>
    <row r="3" spans="1:9" ht="19.5">
      <c r="A3" s="230"/>
      <c r="B3" s="230">
        <v>1</v>
      </c>
      <c r="C3" s="232">
        <v>7</v>
      </c>
      <c r="D3" s="232">
        <v>8</v>
      </c>
      <c r="I3" s="233" t="s">
        <v>0</v>
      </c>
    </row>
    <row r="4" spans="2:9" ht="19.5">
      <c r="B4">
        <v>2</v>
      </c>
      <c r="C4" s="234" t="s">
        <v>530</v>
      </c>
      <c r="D4" s="234" t="s">
        <v>531</v>
      </c>
      <c r="I4" s="233" t="s">
        <v>15</v>
      </c>
    </row>
    <row r="5" spans="2:9" ht="19.5">
      <c r="B5">
        <v>3</v>
      </c>
      <c r="C5" s="234" t="s">
        <v>16</v>
      </c>
      <c r="D5" s="234" t="s">
        <v>17</v>
      </c>
      <c r="I5" s="233" t="s">
        <v>18</v>
      </c>
    </row>
    <row r="6" spans="2:4" ht="15">
      <c r="B6">
        <v>4</v>
      </c>
      <c r="C6" s="234" t="s">
        <v>19</v>
      </c>
      <c r="D6" s="234" t="s">
        <v>20</v>
      </c>
    </row>
    <row r="7" spans="2:4" ht="15">
      <c r="B7">
        <v>5</v>
      </c>
      <c r="C7" s="234" t="s">
        <v>21</v>
      </c>
      <c r="D7" s="234" t="s">
        <v>22</v>
      </c>
    </row>
    <row r="8" spans="2:4" ht="15">
      <c r="B8">
        <v>6</v>
      </c>
      <c r="C8" s="234" t="s">
        <v>23</v>
      </c>
      <c r="D8" s="234" t="s">
        <v>24</v>
      </c>
    </row>
    <row r="9" spans="2:4" ht="15">
      <c r="B9">
        <v>7</v>
      </c>
      <c r="C9" s="234" t="s">
        <v>25</v>
      </c>
      <c r="D9" s="234" t="s">
        <v>26</v>
      </c>
    </row>
    <row r="10" spans="2:4" ht="15">
      <c r="B10">
        <v>8</v>
      </c>
      <c r="C10" s="234" t="s">
        <v>27</v>
      </c>
      <c r="D10" s="234" t="s">
        <v>28</v>
      </c>
    </row>
    <row r="11" spans="2:4" ht="15">
      <c r="B11">
        <v>9</v>
      </c>
      <c r="C11" s="234" t="s">
        <v>29</v>
      </c>
      <c r="D11" s="234" t="s">
        <v>29</v>
      </c>
    </row>
    <row r="12" spans="2:4" ht="15">
      <c r="B12">
        <v>10</v>
      </c>
      <c r="C12" s="235" t="s">
        <v>30</v>
      </c>
      <c r="D12" s="235" t="s">
        <v>31</v>
      </c>
    </row>
    <row r="13" spans="2:4" ht="15">
      <c r="B13">
        <v>11</v>
      </c>
      <c r="C13" s="235" t="s">
        <v>32</v>
      </c>
      <c r="D13" s="235" t="s">
        <v>33</v>
      </c>
    </row>
    <row r="14" spans="2:4" ht="15">
      <c r="B14">
        <v>12</v>
      </c>
      <c r="C14" s="235" t="s">
        <v>34</v>
      </c>
      <c r="D14" s="235" t="s">
        <v>35</v>
      </c>
    </row>
    <row r="15" spans="2:4" ht="15">
      <c r="B15">
        <v>13</v>
      </c>
      <c r="C15" s="235" t="s">
        <v>36</v>
      </c>
      <c r="D15" s="235" t="s">
        <v>37</v>
      </c>
    </row>
    <row r="16" spans="2:4" ht="15">
      <c r="B16">
        <v>14</v>
      </c>
      <c r="C16" s="235" t="s">
        <v>7</v>
      </c>
      <c r="D16" s="235" t="s">
        <v>7</v>
      </c>
    </row>
    <row r="17" spans="2:4" ht="15">
      <c r="B17">
        <v>15</v>
      </c>
      <c r="C17" s="235" t="s">
        <v>8</v>
      </c>
      <c r="D17" s="235" t="s">
        <v>8</v>
      </c>
    </row>
    <row r="18" spans="2:4" ht="15">
      <c r="B18">
        <v>16</v>
      </c>
      <c r="C18" s="235" t="s">
        <v>9</v>
      </c>
      <c r="D18" s="235" t="s">
        <v>9</v>
      </c>
    </row>
    <row r="19" spans="2:4" ht="15">
      <c r="B19">
        <v>17</v>
      </c>
      <c r="C19" s="235" t="s">
        <v>10</v>
      </c>
      <c r="D19" s="235" t="s">
        <v>38</v>
      </c>
    </row>
    <row r="20" spans="2:4" ht="15">
      <c r="B20">
        <v>18</v>
      </c>
      <c r="C20" s="235" t="s">
        <v>39</v>
      </c>
      <c r="D20" s="235" t="s">
        <v>40</v>
      </c>
    </row>
    <row r="21" spans="2:4" ht="15">
      <c r="B21">
        <v>19</v>
      </c>
      <c r="C21" s="235" t="s">
        <v>41</v>
      </c>
      <c r="D21" s="235" t="s">
        <v>42</v>
      </c>
    </row>
    <row r="22" spans="2:4" ht="15">
      <c r="B22">
        <v>20</v>
      </c>
      <c r="C22" s="235" t="s">
        <v>43</v>
      </c>
      <c r="D22" s="235" t="s">
        <v>44</v>
      </c>
    </row>
    <row r="23" spans="2:4" ht="15">
      <c r="B23">
        <v>21</v>
      </c>
      <c r="C23" s="235" t="s">
        <v>45</v>
      </c>
      <c r="D23" s="235" t="s">
        <v>45</v>
      </c>
    </row>
    <row r="24" spans="2:4" ht="15">
      <c r="B24">
        <v>22</v>
      </c>
      <c r="C24" s="235" t="s">
        <v>46</v>
      </c>
      <c r="D24" s="235" t="s">
        <v>47</v>
      </c>
    </row>
    <row r="25" spans="2:4" ht="15">
      <c r="B25">
        <v>23</v>
      </c>
      <c r="C25" s="235" t="s">
        <v>48</v>
      </c>
      <c r="D25" s="235" t="s">
        <v>49</v>
      </c>
    </row>
    <row r="26" spans="2:4" ht="15">
      <c r="B26">
        <v>24</v>
      </c>
      <c r="C26" s="235" t="s">
        <v>50</v>
      </c>
      <c r="D26" s="235" t="s">
        <v>51</v>
      </c>
    </row>
    <row r="27" spans="2:4" ht="15">
      <c r="B27">
        <v>25</v>
      </c>
      <c r="C27" s="235" t="s">
        <v>52</v>
      </c>
      <c r="D27" s="235" t="s">
        <v>53</v>
      </c>
    </row>
    <row r="28" spans="2:4" ht="15">
      <c r="B28">
        <v>26</v>
      </c>
      <c r="C28" s="235" t="s">
        <v>54</v>
      </c>
      <c r="D28" s="235" t="s">
        <v>55</v>
      </c>
    </row>
    <row r="29" spans="2:4" ht="15">
      <c r="B29">
        <v>27</v>
      </c>
      <c r="C29" s="235" t="s">
        <v>56</v>
      </c>
      <c r="D29" s="235" t="s">
        <v>57</v>
      </c>
    </row>
    <row r="30" spans="2:4" ht="15">
      <c r="B30">
        <v>28</v>
      </c>
      <c r="C30" s="235" t="s">
        <v>58</v>
      </c>
      <c r="D30" s="235" t="s">
        <v>59</v>
      </c>
    </row>
    <row r="31" spans="2:4" ht="15">
      <c r="B31">
        <v>29</v>
      </c>
      <c r="C31" s="235" t="s">
        <v>60</v>
      </c>
      <c r="D31" s="235" t="s">
        <v>61</v>
      </c>
    </row>
    <row r="32" spans="2:4" ht="15">
      <c r="B32">
        <v>30</v>
      </c>
      <c r="C32" s="235" t="s">
        <v>62</v>
      </c>
      <c r="D32" s="235" t="s">
        <v>63</v>
      </c>
    </row>
    <row r="33" spans="2:4" ht="15">
      <c r="B33">
        <v>31</v>
      </c>
      <c r="C33" s="235" t="s">
        <v>64</v>
      </c>
      <c r="D33" t="s">
        <v>65</v>
      </c>
    </row>
    <row r="34" spans="2:4" ht="15">
      <c r="B34">
        <v>32</v>
      </c>
      <c r="C34" s="235" t="s">
        <v>66</v>
      </c>
      <c r="D34" t="s">
        <v>67</v>
      </c>
    </row>
    <row r="35" spans="2:4" ht="15">
      <c r="B35">
        <v>33</v>
      </c>
      <c r="C35" s="235" t="s">
        <v>68</v>
      </c>
      <c r="D35" t="s">
        <v>69</v>
      </c>
    </row>
    <row r="36" spans="2:4" ht="15">
      <c r="B36">
        <v>34</v>
      </c>
      <c r="C36" s="235" t="s">
        <v>70</v>
      </c>
      <c r="D36" t="s">
        <v>71</v>
      </c>
    </row>
    <row r="37" spans="2:4" ht="15">
      <c r="B37">
        <v>35</v>
      </c>
      <c r="C37" s="235" t="s">
        <v>72</v>
      </c>
      <c r="D37" t="s">
        <v>73</v>
      </c>
    </row>
    <row r="38" spans="2:4" ht="15">
      <c r="B38">
        <v>36</v>
      </c>
      <c r="C38" s="235" t="s">
        <v>74</v>
      </c>
      <c r="D38" t="s">
        <v>75</v>
      </c>
    </row>
    <row r="39" spans="2:4" ht="15">
      <c r="B39">
        <v>37</v>
      </c>
      <c r="C39" s="235" t="s">
        <v>76</v>
      </c>
      <c r="D39" t="s">
        <v>77</v>
      </c>
    </row>
    <row r="40" spans="2:4" ht="15">
      <c r="B40">
        <v>38</v>
      </c>
      <c r="C40" s="235" t="s">
        <v>78</v>
      </c>
      <c r="D40" t="s">
        <v>79</v>
      </c>
    </row>
    <row r="41" spans="2:4" ht="15">
      <c r="B41">
        <v>39</v>
      </c>
      <c r="C41" s="235" t="s">
        <v>80</v>
      </c>
      <c r="D41" t="s">
        <v>81</v>
      </c>
    </row>
    <row r="42" spans="2:4" ht="15">
      <c r="B42">
        <v>40</v>
      </c>
      <c r="C42" s="235" t="s">
        <v>82</v>
      </c>
      <c r="D42" t="s">
        <v>83</v>
      </c>
    </row>
    <row r="43" spans="2:4" ht="15">
      <c r="B43">
        <v>41</v>
      </c>
      <c r="C43" s="235" t="s">
        <v>84</v>
      </c>
      <c r="D43" t="s">
        <v>85</v>
      </c>
    </row>
    <row r="44" spans="2:4" ht="15">
      <c r="B44">
        <v>42</v>
      </c>
      <c r="C44" s="235" t="s">
        <v>86</v>
      </c>
      <c r="D44" t="s">
        <v>87</v>
      </c>
    </row>
    <row r="45" spans="2:4" ht="15">
      <c r="B45">
        <v>43</v>
      </c>
      <c r="C45" s="235" t="s">
        <v>88</v>
      </c>
      <c r="D45" t="s">
        <v>89</v>
      </c>
    </row>
    <row r="46" spans="2:4" ht="15">
      <c r="B46">
        <v>44</v>
      </c>
      <c r="C46" s="235" t="s">
        <v>90</v>
      </c>
      <c r="D46" t="s">
        <v>91</v>
      </c>
    </row>
    <row r="47" spans="2:4" ht="15">
      <c r="B47">
        <v>45</v>
      </c>
      <c r="C47" s="235" t="s">
        <v>92</v>
      </c>
      <c r="D47" t="s">
        <v>93</v>
      </c>
    </row>
    <row r="48" spans="2:4" ht="15">
      <c r="B48">
        <v>46</v>
      </c>
      <c r="C48" s="235" t="s">
        <v>94</v>
      </c>
      <c r="D48" t="s">
        <v>95</v>
      </c>
    </row>
    <row r="49" spans="2:4" ht="15">
      <c r="B49">
        <v>47</v>
      </c>
      <c r="C49" s="235" t="s">
        <v>96</v>
      </c>
      <c r="D49" t="s">
        <v>97</v>
      </c>
    </row>
    <row r="50" spans="2:4" ht="15">
      <c r="B50">
        <v>48</v>
      </c>
      <c r="C50" s="235" t="s">
        <v>98</v>
      </c>
      <c r="D50" t="s">
        <v>99</v>
      </c>
    </row>
    <row r="51" spans="2:4" ht="15">
      <c r="B51">
        <v>49</v>
      </c>
      <c r="C51" s="235" t="s">
        <v>100</v>
      </c>
      <c r="D51" t="s">
        <v>101</v>
      </c>
    </row>
    <row r="52" spans="2:4" ht="15">
      <c r="B52">
        <v>50</v>
      </c>
      <c r="C52" s="235" t="s">
        <v>102</v>
      </c>
      <c r="D52" t="s">
        <v>103</v>
      </c>
    </row>
    <row r="53" spans="2:4" ht="15">
      <c r="B53">
        <v>51</v>
      </c>
      <c r="C53" s="235" t="s">
        <v>104</v>
      </c>
      <c r="D53" t="s">
        <v>105</v>
      </c>
    </row>
    <row r="54" spans="2:4" ht="15">
      <c r="B54">
        <v>52</v>
      </c>
      <c r="C54" s="235" t="s">
        <v>106</v>
      </c>
      <c r="D54" t="s">
        <v>107</v>
      </c>
    </row>
    <row r="55" spans="2:4" ht="15">
      <c r="B55">
        <v>53</v>
      </c>
      <c r="C55" s="235" t="s">
        <v>108</v>
      </c>
      <c r="D55" t="s">
        <v>109</v>
      </c>
    </row>
    <row r="56" spans="2:4" ht="15">
      <c r="B56">
        <v>54</v>
      </c>
      <c r="C56" s="235" t="s">
        <v>110</v>
      </c>
      <c r="D56" t="s">
        <v>111</v>
      </c>
    </row>
    <row r="57" spans="2:4" ht="15">
      <c r="B57">
        <v>55</v>
      </c>
      <c r="C57" s="235" t="s">
        <v>112</v>
      </c>
      <c r="D57" t="s">
        <v>113</v>
      </c>
    </row>
    <row r="58" spans="2:4" ht="15">
      <c r="B58">
        <v>56</v>
      </c>
      <c r="C58" s="235" t="s">
        <v>114</v>
      </c>
      <c r="D58" t="s">
        <v>115</v>
      </c>
    </row>
    <row r="59" spans="2:4" ht="15">
      <c r="B59">
        <v>57</v>
      </c>
      <c r="C59" s="235" t="s">
        <v>116</v>
      </c>
      <c r="D59" t="s">
        <v>117</v>
      </c>
    </row>
    <row r="60" spans="2:4" ht="15">
      <c r="B60">
        <v>58</v>
      </c>
      <c r="C60" s="235" t="s">
        <v>118</v>
      </c>
      <c r="D60" t="s">
        <v>119</v>
      </c>
    </row>
    <row r="61" spans="2:4" ht="15">
      <c r="B61">
        <v>59</v>
      </c>
      <c r="C61" s="235" t="s">
        <v>120</v>
      </c>
      <c r="D61" t="s">
        <v>121</v>
      </c>
    </row>
    <row r="62" spans="2:4" ht="15">
      <c r="B62">
        <v>60</v>
      </c>
      <c r="C62" s="235" t="s">
        <v>122</v>
      </c>
      <c r="D62" t="s">
        <v>123</v>
      </c>
    </row>
    <row r="63" spans="2:4" ht="15">
      <c r="B63">
        <v>61</v>
      </c>
      <c r="C63" s="235" t="s">
        <v>124</v>
      </c>
      <c r="D63" t="s">
        <v>125</v>
      </c>
    </row>
    <row r="64" spans="2:4" ht="15">
      <c r="B64">
        <v>62</v>
      </c>
      <c r="C64" s="235" t="s">
        <v>126</v>
      </c>
      <c r="D64" t="s">
        <v>127</v>
      </c>
    </row>
    <row r="65" spans="2:4" ht="15">
      <c r="B65">
        <v>63</v>
      </c>
      <c r="C65" s="235" t="s">
        <v>128</v>
      </c>
      <c r="D65" t="s">
        <v>129</v>
      </c>
    </row>
    <row r="66" spans="2:4" ht="15">
      <c r="B66">
        <v>64</v>
      </c>
      <c r="C66" s="235" t="s">
        <v>130</v>
      </c>
      <c r="D66" t="s">
        <v>131</v>
      </c>
    </row>
    <row r="67" spans="2:4" ht="15">
      <c r="B67">
        <v>65</v>
      </c>
      <c r="C67" s="235" t="s">
        <v>132</v>
      </c>
      <c r="D67" t="s">
        <v>133</v>
      </c>
    </row>
    <row r="68" spans="2:4" ht="15">
      <c r="B68">
        <v>66</v>
      </c>
      <c r="C68" s="235" t="s">
        <v>134</v>
      </c>
      <c r="D68" s="59" t="s">
        <v>135</v>
      </c>
    </row>
    <row r="69" spans="2:4" ht="15">
      <c r="B69">
        <v>67</v>
      </c>
      <c r="C69" s="235" t="s">
        <v>136</v>
      </c>
      <c r="D69" s="59" t="s">
        <v>137</v>
      </c>
    </row>
    <row r="70" spans="2:4" ht="15">
      <c r="B70">
        <v>68</v>
      </c>
      <c r="C70" s="235" t="s">
        <v>532</v>
      </c>
      <c r="D70" s="59" t="s">
        <v>533</v>
      </c>
    </row>
    <row r="71" spans="2:4" ht="15">
      <c r="B71">
        <v>69</v>
      </c>
      <c r="C71" s="235" t="s">
        <v>138</v>
      </c>
      <c r="D71" s="59" t="s">
        <v>139</v>
      </c>
    </row>
    <row r="72" spans="2:4" ht="15">
      <c r="B72">
        <v>70</v>
      </c>
      <c r="C72" s="235" t="s">
        <v>140</v>
      </c>
      <c r="D72" s="59" t="s">
        <v>141</v>
      </c>
    </row>
    <row r="73" spans="2:4" ht="15">
      <c r="B73">
        <v>71</v>
      </c>
      <c r="C73" s="235" t="s">
        <v>142</v>
      </c>
      <c r="D73" s="236" t="s">
        <v>143</v>
      </c>
    </row>
    <row r="74" spans="2:4" ht="15">
      <c r="B74">
        <v>72</v>
      </c>
      <c r="C74" s="235" t="s">
        <v>144</v>
      </c>
      <c r="D74" s="236"/>
    </row>
    <row r="75" spans="2:4" ht="15">
      <c r="B75">
        <v>73</v>
      </c>
      <c r="C75" s="235" t="s">
        <v>145</v>
      </c>
      <c r="D75" s="164" t="s">
        <v>146</v>
      </c>
    </row>
    <row r="76" spans="2:4" ht="15">
      <c r="B76">
        <v>74</v>
      </c>
      <c r="C76" s="235" t="s">
        <v>147</v>
      </c>
      <c r="D76" s="164" t="s">
        <v>148</v>
      </c>
    </row>
    <row r="77" spans="2:4" ht="15">
      <c r="B77">
        <v>75</v>
      </c>
      <c r="C77" s="235" t="s">
        <v>149</v>
      </c>
      <c r="D77" s="164" t="s">
        <v>150</v>
      </c>
    </row>
    <row r="78" spans="2:4" ht="15">
      <c r="B78">
        <v>76</v>
      </c>
      <c r="C78" s="235" t="s">
        <v>151</v>
      </c>
      <c r="D78" s="164" t="s">
        <v>152</v>
      </c>
    </row>
    <row r="79" spans="2:4" ht="15">
      <c r="B79">
        <v>77</v>
      </c>
      <c r="C79" s="235" t="s">
        <v>153</v>
      </c>
      <c r="D79" s="164" t="s">
        <v>154</v>
      </c>
    </row>
    <row r="80" spans="2:4" ht="15">
      <c r="B80">
        <v>78</v>
      </c>
      <c r="C80" s="235" t="s">
        <v>155</v>
      </c>
      <c r="D80" s="164" t="s">
        <v>156</v>
      </c>
    </row>
    <row r="81" spans="2:4" ht="15">
      <c r="B81">
        <v>79</v>
      </c>
      <c r="C81" s="235" t="s">
        <v>157</v>
      </c>
      <c r="D81" s="164" t="s">
        <v>158</v>
      </c>
    </row>
    <row r="82" spans="2:4" ht="15">
      <c r="B82">
        <v>80</v>
      </c>
      <c r="C82" s="235" t="s">
        <v>159</v>
      </c>
      <c r="D82" s="164" t="s">
        <v>159</v>
      </c>
    </row>
    <row r="83" spans="2:4" ht="15">
      <c r="B83">
        <v>81</v>
      </c>
      <c r="C83" s="235" t="s">
        <v>160</v>
      </c>
      <c r="D83" s="164" t="s">
        <v>161</v>
      </c>
    </row>
    <row r="84" spans="2:4" ht="14.25">
      <c r="B84">
        <v>82</v>
      </c>
      <c r="C84" t="s">
        <v>162</v>
      </c>
      <c r="D84" t="s">
        <v>163</v>
      </c>
    </row>
    <row r="85" spans="2:4" ht="14.25">
      <c r="B85">
        <v>83</v>
      </c>
      <c r="C85" t="s">
        <v>164</v>
      </c>
      <c r="D85" t="s">
        <v>165</v>
      </c>
    </row>
    <row r="86" spans="2:4" ht="15">
      <c r="B86">
        <v>84</v>
      </c>
      <c r="C86" s="235" t="s">
        <v>166</v>
      </c>
      <c r="D86" t="s">
        <v>167</v>
      </c>
    </row>
    <row r="87" spans="2:4" ht="14.25">
      <c r="B87">
        <v>85</v>
      </c>
      <c r="C87" t="s">
        <v>168</v>
      </c>
      <c r="D87" t="s">
        <v>169</v>
      </c>
    </row>
    <row r="88" spans="2:4" ht="14.25">
      <c r="B88">
        <v>86</v>
      </c>
      <c r="C88" t="s">
        <v>170</v>
      </c>
      <c r="D88" t="s">
        <v>171</v>
      </c>
    </row>
    <row r="89" spans="2:4" ht="14.25">
      <c r="B89">
        <v>87</v>
      </c>
      <c r="C89" t="s">
        <v>412</v>
      </c>
      <c r="D89" t="s">
        <v>413</v>
      </c>
    </row>
    <row r="90" spans="2:4" ht="14.25">
      <c r="B90">
        <v>88</v>
      </c>
      <c r="C90" t="s">
        <v>58</v>
      </c>
      <c r="D90" t="s">
        <v>59</v>
      </c>
    </row>
    <row r="91" spans="2:4" ht="14.25">
      <c r="B91">
        <v>89</v>
      </c>
      <c r="C91" s="237" t="s">
        <v>172</v>
      </c>
      <c r="D91" t="s">
        <v>173</v>
      </c>
    </row>
    <row r="92" spans="2:4" ht="14.25">
      <c r="B92">
        <v>90</v>
      </c>
      <c r="C92" t="s">
        <v>174</v>
      </c>
      <c r="D92" t="s">
        <v>174</v>
      </c>
    </row>
    <row r="93" spans="2:4" ht="14.25">
      <c r="B93">
        <v>91</v>
      </c>
      <c r="C93" t="s">
        <v>175</v>
      </c>
      <c r="D93" t="s">
        <v>176</v>
      </c>
    </row>
    <row r="94" spans="2:4" ht="14.25">
      <c r="B94">
        <v>92</v>
      </c>
      <c r="C94" t="s">
        <v>1</v>
      </c>
      <c r="D94" t="s">
        <v>177</v>
      </c>
    </row>
    <row r="95" spans="2:4" ht="14.25">
      <c r="B95">
        <v>93</v>
      </c>
      <c r="C95" t="s">
        <v>2</v>
      </c>
      <c r="D95" t="s">
        <v>178</v>
      </c>
    </row>
    <row r="96" spans="2:4" ht="14.25">
      <c r="B96">
        <v>94</v>
      </c>
      <c r="C96" t="s">
        <v>3</v>
      </c>
      <c r="D96" t="s">
        <v>179</v>
      </c>
    </row>
    <row r="97" spans="2:4" ht="14.25">
      <c r="B97">
        <v>95</v>
      </c>
      <c r="C97" t="s">
        <v>4</v>
      </c>
      <c r="D97" t="s">
        <v>180</v>
      </c>
    </row>
    <row r="98" spans="2:4" ht="14.25">
      <c r="B98">
        <v>96</v>
      </c>
      <c r="C98" s="238" t="s">
        <v>181</v>
      </c>
      <c r="D98" s="238" t="s">
        <v>182</v>
      </c>
    </row>
    <row r="99" spans="2:4" ht="14.25">
      <c r="B99">
        <v>97</v>
      </c>
      <c r="C99" s="238" t="s">
        <v>183</v>
      </c>
      <c r="D99" s="238" t="s">
        <v>184</v>
      </c>
    </row>
    <row r="100" spans="2:4" ht="14.25">
      <c r="B100">
        <v>98</v>
      </c>
      <c r="C100" s="238" t="s">
        <v>185</v>
      </c>
      <c r="D100" s="238" t="s">
        <v>186</v>
      </c>
    </row>
    <row r="101" spans="2:4" ht="14.25">
      <c r="B101">
        <v>99</v>
      </c>
      <c r="C101" s="238" t="s">
        <v>187</v>
      </c>
      <c r="D101" t="s">
        <v>188</v>
      </c>
    </row>
    <row r="102" spans="2:4" ht="14.25">
      <c r="B102">
        <v>100</v>
      </c>
      <c r="C102" s="238" t="s">
        <v>355</v>
      </c>
      <c r="D102" t="s">
        <v>356</v>
      </c>
    </row>
    <row r="103" spans="2:4" ht="14.25">
      <c r="B103">
        <v>101</v>
      </c>
      <c r="C103" t="s">
        <v>189</v>
      </c>
      <c r="D103" t="s">
        <v>190</v>
      </c>
    </row>
    <row r="104" spans="2:4" ht="15" customHeight="1">
      <c r="B104">
        <v>102</v>
      </c>
      <c r="C104" t="s">
        <v>191</v>
      </c>
      <c r="D104" t="s">
        <v>192</v>
      </c>
    </row>
    <row r="105" spans="2:4" ht="14.25">
      <c r="B105">
        <v>103</v>
      </c>
      <c r="C105" t="s">
        <v>193</v>
      </c>
      <c r="D105" t="s">
        <v>194</v>
      </c>
    </row>
    <row r="106" spans="2:4" ht="14.25">
      <c r="B106">
        <v>104</v>
      </c>
      <c r="C106" t="s">
        <v>195</v>
      </c>
      <c r="D106" t="s">
        <v>196</v>
      </c>
    </row>
    <row r="107" spans="2:4" ht="14.25">
      <c r="B107">
        <v>105</v>
      </c>
      <c r="C107" s="215" t="s">
        <v>197</v>
      </c>
      <c r="D107" t="s">
        <v>198</v>
      </c>
    </row>
    <row r="108" spans="2:4" ht="14.25">
      <c r="B108">
        <v>106</v>
      </c>
      <c r="C108" s="215" t="s">
        <v>199</v>
      </c>
      <c r="D108" t="s">
        <v>200</v>
      </c>
    </row>
    <row r="109" spans="2:4" ht="14.25">
      <c r="B109">
        <v>107</v>
      </c>
      <c r="C109" t="s">
        <v>201</v>
      </c>
      <c r="D109" t="s">
        <v>202</v>
      </c>
    </row>
    <row r="110" spans="2:4" ht="14.25">
      <c r="B110">
        <v>108</v>
      </c>
      <c r="C110" s="215" t="s">
        <v>203</v>
      </c>
      <c r="D110" t="s">
        <v>204</v>
      </c>
    </row>
    <row r="111" spans="2:4" ht="14.25">
      <c r="B111">
        <v>109</v>
      </c>
      <c r="C111" s="215" t="s">
        <v>205</v>
      </c>
      <c r="D111" t="s">
        <v>206</v>
      </c>
    </row>
    <row r="112" spans="2:4" ht="14.25">
      <c r="B112">
        <v>110</v>
      </c>
      <c r="C112" s="215" t="s">
        <v>207</v>
      </c>
      <c r="D112" t="s">
        <v>208</v>
      </c>
    </row>
    <row r="113" spans="2:4" ht="14.25">
      <c r="B113">
        <v>111</v>
      </c>
      <c r="C113" s="215" t="s">
        <v>11</v>
      </c>
      <c r="D113" t="s">
        <v>209</v>
      </c>
    </row>
    <row r="114" spans="2:4" ht="14.25">
      <c r="B114">
        <v>112</v>
      </c>
      <c r="C114" s="217" t="s">
        <v>210</v>
      </c>
      <c r="D114" t="s">
        <v>211</v>
      </c>
    </row>
    <row r="115" spans="2:4" ht="14.25">
      <c r="B115">
        <v>113</v>
      </c>
      <c r="C115" s="217" t="s">
        <v>60</v>
      </c>
      <c r="D115" t="s">
        <v>61</v>
      </c>
    </row>
    <row r="116" spans="2:4" ht="14.25">
      <c r="B116">
        <v>114</v>
      </c>
      <c r="C116" s="215" t="s">
        <v>212</v>
      </c>
      <c r="D116" t="s">
        <v>213</v>
      </c>
    </row>
    <row r="117" spans="2:4" ht="14.25">
      <c r="B117">
        <v>115</v>
      </c>
      <c r="C117" s="215" t="s">
        <v>214</v>
      </c>
      <c r="D117" t="s">
        <v>215</v>
      </c>
    </row>
    <row r="118" spans="2:4" ht="14.25">
      <c r="B118">
        <v>116</v>
      </c>
      <c r="C118" s="215" t="s">
        <v>216</v>
      </c>
      <c r="D118" t="s">
        <v>217</v>
      </c>
    </row>
    <row r="119" spans="2:4" ht="15">
      <c r="B119">
        <v>117</v>
      </c>
      <c r="C119" s="235"/>
      <c r="D119" s="59"/>
    </row>
    <row r="120" spans="2:4" ht="14.25">
      <c r="B120">
        <v>118</v>
      </c>
      <c r="C120" s="210" t="s">
        <v>218</v>
      </c>
      <c r="D120" t="s">
        <v>219</v>
      </c>
    </row>
    <row r="121" spans="2:3" ht="14.25">
      <c r="B121">
        <v>119</v>
      </c>
      <c r="C121" s="227" t="s">
        <v>220</v>
      </c>
    </row>
    <row r="122" spans="2:4" ht="16.5">
      <c r="B122">
        <v>120</v>
      </c>
      <c r="C122" s="206" t="s">
        <v>62</v>
      </c>
      <c r="D122" t="s">
        <v>63</v>
      </c>
    </row>
    <row r="123" spans="2:4" ht="14.25">
      <c r="B123">
        <v>121</v>
      </c>
      <c r="C123" t="s">
        <v>221</v>
      </c>
      <c r="D123" t="s">
        <v>222</v>
      </c>
    </row>
    <row r="124" spans="2:4" ht="14.25">
      <c r="B124">
        <v>122</v>
      </c>
      <c r="C124" t="s">
        <v>223</v>
      </c>
      <c r="D124" t="s">
        <v>222</v>
      </c>
    </row>
    <row r="125" spans="2:4" ht="14.25">
      <c r="B125">
        <v>123</v>
      </c>
      <c r="C125" t="s">
        <v>224</v>
      </c>
      <c r="D125" t="s">
        <v>225</v>
      </c>
    </row>
    <row r="126" spans="2:4" ht="14.25">
      <c r="B126">
        <v>124</v>
      </c>
      <c r="C126" t="s">
        <v>226</v>
      </c>
      <c r="D126" t="s">
        <v>227</v>
      </c>
    </row>
    <row r="127" spans="2:4" ht="14.25">
      <c r="B127">
        <v>125</v>
      </c>
      <c r="C127" t="s">
        <v>228</v>
      </c>
      <c r="D127" t="s">
        <v>229</v>
      </c>
    </row>
    <row r="128" spans="2:4" ht="14.25">
      <c r="B128">
        <v>126</v>
      </c>
      <c r="C128" t="s">
        <v>230</v>
      </c>
      <c r="D128" t="s">
        <v>230</v>
      </c>
    </row>
    <row r="129" spans="2:4" ht="14.25">
      <c r="B129">
        <v>127</v>
      </c>
      <c r="C129" t="s">
        <v>231</v>
      </c>
      <c r="D129" t="s">
        <v>231</v>
      </c>
    </row>
    <row r="130" spans="2:4" ht="14.25">
      <c r="B130">
        <v>128</v>
      </c>
      <c r="C130" t="s">
        <v>232</v>
      </c>
      <c r="D130" t="s">
        <v>232</v>
      </c>
    </row>
    <row r="131" spans="2:4" ht="14.25">
      <c r="B131">
        <v>129</v>
      </c>
      <c r="C131" t="s">
        <v>233</v>
      </c>
      <c r="D131" t="s">
        <v>233</v>
      </c>
    </row>
    <row r="132" spans="2:4" ht="14.25">
      <c r="B132">
        <v>130</v>
      </c>
      <c r="C132" t="s">
        <v>234</v>
      </c>
      <c r="D132" t="s">
        <v>234</v>
      </c>
    </row>
    <row r="133" spans="2:4" ht="14.25">
      <c r="B133">
        <v>131</v>
      </c>
      <c r="C133" s="43" t="s">
        <v>235</v>
      </c>
      <c r="D133" t="s">
        <v>236</v>
      </c>
    </row>
    <row r="134" spans="2:4" ht="14.25">
      <c r="B134">
        <v>132</v>
      </c>
      <c r="C134" s="43" t="s">
        <v>237</v>
      </c>
      <c r="D134" t="s">
        <v>238</v>
      </c>
    </row>
    <row r="135" spans="2:4" ht="14.25">
      <c r="B135">
        <v>133</v>
      </c>
      <c r="C135" s="43" t="s">
        <v>239</v>
      </c>
      <c r="D135" t="s">
        <v>240</v>
      </c>
    </row>
    <row r="136" spans="2:4" ht="14.25">
      <c r="B136">
        <v>134</v>
      </c>
      <c r="C136" s="43" t="s">
        <v>241</v>
      </c>
      <c r="D136" t="s">
        <v>242</v>
      </c>
    </row>
    <row r="137" spans="2:4" ht="14.25">
      <c r="B137">
        <v>135</v>
      </c>
      <c r="C137" s="43" t="s">
        <v>110</v>
      </c>
      <c r="D137" t="s">
        <v>111</v>
      </c>
    </row>
    <row r="138" spans="2:4" ht="14.25">
      <c r="B138">
        <v>136</v>
      </c>
      <c r="C138" s="43" t="s">
        <v>243</v>
      </c>
      <c r="D138" t="s">
        <v>244</v>
      </c>
    </row>
    <row r="139" spans="2:4" ht="14.25">
      <c r="B139">
        <v>137</v>
      </c>
      <c r="C139" s="43" t="s">
        <v>245</v>
      </c>
      <c r="D139" t="s">
        <v>246</v>
      </c>
    </row>
    <row r="140" spans="2:4" ht="14.25">
      <c r="B140">
        <v>138</v>
      </c>
      <c r="C140" s="43" t="s">
        <v>247</v>
      </c>
      <c r="D140" t="s">
        <v>248</v>
      </c>
    </row>
    <row r="141" spans="2:4" ht="14.25">
      <c r="B141">
        <v>139</v>
      </c>
      <c r="C141" s="43" t="s">
        <v>249</v>
      </c>
      <c r="D141" t="s">
        <v>250</v>
      </c>
    </row>
    <row r="142" spans="2:4" ht="14.25">
      <c r="B142">
        <v>140</v>
      </c>
      <c r="C142" s="43" t="s">
        <v>251</v>
      </c>
      <c r="D142" t="s">
        <v>252</v>
      </c>
    </row>
    <row r="143" spans="2:4" ht="14.25">
      <c r="B143">
        <v>141</v>
      </c>
      <c r="C143" s="43" t="s">
        <v>253</v>
      </c>
      <c r="D143" s="59" t="s">
        <v>254</v>
      </c>
    </row>
    <row r="144" spans="2:4" ht="14.25">
      <c r="B144">
        <v>142</v>
      </c>
      <c r="C144" s="59" t="s">
        <v>255</v>
      </c>
      <c r="D144" s="59" t="s">
        <v>256</v>
      </c>
    </row>
    <row r="145" spans="2:4" ht="14.25">
      <c r="B145">
        <v>143</v>
      </c>
      <c r="C145" s="59" t="s">
        <v>257</v>
      </c>
      <c r="D145" t="s">
        <v>258</v>
      </c>
    </row>
    <row r="146" spans="2:4" ht="14.25">
      <c r="B146">
        <v>144</v>
      </c>
      <c r="C146" s="43" t="s">
        <v>259</v>
      </c>
      <c r="D146" t="s">
        <v>260</v>
      </c>
    </row>
    <row r="147" spans="2:4" ht="14.25">
      <c r="B147">
        <v>145</v>
      </c>
      <c r="C147" s="43" t="s">
        <v>261</v>
      </c>
      <c r="D147" t="s">
        <v>262</v>
      </c>
    </row>
    <row r="148" spans="2:4" ht="14.25">
      <c r="B148">
        <v>146</v>
      </c>
      <c r="C148" s="104" t="s">
        <v>263</v>
      </c>
      <c r="D148" t="s">
        <v>264</v>
      </c>
    </row>
    <row r="149" spans="2:4" ht="14.25">
      <c r="B149">
        <v>147</v>
      </c>
      <c r="C149" s="59" t="s">
        <v>265</v>
      </c>
      <c r="D149" t="s">
        <v>101</v>
      </c>
    </row>
    <row r="150" spans="2:4" ht="14.25">
      <c r="B150">
        <v>148</v>
      </c>
      <c r="C150" s="59" t="s">
        <v>266</v>
      </c>
      <c r="D150" t="s">
        <v>267</v>
      </c>
    </row>
    <row r="151" spans="2:4" ht="14.25">
      <c r="B151">
        <v>149</v>
      </c>
      <c r="C151" s="59" t="s">
        <v>268</v>
      </c>
      <c r="D151" t="s">
        <v>269</v>
      </c>
    </row>
    <row r="152" spans="2:4" ht="14.25">
      <c r="B152">
        <v>150</v>
      </c>
      <c r="C152" s="104" t="s">
        <v>270</v>
      </c>
      <c r="D152" t="s">
        <v>271</v>
      </c>
    </row>
    <row r="153" spans="2:4" ht="14.25">
      <c r="B153">
        <v>151</v>
      </c>
      <c r="C153" s="47" t="s">
        <v>272</v>
      </c>
      <c r="D153" t="s">
        <v>273</v>
      </c>
    </row>
    <row r="154" spans="2:4" ht="14.25">
      <c r="B154">
        <v>152</v>
      </c>
      <c r="C154" s="59" t="s">
        <v>274</v>
      </c>
      <c r="D154" t="s">
        <v>275</v>
      </c>
    </row>
    <row r="155" spans="2:4" ht="14.25">
      <c r="B155">
        <v>153</v>
      </c>
      <c r="C155" s="59" t="s">
        <v>276</v>
      </c>
      <c r="D155" t="s">
        <v>277</v>
      </c>
    </row>
    <row r="156" spans="2:4" ht="14.25">
      <c r="B156">
        <v>154</v>
      </c>
      <c r="C156" s="59" t="s">
        <v>278</v>
      </c>
      <c r="D156" t="s">
        <v>279</v>
      </c>
    </row>
    <row r="157" spans="2:4" ht="14.25">
      <c r="B157">
        <v>155</v>
      </c>
      <c r="C157" s="59" t="s">
        <v>280</v>
      </c>
      <c r="D157" t="s">
        <v>281</v>
      </c>
    </row>
    <row r="158" spans="2:4" ht="14.25">
      <c r="B158">
        <v>156</v>
      </c>
      <c r="C158" s="59" t="s">
        <v>282</v>
      </c>
      <c r="D158" t="s">
        <v>283</v>
      </c>
    </row>
    <row r="159" spans="2:4" ht="14.25">
      <c r="B159">
        <v>157</v>
      </c>
      <c r="C159" s="59" t="s">
        <v>284</v>
      </c>
      <c r="D159" t="s">
        <v>285</v>
      </c>
    </row>
    <row r="160" spans="2:4" ht="14.25">
      <c r="B160">
        <v>158</v>
      </c>
      <c r="C160" s="59" t="s">
        <v>286</v>
      </c>
      <c r="D160" t="s">
        <v>287</v>
      </c>
    </row>
    <row r="161" spans="2:4" ht="14.25">
      <c r="B161">
        <v>159</v>
      </c>
      <c r="C161" s="117" t="s">
        <v>288</v>
      </c>
      <c r="D161" t="s">
        <v>289</v>
      </c>
    </row>
    <row r="162" spans="2:4" ht="14.25">
      <c r="B162">
        <v>160</v>
      </c>
      <c r="C162" s="117" t="s">
        <v>290</v>
      </c>
      <c r="D162" t="s">
        <v>291</v>
      </c>
    </row>
    <row r="163" spans="2:4" ht="14.25">
      <c r="B163">
        <v>161</v>
      </c>
      <c r="C163" s="59" t="s">
        <v>54</v>
      </c>
      <c r="D163" t="s">
        <v>55</v>
      </c>
    </row>
    <row r="164" spans="2:4" ht="14.25">
      <c r="B164">
        <v>162</v>
      </c>
      <c r="C164" s="59" t="s">
        <v>292</v>
      </c>
      <c r="D164" t="s">
        <v>293</v>
      </c>
    </row>
    <row r="165" spans="2:5" ht="15">
      <c r="B165">
        <v>163</v>
      </c>
      <c r="C165" s="59" t="s">
        <v>294</v>
      </c>
      <c r="D165" t="s">
        <v>295</v>
      </c>
      <c r="E165" s="239"/>
    </row>
    <row r="166" spans="2:4" ht="14.25">
      <c r="B166">
        <v>164</v>
      </c>
      <c r="C166" t="s">
        <v>296</v>
      </c>
      <c r="D166" t="s">
        <v>297</v>
      </c>
    </row>
    <row r="167" spans="2:4" ht="14.25">
      <c r="B167">
        <v>165</v>
      </c>
      <c r="C167" s="240" t="s">
        <v>298</v>
      </c>
      <c r="D167" t="s">
        <v>299</v>
      </c>
    </row>
    <row r="168" spans="2:4" ht="14.25">
      <c r="B168">
        <v>166</v>
      </c>
      <c r="C168" s="164" t="s">
        <v>292</v>
      </c>
      <c r="D168" t="s">
        <v>293</v>
      </c>
    </row>
    <row r="169" spans="2:4" ht="14.25">
      <c r="B169">
        <v>167</v>
      </c>
      <c r="C169" t="s">
        <v>1</v>
      </c>
      <c r="D169" t="s">
        <v>177</v>
      </c>
    </row>
    <row r="170" spans="2:4" ht="14.25">
      <c r="B170">
        <v>168</v>
      </c>
      <c r="C170" t="s">
        <v>2</v>
      </c>
      <c r="D170" t="s">
        <v>178</v>
      </c>
    </row>
    <row r="171" spans="2:4" ht="14.25">
      <c r="B171">
        <v>169</v>
      </c>
      <c r="C171" t="s">
        <v>3</v>
      </c>
      <c r="D171" t="s">
        <v>179</v>
      </c>
    </row>
    <row r="172" spans="2:4" ht="14.25">
      <c r="B172">
        <v>170</v>
      </c>
      <c r="C172" t="s">
        <v>4</v>
      </c>
      <c r="D172" t="s">
        <v>180</v>
      </c>
    </row>
    <row r="173" spans="2:4" ht="14.25">
      <c r="B173">
        <v>171</v>
      </c>
      <c r="C173" t="s">
        <v>300</v>
      </c>
      <c r="D173" t="s">
        <v>301</v>
      </c>
    </row>
    <row r="174" spans="2:4" ht="14.25">
      <c r="B174">
        <v>172</v>
      </c>
      <c r="C174" t="s">
        <v>166</v>
      </c>
      <c r="D174" t="s">
        <v>167</v>
      </c>
    </row>
    <row r="175" spans="2:4" ht="14.25">
      <c r="B175">
        <v>173</v>
      </c>
      <c r="C175" t="s">
        <v>416</v>
      </c>
      <c r="D175" s="186" t="s">
        <v>418</v>
      </c>
    </row>
    <row r="176" spans="2:4" ht="14.25">
      <c r="B176">
        <v>174</v>
      </c>
      <c r="C176" t="s">
        <v>417</v>
      </c>
      <c r="D176" s="186" t="s">
        <v>415</v>
      </c>
    </row>
    <row r="177" spans="2:4" ht="14.25">
      <c r="B177">
        <v>175</v>
      </c>
      <c r="C177" s="189" t="s">
        <v>27</v>
      </c>
      <c r="D177" t="s">
        <v>28</v>
      </c>
    </row>
    <row r="178" spans="2:4" ht="14.25">
      <c r="B178">
        <v>176</v>
      </c>
      <c r="C178" s="189" t="s">
        <v>302</v>
      </c>
      <c r="D178" s="41" t="s">
        <v>303</v>
      </c>
    </row>
    <row r="179" spans="2:4" ht="14.25">
      <c r="B179">
        <v>177</v>
      </c>
      <c r="C179" s="189" t="s">
        <v>304</v>
      </c>
      <c r="D179" t="s">
        <v>305</v>
      </c>
    </row>
    <row r="180" spans="2:4" ht="14.25">
      <c r="B180">
        <v>178</v>
      </c>
      <c r="C180" s="189" t="s">
        <v>306</v>
      </c>
      <c r="D180" t="s">
        <v>307</v>
      </c>
    </row>
    <row r="181" spans="2:4" ht="14.25">
      <c r="B181">
        <v>179</v>
      </c>
      <c r="C181" s="189" t="s">
        <v>308</v>
      </c>
      <c r="D181" t="s">
        <v>309</v>
      </c>
    </row>
    <row r="182" spans="2:4" ht="14.25">
      <c r="B182">
        <v>180</v>
      </c>
      <c r="C182" s="189" t="s">
        <v>310</v>
      </c>
      <c r="D182" t="s">
        <v>311</v>
      </c>
    </row>
    <row r="183" spans="2:4" ht="14.25">
      <c r="B183">
        <v>181</v>
      </c>
      <c r="C183" s="189" t="s">
        <v>7</v>
      </c>
      <c r="D183" t="s">
        <v>7</v>
      </c>
    </row>
    <row r="184" spans="2:4" ht="14.25">
      <c r="B184">
        <v>182</v>
      </c>
      <c r="C184" s="189" t="s">
        <v>9</v>
      </c>
      <c r="D184" t="s">
        <v>9</v>
      </c>
    </row>
    <row r="185" spans="2:4" ht="14.25">
      <c r="B185">
        <v>183</v>
      </c>
      <c r="C185" s="189" t="s">
        <v>10</v>
      </c>
      <c r="D185" t="s">
        <v>38</v>
      </c>
    </row>
    <row r="186" spans="2:4" ht="14.25">
      <c r="B186">
        <v>184</v>
      </c>
      <c r="C186" t="s">
        <v>312</v>
      </c>
      <c r="D186" t="s">
        <v>313</v>
      </c>
    </row>
    <row r="187" spans="2:4" ht="14.25">
      <c r="B187">
        <v>185</v>
      </c>
      <c r="C187" t="s">
        <v>314</v>
      </c>
      <c r="D187" t="s">
        <v>315</v>
      </c>
    </row>
    <row r="188" spans="2:4" ht="14.25">
      <c r="B188">
        <v>186</v>
      </c>
      <c r="C188" t="s">
        <v>316</v>
      </c>
      <c r="D188" t="s">
        <v>317</v>
      </c>
    </row>
    <row r="189" spans="2:4" ht="14.25">
      <c r="B189">
        <v>187</v>
      </c>
      <c r="C189" t="s">
        <v>318</v>
      </c>
      <c r="D189" t="s">
        <v>269</v>
      </c>
    </row>
    <row r="190" spans="2:3" ht="14.25">
      <c r="B190">
        <v>188</v>
      </c>
      <c r="C190" s="215" t="s">
        <v>319</v>
      </c>
    </row>
    <row r="191" spans="2:3" ht="14.25">
      <c r="B191">
        <v>189</v>
      </c>
      <c r="C191" s="215" t="s">
        <v>320</v>
      </c>
    </row>
    <row r="192" spans="2:3" ht="14.25">
      <c r="B192">
        <v>190</v>
      </c>
      <c r="C192" s="215" t="s">
        <v>321</v>
      </c>
    </row>
    <row r="193" spans="2:4" ht="14.25">
      <c r="B193">
        <v>191</v>
      </c>
      <c r="C193" s="215" t="s">
        <v>203</v>
      </c>
      <c r="D193" t="s">
        <v>204</v>
      </c>
    </row>
    <row r="194" spans="2:3" ht="14.25">
      <c r="B194">
        <v>192</v>
      </c>
      <c r="C194" s="215" t="s">
        <v>205</v>
      </c>
    </row>
    <row r="195" spans="2:3" ht="14.25">
      <c r="B195">
        <v>193</v>
      </c>
      <c r="C195" s="215" t="s">
        <v>11</v>
      </c>
    </row>
    <row r="196" spans="2:3" ht="14.25">
      <c r="B196">
        <v>194</v>
      </c>
      <c r="C196" s="217" t="s">
        <v>210</v>
      </c>
    </row>
    <row r="197" spans="2:3" ht="14.25">
      <c r="B197">
        <v>195</v>
      </c>
      <c r="C197" s="215" t="s">
        <v>322</v>
      </c>
    </row>
    <row r="198" spans="2:3" ht="14.25">
      <c r="B198">
        <v>196</v>
      </c>
      <c r="C198" s="215" t="s">
        <v>323</v>
      </c>
    </row>
    <row r="199" spans="2:3" ht="14.25">
      <c r="B199">
        <v>197</v>
      </c>
      <c r="C199" s="215" t="s">
        <v>207</v>
      </c>
    </row>
    <row r="200" spans="2:3" ht="14.25">
      <c r="B200">
        <v>198</v>
      </c>
      <c r="C200" s="215" t="s">
        <v>199</v>
      </c>
    </row>
    <row r="201" spans="2:3" ht="14.25">
      <c r="B201">
        <v>199</v>
      </c>
      <c r="C201" s="215" t="s">
        <v>324</v>
      </c>
    </row>
    <row r="202" spans="2:3" ht="14.25">
      <c r="B202">
        <v>200</v>
      </c>
      <c r="C202" s="215" t="s">
        <v>197</v>
      </c>
    </row>
    <row r="203" spans="2:3" ht="14.25">
      <c r="B203">
        <v>201</v>
      </c>
      <c r="C203" s="215" t="s">
        <v>325</v>
      </c>
    </row>
    <row r="204" spans="2:3" ht="14.25">
      <c r="B204">
        <v>202</v>
      </c>
      <c r="C204" s="217" t="s">
        <v>326</v>
      </c>
    </row>
    <row r="205" spans="2:4" ht="14.25">
      <c r="B205">
        <v>203</v>
      </c>
      <c r="C205" s="215" t="s">
        <v>327</v>
      </c>
      <c r="D205" t="s">
        <v>328</v>
      </c>
    </row>
    <row r="206" spans="2:4" ht="14.25">
      <c r="B206">
        <v>204</v>
      </c>
      <c r="C206" s="215" t="s">
        <v>329</v>
      </c>
      <c r="D206" t="s">
        <v>329</v>
      </c>
    </row>
    <row r="207" spans="2:4" ht="14.25">
      <c r="B207">
        <v>205</v>
      </c>
      <c r="C207" s="215" t="s">
        <v>330</v>
      </c>
      <c r="D207" s="215" t="s">
        <v>331</v>
      </c>
    </row>
    <row r="208" spans="2:4" ht="14.25">
      <c r="B208">
        <v>206</v>
      </c>
      <c r="C208" t="s">
        <v>534</v>
      </c>
      <c r="D208" t="s">
        <v>535</v>
      </c>
    </row>
    <row r="209" spans="2:4" ht="14.25">
      <c r="B209">
        <v>207</v>
      </c>
      <c r="C209" t="s">
        <v>332</v>
      </c>
      <c r="D209" t="s">
        <v>333</v>
      </c>
    </row>
    <row r="210" spans="2:4" ht="14.25">
      <c r="B210">
        <v>208</v>
      </c>
      <c r="C210" s="215" t="s">
        <v>334</v>
      </c>
      <c r="D210" t="s">
        <v>335</v>
      </c>
    </row>
    <row r="211" spans="2:4" ht="14.25">
      <c r="B211">
        <v>209</v>
      </c>
      <c r="C211" s="215" t="s">
        <v>197</v>
      </c>
      <c r="D211" t="s">
        <v>198</v>
      </c>
    </row>
    <row r="212" spans="2:4" ht="14.25">
      <c r="B212">
        <v>210</v>
      </c>
      <c r="C212" s="215" t="s">
        <v>336</v>
      </c>
      <c r="D212" t="s">
        <v>337</v>
      </c>
    </row>
    <row r="213" spans="2:4" ht="14.25">
      <c r="B213">
        <v>211</v>
      </c>
      <c r="C213" s="215" t="s">
        <v>338</v>
      </c>
      <c r="D213" t="s">
        <v>362</v>
      </c>
    </row>
    <row r="214" spans="2:4" ht="14.25">
      <c r="B214">
        <v>212</v>
      </c>
      <c r="C214" s="215" t="s">
        <v>339</v>
      </c>
      <c r="D214" t="s">
        <v>340</v>
      </c>
    </row>
    <row r="215" spans="2:4" ht="14.25">
      <c r="B215">
        <v>213</v>
      </c>
      <c r="C215" s="215" t="s">
        <v>341</v>
      </c>
      <c r="D215" t="s">
        <v>342</v>
      </c>
    </row>
    <row r="216" spans="2:4" ht="14.25">
      <c r="B216">
        <v>214</v>
      </c>
      <c r="C216" s="215" t="s">
        <v>203</v>
      </c>
      <c r="D216" t="s">
        <v>204</v>
      </c>
    </row>
    <row r="217" spans="2:4" ht="14.25">
      <c r="B217">
        <v>215</v>
      </c>
      <c r="C217" s="215" t="s">
        <v>11</v>
      </c>
      <c r="D217" t="s">
        <v>343</v>
      </c>
    </row>
    <row r="218" spans="2:4" ht="14.25">
      <c r="B218">
        <v>216</v>
      </c>
      <c r="C218" s="215" t="s">
        <v>325</v>
      </c>
      <c r="D218" t="s">
        <v>344</v>
      </c>
    </row>
    <row r="219" spans="2:4" ht="14.25">
      <c r="B219">
        <v>217</v>
      </c>
      <c r="C219" s="215" t="s">
        <v>345</v>
      </c>
      <c r="D219" t="s">
        <v>328</v>
      </c>
    </row>
    <row r="220" spans="2:8" ht="15" customHeight="1">
      <c r="B220">
        <v>218</v>
      </c>
      <c r="C220" s="215" t="s">
        <v>346</v>
      </c>
      <c r="D220" s="215" t="s">
        <v>347</v>
      </c>
      <c r="E220" s="215"/>
      <c r="F220" s="215"/>
      <c r="G220" s="215"/>
      <c r="H220" s="215"/>
    </row>
    <row r="221" spans="2:4" ht="15" customHeight="1">
      <c r="B221">
        <v>219</v>
      </c>
      <c r="C221" t="s">
        <v>394</v>
      </c>
      <c r="D221" t="s">
        <v>348</v>
      </c>
    </row>
    <row r="222" spans="2:4" ht="14.25">
      <c r="B222">
        <v>220</v>
      </c>
      <c r="C222" t="s">
        <v>349</v>
      </c>
      <c r="D222" t="s">
        <v>350</v>
      </c>
    </row>
    <row r="223" spans="2:4" ht="14.25">
      <c r="B223">
        <v>221</v>
      </c>
      <c r="C223" t="s">
        <v>351</v>
      </c>
      <c r="D223" t="s">
        <v>352</v>
      </c>
    </row>
    <row r="224" spans="2:4" ht="14.25">
      <c r="B224">
        <v>222</v>
      </c>
      <c r="C224" t="s">
        <v>359</v>
      </c>
      <c r="D224" t="s">
        <v>359</v>
      </c>
    </row>
    <row r="225" spans="2:4" ht="14.25">
      <c r="B225">
        <v>223</v>
      </c>
      <c r="C225" t="s">
        <v>357</v>
      </c>
      <c r="D225" t="s">
        <v>358</v>
      </c>
    </row>
    <row r="226" spans="2:4" ht="14.25">
      <c r="B226">
        <v>224</v>
      </c>
      <c r="C226" t="s">
        <v>360</v>
      </c>
      <c r="D226" t="s">
        <v>361</v>
      </c>
    </row>
    <row r="227" spans="2:4" ht="14.25">
      <c r="B227">
        <v>225</v>
      </c>
      <c r="C227" t="s">
        <v>353</v>
      </c>
      <c r="D227" t="s">
        <v>354</v>
      </c>
    </row>
    <row r="228" spans="2:4" ht="14.25">
      <c r="B228">
        <v>226</v>
      </c>
      <c r="C228" t="s">
        <v>363</v>
      </c>
      <c r="D228" t="s">
        <v>364</v>
      </c>
    </row>
    <row r="229" spans="2:4" ht="14.25">
      <c r="B229">
        <v>227</v>
      </c>
      <c r="C229" s="238" t="s">
        <v>355</v>
      </c>
      <c r="D229" t="s">
        <v>356</v>
      </c>
    </row>
    <row r="230" spans="2:4" ht="14.25">
      <c r="B230">
        <v>228</v>
      </c>
      <c r="C230" t="s">
        <v>393</v>
      </c>
      <c r="D230" t="s">
        <v>365</v>
      </c>
    </row>
    <row r="231" spans="2:4" ht="14.25">
      <c r="B231">
        <v>229</v>
      </c>
      <c r="C231" t="s">
        <v>366</v>
      </c>
      <c r="D231" t="s">
        <v>367</v>
      </c>
    </row>
    <row r="232" spans="2:4" ht="14.25">
      <c r="B232">
        <v>230</v>
      </c>
      <c r="C232" s="217" t="s">
        <v>16</v>
      </c>
      <c r="D232" t="s">
        <v>17</v>
      </c>
    </row>
    <row r="233" spans="2:4" ht="14.25">
      <c r="B233">
        <v>231</v>
      </c>
      <c r="C233" s="215" t="s">
        <v>368</v>
      </c>
      <c r="D233" t="s">
        <v>369</v>
      </c>
    </row>
    <row r="234" spans="2:4" ht="14.25">
      <c r="B234">
        <v>232</v>
      </c>
      <c r="C234" s="215" t="s">
        <v>25</v>
      </c>
      <c r="D234" t="s">
        <v>26</v>
      </c>
    </row>
    <row r="235" spans="2:4" ht="14.25">
      <c r="B235">
        <v>233</v>
      </c>
      <c r="C235" s="215" t="s">
        <v>370</v>
      </c>
      <c r="D235" t="s">
        <v>371</v>
      </c>
    </row>
    <row r="236" spans="2:4" ht="14.25">
      <c r="B236">
        <v>234</v>
      </c>
      <c r="C236" s="215" t="s">
        <v>372</v>
      </c>
      <c r="D236" t="s">
        <v>373</v>
      </c>
    </row>
    <row r="237" spans="2:4" ht="14.25">
      <c r="B237">
        <v>235</v>
      </c>
      <c r="C237" s="215" t="s">
        <v>31</v>
      </c>
      <c r="D237" t="s">
        <v>31</v>
      </c>
    </row>
    <row r="238" spans="2:4" ht="14.25">
      <c r="B238">
        <v>236</v>
      </c>
      <c r="C238" s="215" t="s">
        <v>374</v>
      </c>
      <c r="D238" t="s">
        <v>375</v>
      </c>
    </row>
    <row r="239" spans="2:4" ht="14.25">
      <c r="B239">
        <v>237</v>
      </c>
      <c r="C239" s="215" t="s">
        <v>33</v>
      </c>
      <c r="D239" t="s">
        <v>33</v>
      </c>
    </row>
    <row r="240" spans="2:4" ht="14.25">
      <c r="B240">
        <v>238</v>
      </c>
      <c r="C240" s="215" t="s">
        <v>376</v>
      </c>
      <c r="D240" t="s">
        <v>37</v>
      </c>
    </row>
    <row r="241" spans="2:4" ht="14.25">
      <c r="B241">
        <v>239</v>
      </c>
      <c r="C241" s="215" t="s">
        <v>377</v>
      </c>
      <c r="D241" t="s">
        <v>378</v>
      </c>
    </row>
    <row r="242" spans="2:4" ht="14.25">
      <c r="B242">
        <v>240</v>
      </c>
      <c r="C242" s="215" t="s">
        <v>379</v>
      </c>
      <c r="D242" t="s">
        <v>380</v>
      </c>
    </row>
    <row r="243" spans="2:4" ht="14.25">
      <c r="B243">
        <v>241</v>
      </c>
      <c r="C243" s="215" t="s">
        <v>381</v>
      </c>
      <c r="D243" t="s">
        <v>382</v>
      </c>
    </row>
    <row r="244" spans="2:4" ht="14.25">
      <c r="B244">
        <v>242</v>
      </c>
      <c r="C244" s="215" t="s">
        <v>383</v>
      </c>
      <c r="D244" t="s">
        <v>384</v>
      </c>
    </row>
    <row r="245" spans="2:4" ht="14.25">
      <c r="B245">
        <v>243</v>
      </c>
      <c r="C245" t="s">
        <v>385</v>
      </c>
      <c r="D245" t="s">
        <v>386</v>
      </c>
    </row>
    <row r="246" spans="2:4" ht="14.25">
      <c r="B246">
        <v>244</v>
      </c>
      <c r="C246" t="s">
        <v>387</v>
      </c>
      <c r="D246" t="s">
        <v>388</v>
      </c>
    </row>
    <row r="247" spans="2:4" ht="15">
      <c r="B247">
        <v>245</v>
      </c>
      <c r="C247" s="235" t="s">
        <v>389</v>
      </c>
      <c r="D247" s="235" t="s">
        <v>390</v>
      </c>
    </row>
    <row r="248" spans="2:4" ht="14.25">
      <c r="B248">
        <v>246</v>
      </c>
      <c r="C248" s="215" t="s">
        <v>391</v>
      </c>
      <c r="D248" t="s">
        <v>391</v>
      </c>
    </row>
    <row r="249" spans="2:4" ht="14.25">
      <c r="B249">
        <v>247</v>
      </c>
      <c r="C249" t="s">
        <v>395</v>
      </c>
      <c r="D249" t="s">
        <v>396</v>
      </c>
    </row>
    <row r="250" spans="2:4" ht="14.25">
      <c r="B250">
        <v>248</v>
      </c>
      <c r="C250" t="s">
        <v>397</v>
      </c>
      <c r="D250" t="s">
        <v>398</v>
      </c>
    </row>
    <row r="251" spans="2:4" ht="14.25">
      <c r="B251">
        <v>249</v>
      </c>
      <c r="C251" t="s">
        <v>399</v>
      </c>
      <c r="D251" t="s">
        <v>400</v>
      </c>
    </row>
    <row r="252" spans="2:4" ht="14.25">
      <c r="B252">
        <v>250</v>
      </c>
      <c r="C252" t="s">
        <v>401</v>
      </c>
      <c r="D252" t="s">
        <v>402</v>
      </c>
    </row>
    <row r="253" spans="2:4" ht="14.25">
      <c r="B253">
        <v>251</v>
      </c>
      <c r="C253" t="s">
        <v>403</v>
      </c>
      <c r="D253" t="s">
        <v>404</v>
      </c>
    </row>
    <row r="254" spans="2:4" ht="14.25">
      <c r="B254">
        <v>252</v>
      </c>
      <c r="C254" t="s">
        <v>405</v>
      </c>
      <c r="D254" t="s">
        <v>406</v>
      </c>
    </row>
    <row r="255" spans="2:4" ht="14.25">
      <c r="B255">
        <v>253</v>
      </c>
      <c r="C255" t="s">
        <v>407</v>
      </c>
      <c r="D255" t="s">
        <v>408</v>
      </c>
    </row>
    <row r="256" spans="2:4" ht="14.25">
      <c r="B256">
        <v>254</v>
      </c>
      <c r="C256" t="s">
        <v>409</v>
      </c>
      <c r="D256" t="s">
        <v>410</v>
      </c>
    </row>
    <row r="257" spans="2:4" ht="14.25">
      <c r="B257">
        <v>255</v>
      </c>
      <c r="C257" t="s">
        <v>423</v>
      </c>
      <c r="D257" t="s">
        <v>411</v>
      </c>
    </row>
    <row r="258" spans="2:4" ht="14.25">
      <c r="B258">
        <v>256</v>
      </c>
      <c r="C258" t="s">
        <v>523</v>
      </c>
      <c r="D258" t="s">
        <v>524</v>
      </c>
    </row>
    <row r="259" spans="2:4" ht="14.25">
      <c r="B259">
        <v>257</v>
      </c>
      <c r="C259" t="s">
        <v>422</v>
      </c>
      <c r="D259" t="s">
        <v>424</v>
      </c>
    </row>
    <row r="260" spans="2:4" ht="14.25">
      <c r="B260">
        <v>258</v>
      </c>
      <c r="C260" t="s">
        <v>419</v>
      </c>
      <c r="D260" t="s">
        <v>420</v>
      </c>
    </row>
    <row r="261" spans="2:4" ht="14.25">
      <c r="B261">
        <v>259</v>
      </c>
      <c r="C261" t="s">
        <v>425</v>
      </c>
      <c r="D261" t="s">
        <v>426</v>
      </c>
    </row>
    <row r="262" spans="2:4" ht="14.25">
      <c r="B262">
        <v>260</v>
      </c>
      <c r="C262" t="s">
        <v>427</v>
      </c>
      <c r="D262" t="s">
        <v>428</v>
      </c>
    </row>
    <row r="263" spans="2:4" ht="14.25">
      <c r="B263">
        <v>261</v>
      </c>
      <c r="C263" t="s">
        <v>429</v>
      </c>
      <c r="D263" t="s">
        <v>430</v>
      </c>
    </row>
    <row r="264" spans="2:4" ht="14.25">
      <c r="B264">
        <v>262</v>
      </c>
      <c r="C264" t="s">
        <v>431</v>
      </c>
      <c r="D264" t="s">
        <v>432</v>
      </c>
    </row>
    <row r="265" spans="2:4" ht="14.25">
      <c r="B265">
        <v>263</v>
      </c>
      <c r="C265" t="s">
        <v>433</v>
      </c>
      <c r="D265" t="s">
        <v>434</v>
      </c>
    </row>
    <row r="266" spans="2:4" ht="14.25">
      <c r="B266">
        <v>264</v>
      </c>
      <c r="C266" t="s">
        <v>446</v>
      </c>
      <c r="D266" t="s">
        <v>447</v>
      </c>
    </row>
    <row r="267" spans="2:4" ht="15" customHeight="1">
      <c r="B267">
        <v>265</v>
      </c>
      <c r="C267" t="s">
        <v>435</v>
      </c>
      <c r="D267" t="s">
        <v>436</v>
      </c>
    </row>
    <row r="268" spans="2:4" ht="14.25">
      <c r="B268">
        <v>266</v>
      </c>
      <c r="C268" t="s">
        <v>445</v>
      </c>
      <c r="D268" t="s">
        <v>444</v>
      </c>
    </row>
    <row r="269" spans="2:4" ht="14.25">
      <c r="B269">
        <v>267</v>
      </c>
      <c r="C269" t="s">
        <v>437</v>
      </c>
      <c r="D269" t="s">
        <v>438</v>
      </c>
    </row>
    <row r="270" spans="2:4" ht="14.25">
      <c r="B270">
        <v>268</v>
      </c>
      <c r="C270" t="s">
        <v>448</v>
      </c>
      <c r="D270" t="s">
        <v>439</v>
      </c>
    </row>
    <row r="271" spans="2:4" ht="14.25">
      <c r="B271">
        <v>269</v>
      </c>
      <c r="C271" t="s">
        <v>441</v>
      </c>
      <c r="D271" t="s">
        <v>440</v>
      </c>
    </row>
    <row r="272" spans="2:4" ht="14.25">
      <c r="B272">
        <v>270</v>
      </c>
      <c r="C272" t="s">
        <v>443</v>
      </c>
      <c r="D272" t="s">
        <v>442</v>
      </c>
    </row>
    <row r="273" spans="2:4" ht="14.25">
      <c r="B273">
        <v>271</v>
      </c>
      <c r="C273" t="s">
        <v>449</v>
      </c>
      <c r="D273" t="s">
        <v>450</v>
      </c>
    </row>
    <row r="274" spans="2:4" ht="14.25">
      <c r="B274">
        <v>272</v>
      </c>
      <c r="C274" t="s">
        <v>451</v>
      </c>
      <c r="D274" t="s">
        <v>452</v>
      </c>
    </row>
    <row r="275" spans="2:4" ht="14.25">
      <c r="B275">
        <v>273</v>
      </c>
      <c r="C275" s="287" t="s">
        <v>453</v>
      </c>
      <c r="D275" s="287" t="s">
        <v>454</v>
      </c>
    </row>
    <row r="276" spans="2:4" ht="14.25">
      <c r="B276">
        <v>274</v>
      </c>
      <c r="C276" s="288" t="s">
        <v>525</v>
      </c>
      <c r="D276" t="s">
        <v>455</v>
      </c>
    </row>
    <row r="277" spans="2:4" ht="14.25">
      <c r="B277">
        <v>275</v>
      </c>
      <c r="C277" s="288" t="s">
        <v>456</v>
      </c>
      <c r="D277" t="s">
        <v>457</v>
      </c>
    </row>
    <row r="278" spans="2:4" ht="14.25">
      <c r="B278">
        <v>276</v>
      </c>
      <c r="C278" s="288" t="s">
        <v>458</v>
      </c>
      <c r="D278" t="s">
        <v>459</v>
      </c>
    </row>
    <row r="279" spans="2:4" ht="14.25">
      <c r="B279">
        <v>277</v>
      </c>
      <c r="C279" s="288" t="s">
        <v>460</v>
      </c>
      <c r="D279" t="s">
        <v>461</v>
      </c>
    </row>
    <row r="280" spans="2:4" ht="14.25">
      <c r="B280">
        <v>278</v>
      </c>
      <c r="C280" s="288" t="s">
        <v>462</v>
      </c>
      <c r="D280" t="s">
        <v>463</v>
      </c>
    </row>
    <row r="281" spans="2:4" ht="14.25">
      <c r="B281">
        <v>279</v>
      </c>
      <c r="C281" s="288" t="s">
        <v>464</v>
      </c>
      <c r="D281" t="s">
        <v>465</v>
      </c>
    </row>
    <row r="282" spans="2:4" ht="15">
      <c r="B282">
        <v>280</v>
      </c>
      <c r="C282" s="235" t="s">
        <v>466</v>
      </c>
      <c r="D282" s="235" t="s">
        <v>466</v>
      </c>
    </row>
    <row r="283" spans="2:4" ht="14.25">
      <c r="B283">
        <v>281</v>
      </c>
      <c r="C283" s="288" t="s">
        <v>467</v>
      </c>
      <c r="D283" t="s">
        <v>468</v>
      </c>
    </row>
    <row r="284" spans="2:4" ht="15">
      <c r="B284">
        <v>282</v>
      </c>
      <c r="C284" s="235" t="s">
        <v>469</v>
      </c>
      <c r="D284" t="s">
        <v>470</v>
      </c>
    </row>
    <row r="285" spans="2:4" ht="15">
      <c r="B285">
        <v>283</v>
      </c>
      <c r="C285" s="235" t="s">
        <v>36</v>
      </c>
      <c r="D285" s="235" t="s">
        <v>536</v>
      </c>
    </row>
    <row r="286" spans="2:4" ht="15">
      <c r="B286">
        <v>284</v>
      </c>
      <c r="C286" s="235" t="s">
        <v>471</v>
      </c>
      <c r="D286" t="s">
        <v>472</v>
      </c>
    </row>
    <row r="287" spans="2:4" ht="15">
      <c r="B287">
        <v>285</v>
      </c>
      <c r="C287" s="235" t="s">
        <v>473</v>
      </c>
      <c r="D287" s="215" t="s">
        <v>474</v>
      </c>
    </row>
    <row r="288" spans="2:4" ht="15">
      <c r="B288">
        <v>286</v>
      </c>
      <c r="C288" s="235" t="s">
        <v>475</v>
      </c>
      <c r="D288" s="215" t="s">
        <v>476</v>
      </c>
    </row>
    <row r="289" spans="2:4" ht="15">
      <c r="B289">
        <v>287</v>
      </c>
      <c r="C289" s="235" t="s">
        <v>477</v>
      </c>
      <c r="D289" s="217" t="s">
        <v>478</v>
      </c>
    </row>
    <row r="290" spans="2:4" ht="15">
      <c r="B290">
        <v>288</v>
      </c>
      <c r="C290" s="235" t="s">
        <v>479</v>
      </c>
      <c r="D290" s="217" t="s">
        <v>480</v>
      </c>
    </row>
    <row r="291" spans="2:4" ht="15">
      <c r="B291">
        <v>289</v>
      </c>
      <c r="C291" s="235" t="s">
        <v>481</v>
      </c>
      <c r="D291" s="215" t="s">
        <v>482</v>
      </c>
    </row>
    <row r="292" spans="2:4" ht="15">
      <c r="B292">
        <v>290</v>
      </c>
      <c r="C292" s="235" t="s">
        <v>483</v>
      </c>
      <c r="D292" s="215" t="s">
        <v>484</v>
      </c>
    </row>
    <row r="293" spans="2:4" ht="15">
      <c r="B293">
        <v>291</v>
      </c>
      <c r="C293" s="235" t="s">
        <v>485</v>
      </c>
      <c r="D293" s="217" t="s">
        <v>486</v>
      </c>
    </row>
    <row r="294" spans="2:4" ht="15">
      <c r="B294">
        <v>292</v>
      </c>
      <c r="C294" s="235" t="s">
        <v>487</v>
      </c>
      <c r="D294" s="215" t="s">
        <v>488</v>
      </c>
    </row>
    <row r="295" spans="2:4" ht="15">
      <c r="B295">
        <v>293</v>
      </c>
      <c r="C295" s="235" t="s">
        <v>489</v>
      </c>
      <c r="D295" s="215" t="s">
        <v>490</v>
      </c>
    </row>
    <row r="296" spans="2:4" ht="15">
      <c r="B296">
        <v>294</v>
      </c>
      <c r="C296" s="235" t="s">
        <v>491</v>
      </c>
      <c r="D296" s="217" t="s">
        <v>492</v>
      </c>
    </row>
    <row r="297" spans="2:4" ht="15">
      <c r="B297">
        <v>295</v>
      </c>
      <c r="C297" s="235" t="s">
        <v>493</v>
      </c>
      <c r="D297" s="235" t="s">
        <v>494</v>
      </c>
    </row>
    <row r="298" spans="2:4" ht="14.25">
      <c r="B298">
        <v>296</v>
      </c>
      <c r="C298" s="215" t="s">
        <v>495</v>
      </c>
      <c r="D298" t="s">
        <v>496</v>
      </c>
    </row>
    <row r="299" spans="2:11" ht="14.25">
      <c r="B299">
        <v>297</v>
      </c>
      <c r="C299" t="s">
        <v>506</v>
      </c>
      <c r="D299" t="s">
        <v>497</v>
      </c>
      <c r="E299" s="289"/>
      <c r="F299" s="289"/>
      <c r="G299" s="289"/>
      <c r="H299" s="289"/>
      <c r="I299" s="289"/>
      <c r="J299" s="289"/>
      <c r="K299" s="289"/>
    </row>
    <row r="300" spans="2:4" ht="14.25">
      <c r="B300">
        <v>298</v>
      </c>
      <c r="C300" t="s">
        <v>504</v>
      </c>
      <c r="D300" t="s">
        <v>505</v>
      </c>
    </row>
    <row r="301" spans="2:4" ht="15">
      <c r="B301">
        <v>299</v>
      </c>
      <c r="C301" s="235" t="s">
        <v>498</v>
      </c>
      <c r="D301" t="s">
        <v>499</v>
      </c>
    </row>
    <row r="302" spans="2:4" ht="15">
      <c r="B302">
        <v>300</v>
      </c>
      <c r="C302" s="235" t="s">
        <v>500</v>
      </c>
      <c r="D302" s="235" t="s">
        <v>501</v>
      </c>
    </row>
    <row r="303" spans="2:4" ht="14.25">
      <c r="B303">
        <v>301</v>
      </c>
      <c r="C303" t="s">
        <v>502</v>
      </c>
      <c r="D303" t="s">
        <v>503</v>
      </c>
    </row>
    <row r="304" spans="2:4" ht="14.25">
      <c r="B304">
        <v>302</v>
      </c>
      <c r="C304" t="s">
        <v>507</v>
      </c>
      <c r="D304" t="s">
        <v>508</v>
      </c>
    </row>
    <row r="305" spans="2:4" ht="15">
      <c r="B305">
        <v>303</v>
      </c>
      <c r="C305" s="293" t="s">
        <v>509</v>
      </c>
      <c r="D305" s="293" t="s">
        <v>510</v>
      </c>
    </row>
    <row r="306" spans="2:4" ht="14.25">
      <c r="B306">
        <v>304</v>
      </c>
      <c r="C306" s="288" t="s">
        <v>526</v>
      </c>
      <c r="D306" t="s">
        <v>511</v>
      </c>
    </row>
    <row r="307" spans="2:4" ht="14.25">
      <c r="B307">
        <v>305</v>
      </c>
      <c r="C307" t="s">
        <v>512</v>
      </c>
      <c r="D307" t="s">
        <v>513</v>
      </c>
    </row>
    <row r="308" spans="2:4" ht="14.25">
      <c r="B308">
        <v>306</v>
      </c>
      <c r="C308" t="s">
        <v>514</v>
      </c>
      <c r="D308" t="s">
        <v>515</v>
      </c>
    </row>
    <row r="309" spans="2:4" ht="14.25">
      <c r="B309">
        <v>307</v>
      </c>
      <c r="C309" t="s">
        <v>516</v>
      </c>
      <c r="D309" t="s">
        <v>517</v>
      </c>
    </row>
    <row r="310" spans="2:4" ht="14.25">
      <c r="B310">
        <v>308</v>
      </c>
      <c r="C310" t="s">
        <v>518</v>
      </c>
      <c r="D310" t="s">
        <v>519</v>
      </c>
    </row>
    <row r="311" spans="2:4" ht="14.25">
      <c r="B311">
        <v>309</v>
      </c>
      <c r="C311" s="288" t="s">
        <v>527</v>
      </c>
      <c r="D311" t="s">
        <v>520</v>
      </c>
    </row>
    <row r="312" spans="2:4" ht="14.25">
      <c r="B312">
        <v>310</v>
      </c>
      <c r="C312" s="288" t="s">
        <v>528</v>
      </c>
      <c r="D312" t="s">
        <v>521</v>
      </c>
    </row>
    <row r="313" spans="2:4" ht="14.25">
      <c r="B313">
        <v>311</v>
      </c>
      <c r="C313" t="s">
        <v>522</v>
      </c>
      <c r="D313" t="s">
        <v>505</v>
      </c>
    </row>
    <row r="314" spans="2:4" ht="14.25">
      <c r="B314">
        <v>312</v>
      </c>
      <c r="C314" t="s">
        <v>537</v>
      </c>
      <c r="D314" t="s">
        <v>538</v>
      </c>
    </row>
    <row r="1000" ht="14.25">
      <c r="A1000" t="s">
        <v>392</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G1" sqref="G1:I16384"/>
    </sheetView>
  </sheetViews>
  <sheetFormatPr defaultColWidth="11.421875" defaultRowHeight="15"/>
  <cols>
    <col min="1" max="1" width="62.00390625" style="31" customWidth="1"/>
    <col min="2" max="2" width="12.8515625" style="31" customWidth="1"/>
    <col min="3" max="3" width="13.00390625" style="31" customWidth="1"/>
    <col min="4" max="6" width="11.421875" style="31" customWidth="1"/>
    <col min="7" max="9" width="0" style="31" hidden="1" customWidth="1"/>
    <col min="10"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50">
        <v>33.449</v>
      </c>
      <c r="C8" s="50">
        <v>36.57300000000001</v>
      </c>
      <c r="D8" s="50">
        <v>34.124</v>
      </c>
      <c r="E8" s="275">
        <v>34.707</v>
      </c>
      <c r="F8" s="50">
        <v>33.682</v>
      </c>
      <c r="G8" s="50">
        <v>0</v>
      </c>
      <c r="H8" s="50">
        <v>0</v>
      </c>
      <c r="I8" s="50">
        <v>0</v>
      </c>
    </row>
    <row r="9" spans="1:9" ht="14.25">
      <c r="A9" s="43" t="str">
        <f>HLOOKUP(INDICE!$F$2,Nombres!$C$3:$D$636,34,FALSE)</f>
        <v>Net fees and commissions</v>
      </c>
      <c r="B9" s="44">
        <v>-4.187999999999999</v>
      </c>
      <c r="C9" s="44">
        <v>-4.568000000000001</v>
      </c>
      <c r="D9" s="44">
        <v>-0.8979999999999991</v>
      </c>
      <c r="E9" s="45">
        <v>2.3269999999999964</v>
      </c>
      <c r="F9" s="44">
        <v>5</v>
      </c>
      <c r="G9" s="44">
        <v>0</v>
      </c>
      <c r="H9" s="44">
        <v>0</v>
      </c>
      <c r="I9" s="44">
        <v>0</v>
      </c>
    </row>
    <row r="10" spans="1:9" ht="14.25">
      <c r="A10" s="43" t="str">
        <f>HLOOKUP(INDICE!$F$2,Nombres!$C$3:$D$636,35,FALSE)</f>
        <v>Net trading income</v>
      </c>
      <c r="B10" s="44">
        <v>0.04000000000000001</v>
      </c>
      <c r="C10" s="44">
        <v>-0.034</v>
      </c>
      <c r="D10" s="44">
        <v>0.517</v>
      </c>
      <c r="E10" s="45">
        <v>0.44</v>
      </c>
      <c r="F10" s="44">
        <v>1.4220000000000002</v>
      </c>
      <c r="G10" s="44">
        <v>0</v>
      </c>
      <c r="H10" s="44">
        <v>0</v>
      </c>
      <c r="I10" s="44">
        <v>0</v>
      </c>
    </row>
    <row r="11" spans="1:9" ht="14.25">
      <c r="A11" s="43" t="str">
        <f>HLOOKUP(INDICE!$F$2,Nombres!$C$3:$D$636,36,FALSE)</f>
        <v>Other operating income and expenses</v>
      </c>
      <c r="B11" s="44">
        <v>-0.5</v>
      </c>
      <c r="C11" s="44">
        <v>0.39100000000000007</v>
      </c>
      <c r="D11" s="44">
        <v>0.182</v>
      </c>
      <c r="E11" s="45">
        <v>-0.081</v>
      </c>
      <c r="F11" s="44">
        <v>-0.11699999999999999</v>
      </c>
      <c r="G11" s="44">
        <v>0</v>
      </c>
      <c r="H11" s="44">
        <v>0</v>
      </c>
      <c r="I11" s="44">
        <v>0</v>
      </c>
    </row>
    <row r="12" spans="1:9" ht="14.25">
      <c r="A12" s="41" t="str">
        <f>HLOOKUP(INDICE!$F$2,Nombres!$C$3:$D$636,37,FALSE)</f>
        <v>Gross income</v>
      </c>
      <c r="B12" s="50">
        <f aca="true" t="shared" si="0" ref="B12:I12">+SUM(B8:B11)</f>
        <v>28.801</v>
      </c>
      <c r="C12" s="50">
        <f t="shared" si="0"/>
        <v>32.36200000000001</v>
      </c>
      <c r="D12" s="50">
        <f t="shared" si="0"/>
        <v>33.92500000000001</v>
      </c>
      <c r="E12" s="275">
        <f t="shared" si="0"/>
        <v>37.392999999999994</v>
      </c>
      <c r="F12" s="50">
        <f t="shared" si="0"/>
        <v>39.987</v>
      </c>
      <c r="G12" s="50">
        <f t="shared" si="0"/>
        <v>0</v>
      </c>
      <c r="H12" s="50">
        <f t="shared" si="0"/>
        <v>0</v>
      </c>
      <c r="I12" s="50">
        <f t="shared" si="0"/>
        <v>0</v>
      </c>
    </row>
    <row r="13" spans="1:9" ht="14.25">
      <c r="A13" s="43" t="str">
        <f>HLOOKUP(INDICE!$F$2,Nombres!$C$3:$D$636,38,FALSE)</f>
        <v>Operating expenses</v>
      </c>
      <c r="B13" s="44">
        <v>-14.449659</v>
      </c>
      <c r="C13" s="44">
        <v>-13.405659000000002</v>
      </c>
      <c r="D13" s="44">
        <v>-8.705659</v>
      </c>
      <c r="E13" s="45">
        <v>-11.887659</v>
      </c>
      <c r="F13" s="44">
        <v>-12.910109000000002</v>
      </c>
      <c r="G13" s="44">
        <v>0</v>
      </c>
      <c r="H13" s="44">
        <v>0</v>
      </c>
      <c r="I13" s="44">
        <v>0</v>
      </c>
    </row>
    <row r="14" spans="1:9" ht="14.25">
      <c r="A14" s="43" t="str">
        <f>HLOOKUP(INDICE!$F$2,Nombres!$C$3:$D$636,39,FALSE)</f>
        <v>  Administration expenses</v>
      </c>
      <c r="B14" s="44">
        <v>-13.328659000000002</v>
      </c>
      <c r="C14" s="44">
        <v>-12.290659000000003</v>
      </c>
      <c r="D14" s="44">
        <v>-7.638659</v>
      </c>
      <c r="E14" s="45">
        <v>-10.706659</v>
      </c>
      <c r="F14" s="44">
        <v>-11.585109</v>
      </c>
      <c r="G14" s="44">
        <v>0</v>
      </c>
      <c r="H14" s="44">
        <v>0</v>
      </c>
      <c r="I14" s="44">
        <v>0</v>
      </c>
    </row>
    <row r="15" spans="1:9" ht="14.25">
      <c r="A15" s="46" t="str">
        <f>HLOOKUP(INDICE!$F$2,Nombres!$C$3:$D$636,40,FALSE)</f>
        <v>  Personnel expenses</v>
      </c>
      <c r="B15" s="44">
        <v>-5.585</v>
      </c>
      <c r="C15" s="44">
        <v>-5.62</v>
      </c>
      <c r="D15" s="44">
        <v>-5.567</v>
      </c>
      <c r="E15" s="45">
        <v>-5.902999999999999</v>
      </c>
      <c r="F15" s="44">
        <v>-5.876999999999999</v>
      </c>
      <c r="G15" s="44">
        <v>0</v>
      </c>
      <c r="H15" s="44">
        <v>0</v>
      </c>
      <c r="I15" s="44">
        <v>0</v>
      </c>
    </row>
    <row r="16" spans="1:9" ht="14.25">
      <c r="A16" s="46" t="str">
        <f>HLOOKUP(INDICE!$F$2,Nombres!$C$3:$D$636,41,FALSE)</f>
        <v>  General and administrative expenses</v>
      </c>
      <c r="B16" s="44">
        <v>-7.743659000000001</v>
      </c>
      <c r="C16" s="44">
        <v>-6.670659000000001</v>
      </c>
      <c r="D16" s="44">
        <v>-2.0716589999999986</v>
      </c>
      <c r="E16" s="45">
        <v>-4.803659</v>
      </c>
      <c r="F16" s="44">
        <v>-5.708109</v>
      </c>
      <c r="G16" s="44">
        <v>0</v>
      </c>
      <c r="H16" s="44">
        <v>0</v>
      </c>
      <c r="I16" s="44">
        <v>0</v>
      </c>
    </row>
    <row r="17" spans="1:9" ht="14.25">
      <c r="A17" s="43" t="str">
        <f>HLOOKUP(INDICE!$F$2,Nombres!$C$3:$D$636,42,FALSE)</f>
        <v>  Depreciation</v>
      </c>
      <c r="B17" s="44">
        <v>-1.121</v>
      </c>
      <c r="C17" s="44">
        <v>-1.115</v>
      </c>
      <c r="D17" s="44">
        <v>-1.0670000000000002</v>
      </c>
      <c r="E17" s="45">
        <v>-1.1809999999999998</v>
      </c>
      <c r="F17" s="44">
        <v>-1.3250000000000002</v>
      </c>
      <c r="G17" s="44">
        <v>0</v>
      </c>
      <c r="H17" s="44">
        <v>0</v>
      </c>
      <c r="I17" s="44">
        <v>0</v>
      </c>
    </row>
    <row r="18" spans="1:9" ht="14.25">
      <c r="A18" s="41" t="str">
        <f>HLOOKUP(INDICE!$F$2,Nombres!$C$3:$D$636,43,FALSE)</f>
        <v>Operating income</v>
      </c>
      <c r="B18" s="50">
        <f aca="true" t="shared" si="1" ref="B18:I18">+B12+B13</f>
        <v>14.351340999999998</v>
      </c>
      <c r="C18" s="50">
        <f t="shared" si="1"/>
        <v>18.95634100000001</v>
      </c>
      <c r="D18" s="50">
        <f t="shared" si="1"/>
        <v>25.21934100000001</v>
      </c>
      <c r="E18" s="275">
        <f t="shared" si="1"/>
        <v>25.505340999999994</v>
      </c>
      <c r="F18" s="50">
        <f t="shared" si="1"/>
        <v>27.076891</v>
      </c>
      <c r="G18" s="50">
        <f t="shared" si="1"/>
        <v>0</v>
      </c>
      <c r="H18" s="50">
        <f t="shared" si="1"/>
        <v>0</v>
      </c>
      <c r="I18" s="50">
        <f t="shared" si="1"/>
        <v>0</v>
      </c>
    </row>
    <row r="19" spans="1:9" ht="14.25">
      <c r="A19" s="43" t="str">
        <f>HLOOKUP(INDICE!$F$2,Nombres!$C$3:$D$636,44,FALSE)</f>
        <v>Impaiment on financial assets not measured at fair value through profit or loss</v>
      </c>
      <c r="B19" s="44">
        <v>0.5200000000000006</v>
      </c>
      <c r="C19" s="44">
        <v>1.5740000000000003</v>
      </c>
      <c r="D19" s="44">
        <v>-5.572</v>
      </c>
      <c r="E19" s="45">
        <v>-6.531000000000002</v>
      </c>
      <c r="F19" s="44">
        <v>-3.9930000000000003</v>
      </c>
      <c r="G19" s="44">
        <v>0</v>
      </c>
      <c r="H19" s="44">
        <v>0</v>
      </c>
      <c r="I19" s="44">
        <v>0</v>
      </c>
    </row>
    <row r="20" spans="1:9" ht="14.25">
      <c r="A20" s="43" t="str">
        <f>HLOOKUP(INDICE!$F$2,Nombres!$C$3:$D$636,45,FALSE)</f>
        <v>Provisions or reversal of provisions and other results</v>
      </c>
      <c r="B20" s="44">
        <v>0.455</v>
      </c>
      <c r="C20" s="44">
        <v>0.28099999999999997</v>
      </c>
      <c r="D20" s="44">
        <v>0.4830000000000001</v>
      </c>
      <c r="E20" s="45">
        <v>-4.24</v>
      </c>
      <c r="F20" s="44">
        <v>0.132</v>
      </c>
      <c r="G20" s="44">
        <v>0</v>
      </c>
      <c r="H20" s="44">
        <v>0</v>
      </c>
      <c r="I20" s="44">
        <v>0</v>
      </c>
    </row>
    <row r="21" spans="1:9" ht="14.25">
      <c r="A21" s="41" t="str">
        <f>HLOOKUP(INDICE!$F$2,Nombres!$C$3:$D$636,46,FALSE)</f>
        <v>Profit/(loss) before tax</v>
      </c>
      <c r="B21" s="50">
        <f aca="true" t="shared" si="2" ref="B21:I21">+B18+B19+B20</f>
        <v>15.326341</v>
      </c>
      <c r="C21" s="50">
        <f t="shared" si="2"/>
        <v>20.81134100000001</v>
      </c>
      <c r="D21" s="50">
        <f t="shared" si="2"/>
        <v>20.130341000000012</v>
      </c>
      <c r="E21" s="275">
        <f t="shared" si="2"/>
        <v>14.734340999999992</v>
      </c>
      <c r="F21" s="50">
        <f t="shared" si="2"/>
        <v>23.215891000000003</v>
      </c>
      <c r="G21" s="50">
        <f t="shared" si="2"/>
        <v>0</v>
      </c>
      <c r="H21" s="50">
        <f t="shared" si="2"/>
        <v>0</v>
      </c>
      <c r="I21" s="50">
        <f t="shared" si="2"/>
        <v>0</v>
      </c>
    </row>
    <row r="22" spans="1:9" ht="14.25">
      <c r="A22" s="43" t="str">
        <f>HLOOKUP(INDICE!$F$2,Nombres!$C$3:$D$636,47,FALSE)</f>
        <v>Income tax</v>
      </c>
      <c r="B22" s="44">
        <v>-3.4912023</v>
      </c>
      <c r="C22" s="44">
        <v>-5.184202299999999</v>
      </c>
      <c r="D22" s="44">
        <v>-4.854202300000001</v>
      </c>
      <c r="E22" s="45">
        <v>-2.076202300000001</v>
      </c>
      <c r="F22" s="44">
        <v>-4.7428673</v>
      </c>
      <c r="G22" s="44">
        <v>0</v>
      </c>
      <c r="H22" s="44">
        <v>0</v>
      </c>
      <c r="I22" s="44">
        <v>0</v>
      </c>
    </row>
    <row r="23" spans="1:9" ht="14.25">
      <c r="A23" s="41" t="str">
        <f>HLOOKUP(INDICE!$F$2,Nombres!$C$3:$D$636,48,FALSE)</f>
        <v>Profit/(loss) for the year</v>
      </c>
      <c r="B23" s="50">
        <f aca="true" t="shared" si="3" ref="B23:I23">+B21+B22</f>
        <v>11.8351387</v>
      </c>
      <c r="C23" s="50">
        <f t="shared" si="3"/>
        <v>15.62713870000001</v>
      </c>
      <c r="D23" s="50">
        <f t="shared" si="3"/>
        <v>15.276138700000011</v>
      </c>
      <c r="E23" s="275">
        <f t="shared" si="3"/>
        <v>12.658138699999991</v>
      </c>
      <c r="F23" s="50">
        <f t="shared" si="3"/>
        <v>18.473023700000002</v>
      </c>
      <c r="G23" s="50">
        <f t="shared" si="3"/>
        <v>0</v>
      </c>
      <c r="H23" s="50">
        <f t="shared" si="3"/>
        <v>0</v>
      </c>
      <c r="I23" s="50">
        <f t="shared" si="3"/>
        <v>0</v>
      </c>
    </row>
    <row r="24" spans="1:9" ht="14.25">
      <c r="A24" s="43" t="str">
        <f>HLOOKUP(INDICE!$F$2,Nombres!$C$3:$D$636,49,FALSE)</f>
        <v>Non-controlling interests</v>
      </c>
      <c r="B24" s="44">
        <v>0</v>
      </c>
      <c r="C24" s="44">
        <v>0</v>
      </c>
      <c r="D24" s="44">
        <v>0</v>
      </c>
      <c r="E24" s="45">
        <v>0</v>
      </c>
      <c r="F24" s="44">
        <v>0</v>
      </c>
      <c r="G24" s="44">
        <v>0</v>
      </c>
      <c r="H24" s="44">
        <v>0</v>
      </c>
      <c r="I24" s="44">
        <v>0</v>
      </c>
    </row>
    <row r="25" spans="1:9" ht="14.25">
      <c r="A25" s="47" t="str">
        <f>HLOOKUP(INDICE!$F$2,Nombres!$C$3:$D$636,50,FALSE)</f>
        <v>Net attributable profit</v>
      </c>
      <c r="B25" s="51">
        <f aca="true" t="shared" si="4" ref="B25:I25">+B23+B24</f>
        <v>11.8351387</v>
      </c>
      <c r="C25" s="51">
        <f t="shared" si="4"/>
        <v>15.62713870000001</v>
      </c>
      <c r="D25" s="51">
        <f t="shared" si="4"/>
        <v>15.276138700000011</v>
      </c>
      <c r="E25" s="80">
        <f t="shared" si="4"/>
        <v>12.658138699999991</v>
      </c>
      <c r="F25" s="51">
        <f t="shared" si="4"/>
        <v>18.473023700000002</v>
      </c>
      <c r="G25" s="51">
        <f t="shared" si="4"/>
        <v>0</v>
      </c>
      <c r="H25" s="51">
        <f t="shared" si="4"/>
        <v>0</v>
      </c>
      <c r="I25" s="51">
        <f t="shared" si="4"/>
        <v>0</v>
      </c>
    </row>
    <row r="26" spans="1:9" ht="14.25">
      <c r="A26" s="274"/>
      <c r="B26" s="63">
        <v>0</v>
      </c>
      <c r="C26" s="63">
        <v>0</v>
      </c>
      <c r="D26" s="63">
        <v>0</v>
      </c>
      <c r="E26" s="63">
        <v>0</v>
      </c>
      <c r="F26" s="63">
        <v>0</v>
      </c>
      <c r="G26" s="63">
        <v>0</v>
      </c>
      <c r="H26" s="63">
        <v>0</v>
      </c>
      <c r="I26" s="63">
        <v>0</v>
      </c>
    </row>
    <row r="27" spans="1:13" s="285" customFormat="1" ht="14.25">
      <c r="A27" s="41"/>
      <c r="B27" s="41"/>
      <c r="C27" s="41"/>
      <c r="D27" s="41"/>
      <c r="E27" s="41"/>
      <c r="F27" s="41"/>
      <c r="G27" s="41"/>
      <c r="H27" s="41"/>
      <c r="I27" s="41"/>
      <c r="J27" s="31"/>
      <c r="K27" s="31"/>
      <c r="L27" s="31"/>
      <c r="M27" s="31"/>
    </row>
    <row r="28" spans="1:13" s="285" customFormat="1" ht="16.5">
      <c r="A28" s="33" t="str">
        <f>HLOOKUP(INDICE!$F$2,Nombres!$C$3:$D$636,51,FALSE)</f>
        <v>Balance sheets</v>
      </c>
      <c r="B28" s="34"/>
      <c r="C28" s="34"/>
      <c r="D28" s="34"/>
      <c r="E28" s="34"/>
      <c r="F28" s="34"/>
      <c r="G28" s="34"/>
      <c r="H28" s="34"/>
      <c r="I28" s="34"/>
      <c r="J28" s="31"/>
      <c r="K28" s="31"/>
      <c r="L28" s="31"/>
      <c r="M28" s="31"/>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Cash, cash balances at central banks and other demand deposits</v>
      </c>
      <c r="B31" s="44">
        <v>20.195</v>
      </c>
      <c r="C31" s="44">
        <v>31.8</v>
      </c>
      <c r="D31" s="44">
        <v>17.276</v>
      </c>
      <c r="E31" s="45">
        <v>30.214</v>
      </c>
      <c r="F31" s="44">
        <v>21.08</v>
      </c>
      <c r="G31" s="44">
        <v>0</v>
      </c>
      <c r="H31" s="44">
        <v>0</v>
      </c>
      <c r="I31" s="44">
        <v>0</v>
      </c>
    </row>
    <row r="32" spans="1:9" ht="14.25">
      <c r="A32" s="43" t="str">
        <f>HLOOKUP(INDICE!$F$2,Nombres!$C$3:$D$636,53,FALSE)</f>
        <v>Financial assets designated at fair value </v>
      </c>
      <c r="B32" s="58">
        <v>0</v>
      </c>
      <c r="C32" s="58">
        <v>2.784</v>
      </c>
      <c r="D32" s="58">
        <v>0</v>
      </c>
      <c r="E32" s="65">
        <v>0</v>
      </c>
      <c r="F32" s="44">
        <v>0</v>
      </c>
      <c r="G32" s="44">
        <v>0</v>
      </c>
      <c r="H32" s="44">
        <v>0</v>
      </c>
      <c r="I32" s="44">
        <v>0</v>
      </c>
    </row>
    <row r="33" spans="1:9" ht="14.25">
      <c r="A33" s="43" t="str">
        <f>HLOOKUP(INDICE!$F$2,Nombres!$C$3:$D$636,54,FALSE)</f>
        <v>Financial assets at amortized cost</v>
      </c>
      <c r="B33" s="44">
        <v>1543.154</v>
      </c>
      <c r="C33" s="44">
        <v>1493.4980000000005</v>
      </c>
      <c r="D33" s="44">
        <v>1442.3569999999997</v>
      </c>
      <c r="E33" s="45">
        <v>1459.7740000000001</v>
      </c>
      <c r="F33" s="44">
        <v>1755.8490000000002</v>
      </c>
      <c r="G33" s="44">
        <v>0</v>
      </c>
      <c r="H33" s="44">
        <v>0</v>
      </c>
      <c r="I33" s="44">
        <v>0</v>
      </c>
    </row>
    <row r="34" spans="1:9" ht="14.25">
      <c r="A34" s="43" t="str">
        <f>HLOOKUP(INDICE!$F$2,Nombres!$C$3:$D$636,55,FALSE)</f>
        <v>    of which loans and advances to customers</v>
      </c>
      <c r="B34" s="44">
        <v>1498.221</v>
      </c>
      <c r="C34" s="44">
        <v>1476.1489999999997</v>
      </c>
      <c r="D34" s="44">
        <v>1392.7369999999999</v>
      </c>
      <c r="E34" s="45">
        <v>1400.476</v>
      </c>
      <c r="F34" s="44">
        <v>1639.6470000000002</v>
      </c>
      <c r="G34" s="44">
        <v>0</v>
      </c>
      <c r="H34" s="44">
        <v>0</v>
      </c>
      <c r="I34" s="44">
        <v>0</v>
      </c>
    </row>
    <row r="35" spans="1:9" ht="14.25">
      <c r="A35" s="43"/>
      <c r="B35" s="44"/>
      <c r="C35" s="44"/>
      <c r="D35" s="44"/>
      <c r="E35" s="45"/>
      <c r="F35" s="44"/>
      <c r="G35" s="44"/>
      <c r="H35" s="44"/>
      <c r="I35" s="44"/>
    </row>
    <row r="36" spans="1:9" ht="14.25">
      <c r="A36" s="43" t="str">
        <f>HLOOKUP(INDICE!$F$2,Nombres!$C$3:$D$636,56,FALSE)</f>
        <v>Tangible assets</v>
      </c>
      <c r="B36" s="44">
        <v>9.796000000000001</v>
      </c>
      <c r="C36" s="44">
        <v>9.110999999999999</v>
      </c>
      <c r="D36" s="44">
        <v>8.038</v>
      </c>
      <c r="E36" s="45">
        <v>7.380000000000001</v>
      </c>
      <c r="F36" s="44">
        <v>7.614999999999999</v>
      </c>
      <c r="G36" s="44">
        <v>0</v>
      </c>
      <c r="H36" s="44">
        <v>0</v>
      </c>
      <c r="I36" s="44">
        <v>0</v>
      </c>
    </row>
    <row r="37" spans="1:9" ht="14.25">
      <c r="A37" s="43" t="str">
        <f>HLOOKUP(INDICE!$F$2,Nombres!$C$3:$D$636,57,FALSE)</f>
        <v>Other assets</v>
      </c>
      <c r="B37" s="58">
        <f>+B38-B36-B33-B32-B31</f>
        <v>191.50399999999985</v>
      </c>
      <c r="C37" s="58">
        <f aca="true" t="shared" si="5" ref="C37:I37">+C38-C36-C33-C32-C31</f>
        <v>184.1130000000001</v>
      </c>
      <c r="D37" s="58">
        <f t="shared" si="5"/>
        <v>182.85500022999992</v>
      </c>
      <c r="E37" s="65">
        <f t="shared" si="5"/>
        <v>207.4530001799996</v>
      </c>
      <c r="F37" s="44">
        <f t="shared" si="5"/>
        <v>233.48189099999962</v>
      </c>
      <c r="G37" s="44">
        <f t="shared" si="5"/>
        <v>0</v>
      </c>
      <c r="H37" s="44">
        <f t="shared" si="5"/>
        <v>0</v>
      </c>
      <c r="I37" s="44">
        <f t="shared" si="5"/>
        <v>0</v>
      </c>
    </row>
    <row r="38" spans="1:9" ht="14.25">
      <c r="A38" s="47" t="str">
        <f>HLOOKUP(INDICE!$F$2,Nombres!$C$3:$D$636,58,FALSE)</f>
        <v>Total assets / Liabilities and equity</v>
      </c>
      <c r="B38" s="47">
        <v>1764.649</v>
      </c>
      <c r="C38" s="47">
        <v>1721.3060000000007</v>
      </c>
      <c r="D38" s="47">
        <v>1650.5260002299997</v>
      </c>
      <c r="E38" s="47">
        <v>1704.8210001799998</v>
      </c>
      <c r="F38" s="51">
        <v>2018.0258909999998</v>
      </c>
      <c r="G38" s="51">
        <v>0</v>
      </c>
      <c r="H38" s="51">
        <v>0</v>
      </c>
      <c r="I38" s="51">
        <v>0</v>
      </c>
    </row>
    <row r="39" spans="1:9" ht="14.25">
      <c r="A39" s="43" t="str">
        <f>HLOOKUP(INDICE!$F$2,Nombres!$C$3:$D$636,59,FALSE)</f>
        <v>Financial liabilities held for trading and designated at fair value through profit or loss</v>
      </c>
      <c r="B39" s="58">
        <v>0</v>
      </c>
      <c r="C39" s="58">
        <v>0</v>
      </c>
      <c r="D39" s="58">
        <v>0</v>
      </c>
      <c r="E39" s="65">
        <v>0</v>
      </c>
      <c r="F39" s="44">
        <v>0</v>
      </c>
      <c r="G39" s="44">
        <v>0</v>
      </c>
      <c r="H39" s="44">
        <v>0</v>
      </c>
      <c r="I39" s="44">
        <v>0</v>
      </c>
    </row>
    <row r="40" spans="1:9" ht="15.75" customHeight="1">
      <c r="A40" s="43" t="str">
        <f>HLOOKUP(INDICE!$F$2,Nombres!$C$3:$D$636,60,FALSE)</f>
        <v>Deposits from central banks and credit institutions</v>
      </c>
      <c r="B40" s="58">
        <v>424.039</v>
      </c>
      <c r="C40" s="58">
        <v>422.686</v>
      </c>
      <c r="D40" s="58">
        <v>381.438</v>
      </c>
      <c r="E40" s="65">
        <v>475.307</v>
      </c>
      <c r="F40" s="44">
        <v>648.445</v>
      </c>
      <c r="G40" s="44">
        <v>0</v>
      </c>
      <c r="H40" s="44">
        <v>0</v>
      </c>
      <c r="I40" s="44">
        <v>0</v>
      </c>
    </row>
    <row r="41" spans="1:9" ht="14.25">
      <c r="A41" s="43" t="str">
        <f>HLOOKUP(INDICE!$F$2,Nombres!$C$3:$D$636,61,FALSE)</f>
        <v>Deposits from customers</v>
      </c>
      <c r="B41" s="58">
        <v>5.29</v>
      </c>
      <c r="C41" s="58">
        <v>7.186</v>
      </c>
      <c r="D41" s="58">
        <v>6.383</v>
      </c>
      <c r="E41" s="65">
        <v>7.503</v>
      </c>
      <c r="F41" s="44">
        <v>15.479</v>
      </c>
      <c r="G41" s="44">
        <v>0</v>
      </c>
      <c r="H41" s="44">
        <v>0</v>
      </c>
      <c r="I41" s="44">
        <v>0</v>
      </c>
    </row>
    <row r="42" spans="1:9" ht="14.25">
      <c r="A42" s="43" t="str">
        <f>HLOOKUP(INDICE!$F$2,Nombres!$C$3:$D$636,62,FALSE)</f>
        <v>Debt certificates</v>
      </c>
      <c r="B42" s="44">
        <v>865.592976</v>
      </c>
      <c r="C42" s="44">
        <v>856.5218064000001</v>
      </c>
      <c r="D42" s="44">
        <v>822.8859679999999</v>
      </c>
      <c r="E42" s="45">
        <v>769.0054783999999</v>
      </c>
      <c r="F42" s="44">
        <v>815.6228544</v>
      </c>
      <c r="G42" s="44">
        <v>0</v>
      </c>
      <c r="H42" s="44">
        <v>0</v>
      </c>
      <c r="I42" s="44">
        <v>0</v>
      </c>
    </row>
    <row r="43" spans="1:9" ht="14.25">
      <c r="A43" s="43"/>
      <c r="B43" s="44"/>
      <c r="C43" s="44"/>
      <c r="D43" s="44"/>
      <c r="E43" s="45"/>
      <c r="F43" s="44"/>
      <c r="G43" s="44"/>
      <c r="H43" s="44"/>
      <c r="I43" s="44"/>
    </row>
    <row r="44" spans="1:9" ht="14.25">
      <c r="A44" s="43" t="str">
        <f>HLOOKUP(INDICE!$F$2,Nombres!$C$3:$D$636,63,FALSE)</f>
        <v>Other liabilities</v>
      </c>
      <c r="B44" s="58">
        <f>+B38-B39-B40-B41-B42-B45</f>
        <v>252.8668739999999</v>
      </c>
      <c r="C44" s="58">
        <f aca="true" t="shared" si="6" ref="C44:I44">+C38-C39-C40-C41-C42-C45</f>
        <v>224.40323360000082</v>
      </c>
      <c r="D44" s="58">
        <f t="shared" si="6"/>
        <v>215.44820721999963</v>
      </c>
      <c r="E44" s="65">
        <f t="shared" si="6"/>
        <v>230.03388673999999</v>
      </c>
      <c r="F44" s="44">
        <f t="shared" si="6"/>
        <v>296.1469800799995</v>
      </c>
      <c r="G44" s="44">
        <f t="shared" si="6"/>
        <v>0</v>
      </c>
      <c r="H44" s="44">
        <f t="shared" si="6"/>
        <v>0</v>
      </c>
      <c r="I44" s="44">
        <f t="shared" si="6"/>
        <v>0</v>
      </c>
    </row>
    <row r="45" spans="1:9" ht="14.25">
      <c r="A45" s="43" t="str">
        <f>HLOOKUP(INDICE!$F$2,Nombres!$C$3:$D$636,282,FALSE)</f>
        <v>Regulatory capital allocated</v>
      </c>
      <c r="B45" s="58">
        <v>216.86015</v>
      </c>
      <c r="C45" s="58">
        <v>210.50896</v>
      </c>
      <c r="D45" s="58">
        <v>224.37082500999998</v>
      </c>
      <c r="E45" s="65">
        <v>222.97163504</v>
      </c>
      <c r="F45" s="44">
        <v>242.33205652</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Loans and advances to customers (gross) (*)</v>
      </c>
      <c r="B51" s="44">
        <v>1560.821</v>
      </c>
      <c r="C51" s="44">
        <v>1532.1939999999997</v>
      </c>
      <c r="D51" s="44">
        <v>1445.6029999999998</v>
      </c>
      <c r="E51" s="45">
        <v>1454.9930000000002</v>
      </c>
      <c r="F51" s="282">
        <v>1700.6260000000002</v>
      </c>
      <c r="G51" s="44">
        <v>0</v>
      </c>
      <c r="H51" s="44">
        <v>0</v>
      </c>
      <c r="I51" s="44">
        <v>0</v>
      </c>
    </row>
    <row r="52" spans="1:9" ht="14.25">
      <c r="A52" s="43" t="str">
        <f>HLOOKUP(INDICE!$F$2,Nombres!$C$3:$D$636,67,FALSE)</f>
        <v>Customer deposits under management (*)</v>
      </c>
      <c r="B52" s="44">
        <v>5.289999999999999</v>
      </c>
      <c r="C52" s="44">
        <v>7.186</v>
      </c>
      <c r="D52" s="44">
        <v>6.382999999999999</v>
      </c>
      <c r="E52" s="45">
        <v>7.503</v>
      </c>
      <c r="F52" s="282">
        <v>15.479</v>
      </c>
      <c r="G52" s="44">
        <v>0</v>
      </c>
      <c r="H52" s="44">
        <v>0</v>
      </c>
      <c r="I52" s="44">
        <v>0</v>
      </c>
    </row>
    <row r="53" spans="1:9" ht="14.25">
      <c r="A53" s="43" t="str">
        <f>HLOOKUP(INDICE!$F$2,Nombres!$C$3:$D$636,68,FALSE)</f>
        <v>Investment funds and managed portfolios</v>
      </c>
      <c r="B53" s="44">
        <v>0</v>
      </c>
      <c r="C53" s="44">
        <v>0</v>
      </c>
      <c r="D53" s="44">
        <v>0</v>
      </c>
      <c r="E53" s="45">
        <v>0</v>
      </c>
      <c r="F53" s="282">
        <v>0</v>
      </c>
      <c r="G53" s="44">
        <v>0</v>
      </c>
      <c r="H53" s="44">
        <v>0</v>
      </c>
      <c r="I53" s="44">
        <v>0</v>
      </c>
    </row>
    <row r="54" spans="1:9" ht="14.25">
      <c r="A54" s="43" t="str">
        <f>HLOOKUP(INDICE!$F$2,Nombres!$C$3:$D$636,69,FALSE)</f>
        <v>Pension funds</v>
      </c>
      <c r="B54" s="44">
        <v>0</v>
      </c>
      <c r="C54" s="44">
        <v>0</v>
      </c>
      <c r="D54" s="44">
        <v>0</v>
      </c>
      <c r="E54" s="45">
        <v>0</v>
      </c>
      <c r="F54" s="282">
        <v>0</v>
      </c>
      <c r="G54" s="44">
        <v>0</v>
      </c>
      <c r="H54" s="44">
        <v>0</v>
      </c>
      <c r="I54" s="44">
        <v>0</v>
      </c>
    </row>
    <row r="55" spans="1:9" ht="14.25">
      <c r="A55" s="43" t="str">
        <f>HLOOKUP(INDICE!$F$2,Nombres!$C$3:$D$636,70,FALSE)</f>
        <v>Other off balance-sheet funds</v>
      </c>
      <c r="B55" s="44">
        <v>0</v>
      </c>
      <c r="C55" s="44">
        <v>0</v>
      </c>
      <c r="D55" s="44">
        <v>0</v>
      </c>
      <c r="E55" s="45">
        <v>0</v>
      </c>
      <c r="F55" s="282">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50">
        <v>32.153662269977744</v>
      </c>
      <c r="C64" s="50">
        <v>34.79259127721127</v>
      </c>
      <c r="D64" s="50">
        <v>34.244562144116216</v>
      </c>
      <c r="E64" s="275">
        <v>36.13797618769226</v>
      </c>
      <c r="F64" s="50">
        <v>33.682</v>
      </c>
      <c r="G64" s="50">
        <v>0</v>
      </c>
      <c r="H64" s="50">
        <v>0</v>
      </c>
      <c r="I64" s="50">
        <v>0</v>
      </c>
    </row>
    <row r="65" spans="1:9" ht="14.25">
      <c r="A65" s="43" t="str">
        <f>HLOOKUP(INDICE!$F$2,Nombres!$C$3:$D$636,34,FALSE)</f>
        <v>Net fees and commissions</v>
      </c>
      <c r="B65" s="44">
        <v>-4.02581654419166</v>
      </c>
      <c r="C65" s="44">
        <v>-4.3455723915597755</v>
      </c>
      <c r="D65" s="44">
        <v>-1.0086749618909208</v>
      </c>
      <c r="E65" s="45">
        <v>2.133493365515469</v>
      </c>
      <c r="F65" s="44">
        <v>4.999999999999999</v>
      </c>
      <c r="G65" s="44">
        <v>0</v>
      </c>
      <c r="H65" s="44">
        <v>0</v>
      </c>
      <c r="I65" s="44">
        <v>0</v>
      </c>
    </row>
    <row r="66" spans="1:9" ht="14.25">
      <c r="A66" s="43" t="str">
        <f>HLOOKUP(INDICE!$F$2,Nombres!$C$3:$D$636,35,FALSE)</f>
        <v>Net trading income</v>
      </c>
      <c r="B66" s="44">
        <v>0.03845096985856408</v>
      </c>
      <c r="C66" s="44">
        <v>-0.032714522437994345</v>
      </c>
      <c r="D66" s="44">
        <v>0.5024232188801295</v>
      </c>
      <c r="E66" s="45">
        <v>0.4442693527300351</v>
      </c>
      <c r="F66" s="44">
        <v>1.4220000000000002</v>
      </c>
      <c r="G66" s="44">
        <v>0</v>
      </c>
      <c r="H66" s="44">
        <v>0</v>
      </c>
      <c r="I66" s="44">
        <v>0</v>
      </c>
    </row>
    <row r="67" spans="1:9" ht="14.25">
      <c r="A67" s="43" t="str">
        <f>HLOOKUP(INDICE!$F$2,Nombres!$C$3:$D$636,36,FALSE)</f>
        <v>Other operating income and expenses</v>
      </c>
      <c r="B67" s="44">
        <v>-0.480637123232051</v>
      </c>
      <c r="C67" s="44">
        <v>0.3764249950917008</v>
      </c>
      <c r="D67" s="44">
        <v>0.17514072401023748</v>
      </c>
      <c r="E67" s="45">
        <v>-0.07884077879018414</v>
      </c>
      <c r="F67" s="44">
        <v>-0.11699999999999999</v>
      </c>
      <c r="G67" s="44">
        <v>0</v>
      </c>
      <c r="H67" s="44">
        <v>0</v>
      </c>
      <c r="I67" s="44">
        <v>0</v>
      </c>
    </row>
    <row r="68" spans="1:9" ht="14.25">
      <c r="A68" s="41" t="str">
        <f>HLOOKUP(INDICE!$F$2,Nombres!$C$3:$D$636,37,FALSE)</f>
        <v>Gross income</v>
      </c>
      <c r="B68" s="50">
        <f>+SUM(B64:B67)</f>
        <v>27.685659572412597</v>
      </c>
      <c r="C68" s="50">
        <f>+SUM(C64:C67)</f>
        <v>30.7907293583052</v>
      </c>
      <c r="D68" s="50">
        <f aca="true" t="shared" si="9" ref="D68:I68">+SUM(D64:D67)</f>
        <v>33.91345112511567</v>
      </c>
      <c r="E68" s="275">
        <f t="shared" si="9"/>
        <v>38.636898127147575</v>
      </c>
      <c r="F68" s="50">
        <f t="shared" si="9"/>
        <v>39.987</v>
      </c>
      <c r="G68" s="50">
        <f t="shared" si="9"/>
        <v>0</v>
      </c>
      <c r="H68" s="50">
        <f t="shared" si="9"/>
        <v>0</v>
      </c>
      <c r="I68" s="50">
        <f t="shared" si="9"/>
        <v>0</v>
      </c>
    </row>
    <row r="69" spans="1:9" ht="14.25">
      <c r="A69" s="43" t="str">
        <f>HLOOKUP(INDICE!$F$2,Nombres!$C$3:$D$636,38,FALSE)</f>
        <v>Operating expenses</v>
      </c>
      <c r="B69" s="44">
        <v>-13.890085066888231</v>
      </c>
      <c r="C69" s="44">
        <v>-12.74167611482006</v>
      </c>
      <c r="D69" s="44">
        <v>-8.891783506527926</v>
      </c>
      <c r="E69" s="45">
        <v>-12.39326409562372</v>
      </c>
      <c r="F69" s="44">
        <v>-12.910108999999999</v>
      </c>
      <c r="G69" s="44">
        <v>0</v>
      </c>
      <c r="H69" s="44">
        <v>0</v>
      </c>
      <c r="I69" s="44">
        <v>0</v>
      </c>
    </row>
    <row r="70" spans="1:9" ht="14.25">
      <c r="A70" s="43" t="str">
        <f>HLOOKUP(INDICE!$F$2,Nombres!$C$3:$D$636,39,FALSE)</f>
        <v>  Administration expenses</v>
      </c>
      <c r="B70" s="44">
        <v>-12.81249663660197</v>
      </c>
      <c r="C70" s="44">
        <v>-11.681481806373998</v>
      </c>
      <c r="D70" s="44">
        <v>-7.820290188298086</v>
      </c>
      <c r="E70" s="45">
        <v>-11.167761625759493</v>
      </c>
      <c r="F70" s="44">
        <v>-11.585109</v>
      </c>
      <c r="G70" s="44">
        <v>0</v>
      </c>
      <c r="H70" s="44">
        <v>0</v>
      </c>
      <c r="I70" s="44">
        <v>0</v>
      </c>
    </row>
    <row r="71" spans="1:9" ht="14.25">
      <c r="A71" s="46" t="str">
        <f>HLOOKUP(INDICE!$F$2,Nombres!$C$3:$D$636,40,FALSE)</f>
        <v>  Personnel expenses</v>
      </c>
      <c r="B71" s="44">
        <v>-5.36871666650201</v>
      </c>
      <c r="C71" s="44">
        <v>-5.3440988914119725</v>
      </c>
      <c r="D71" s="44">
        <v>-5.58327224934286</v>
      </c>
      <c r="E71" s="45">
        <v>-6.1300056574595665</v>
      </c>
      <c r="F71" s="44">
        <v>-5.877</v>
      </c>
      <c r="G71" s="44">
        <v>0</v>
      </c>
      <c r="H71" s="44">
        <v>0</v>
      </c>
      <c r="I71" s="44">
        <v>0</v>
      </c>
    </row>
    <row r="72" spans="1:9" ht="14.25">
      <c r="A72" s="46" t="str">
        <f>HLOOKUP(INDICE!$F$2,Nombres!$C$3:$D$636,41,FALSE)</f>
        <v>  General and administrative expenses</v>
      </c>
      <c r="B72" s="44">
        <v>-7.443779970099962</v>
      </c>
      <c r="C72" s="44">
        <v>-6.337382914962025</v>
      </c>
      <c r="D72" s="44">
        <v>-2.237017938955227</v>
      </c>
      <c r="E72" s="45">
        <v>-5.037755968299926</v>
      </c>
      <c r="F72" s="44">
        <v>-5.708109</v>
      </c>
      <c r="G72" s="44">
        <v>0</v>
      </c>
      <c r="H72" s="44">
        <v>0</v>
      </c>
      <c r="I72" s="44">
        <v>0</v>
      </c>
    </row>
    <row r="73" spans="1:9" ht="14.25">
      <c r="A73" s="43" t="str">
        <f>HLOOKUP(INDICE!$F$2,Nombres!$C$3:$D$636,42,FALSE)</f>
        <v>  Depreciation</v>
      </c>
      <c r="B73" s="44">
        <v>-1.0775884302862584</v>
      </c>
      <c r="C73" s="44">
        <v>-1.060194308446063</v>
      </c>
      <c r="D73" s="44">
        <v>-1.071493318229839</v>
      </c>
      <c r="E73" s="45">
        <v>-1.225502469864229</v>
      </c>
      <c r="F73" s="44">
        <v>-1.325</v>
      </c>
      <c r="G73" s="44">
        <v>0</v>
      </c>
      <c r="H73" s="44">
        <v>0</v>
      </c>
      <c r="I73" s="44">
        <v>0</v>
      </c>
    </row>
    <row r="74" spans="1:9" ht="14.25">
      <c r="A74" s="41" t="str">
        <f>HLOOKUP(INDICE!$F$2,Nombres!$C$3:$D$636,43,FALSE)</f>
        <v>Operating income</v>
      </c>
      <c r="B74" s="50">
        <f aca="true" t="shared" si="10" ref="B74:I74">+B68+B69</f>
        <v>13.795574505524366</v>
      </c>
      <c r="C74" s="50">
        <f t="shared" si="10"/>
        <v>18.04905324348514</v>
      </c>
      <c r="D74" s="50">
        <f t="shared" si="10"/>
        <v>25.021667618587745</v>
      </c>
      <c r="E74" s="275">
        <f t="shared" si="10"/>
        <v>26.243634031523854</v>
      </c>
      <c r="F74" s="50">
        <f t="shared" si="10"/>
        <v>27.076891000000003</v>
      </c>
      <c r="G74" s="50">
        <f t="shared" si="10"/>
        <v>0</v>
      </c>
      <c r="H74" s="50">
        <f t="shared" si="10"/>
        <v>0</v>
      </c>
      <c r="I74" s="50">
        <f t="shared" si="10"/>
        <v>0</v>
      </c>
    </row>
    <row r="75" spans="1:9" ht="14.25">
      <c r="A75" s="43" t="str">
        <f>HLOOKUP(INDICE!$F$2,Nombres!$C$3:$D$636,44,FALSE)</f>
        <v>Impaiment on financial assets not measured at fair value through profit or loss</v>
      </c>
      <c r="B75" s="44">
        <v>0.4998626081613327</v>
      </c>
      <c r="C75" s="44">
        <v>1.5021575416175057</v>
      </c>
      <c r="D75" s="44">
        <v>-5.381330511908535</v>
      </c>
      <c r="E75" s="45">
        <v>-6.519819494026715</v>
      </c>
      <c r="F75" s="44">
        <v>-3.9930000000000003</v>
      </c>
      <c r="G75" s="44">
        <v>0</v>
      </c>
      <c r="H75" s="44">
        <v>0</v>
      </c>
      <c r="I75" s="44">
        <v>0</v>
      </c>
    </row>
    <row r="76" spans="1:9" ht="14.25">
      <c r="A76" s="43" t="str">
        <f>HLOOKUP(INDICE!$F$2,Nombres!$C$3:$D$636,45,FALSE)</f>
        <v>Provisions or reversal of provisions and other results</v>
      </c>
      <c r="B76" s="44">
        <v>0.43737978214116646</v>
      </c>
      <c r="C76" s="44">
        <v>0.26629110144872126</v>
      </c>
      <c r="D76" s="44">
        <v>0.4807395049771344</v>
      </c>
      <c r="E76" s="45">
        <v>-4.172248463844124</v>
      </c>
      <c r="F76" s="44">
        <v>0.132</v>
      </c>
      <c r="G76" s="44">
        <v>0</v>
      </c>
      <c r="H76" s="44">
        <v>0</v>
      </c>
      <c r="I76" s="44">
        <v>0</v>
      </c>
    </row>
    <row r="77" spans="1:9" ht="14.25">
      <c r="A77" s="41" t="str">
        <f>HLOOKUP(INDICE!$F$2,Nombres!$C$3:$D$636,46,FALSE)</f>
        <v>Profit/(loss) before tax</v>
      </c>
      <c r="B77" s="50">
        <f aca="true" t="shared" si="11" ref="B77:I77">+B74+B75+B76</f>
        <v>14.732816895826865</v>
      </c>
      <c r="C77" s="50">
        <f t="shared" si="11"/>
        <v>19.81750188655137</v>
      </c>
      <c r="D77" s="50">
        <f t="shared" si="11"/>
        <v>20.121076611656346</v>
      </c>
      <c r="E77" s="275">
        <f t="shared" si="11"/>
        <v>15.551566073653017</v>
      </c>
      <c r="F77" s="50">
        <f t="shared" si="11"/>
        <v>23.215891000000003</v>
      </c>
      <c r="G77" s="50">
        <f t="shared" si="11"/>
        <v>0</v>
      </c>
      <c r="H77" s="50">
        <f t="shared" si="11"/>
        <v>0</v>
      </c>
      <c r="I77" s="50">
        <f t="shared" si="11"/>
        <v>0</v>
      </c>
    </row>
    <row r="78" spans="1:9" ht="14.25">
      <c r="A78" s="43" t="str">
        <f>HLOOKUP(INDICE!$F$2,Nombres!$C$3:$D$636,47,FALSE)</f>
        <v>Income tax</v>
      </c>
      <c r="B78" s="44">
        <v>-3.3560028601862397</v>
      </c>
      <c r="C78" s="44">
        <v>-4.938330863158563</v>
      </c>
      <c r="D78" s="44">
        <v>-4.851365181977641</v>
      </c>
      <c r="E78" s="45">
        <v>-2.288803220884006</v>
      </c>
      <c r="F78" s="44">
        <v>-4.7428673</v>
      </c>
      <c r="G78" s="44">
        <v>0</v>
      </c>
      <c r="H78" s="44">
        <v>0</v>
      </c>
      <c r="I78" s="44">
        <v>0</v>
      </c>
    </row>
    <row r="79" spans="1:9" ht="14.25">
      <c r="A79" s="41" t="str">
        <f>HLOOKUP(INDICE!$F$2,Nombres!$C$3:$D$636,48,FALSE)</f>
        <v>Profit/(loss) for the year</v>
      </c>
      <c r="B79" s="50">
        <f aca="true" t="shared" si="12" ref="B79:I79">+B77+B78</f>
        <v>11.376814035640624</v>
      </c>
      <c r="C79" s="50">
        <f t="shared" si="12"/>
        <v>14.879171023392807</v>
      </c>
      <c r="D79" s="50">
        <f t="shared" si="12"/>
        <v>15.269711429678704</v>
      </c>
      <c r="E79" s="275">
        <f t="shared" si="12"/>
        <v>13.262762852769011</v>
      </c>
      <c r="F79" s="50">
        <f t="shared" si="12"/>
        <v>18.473023700000002</v>
      </c>
      <c r="G79" s="50">
        <f t="shared" si="12"/>
        <v>0</v>
      </c>
      <c r="H79" s="50">
        <f t="shared" si="12"/>
        <v>0</v>
      </c>
      <c r="I79" s="50">
        <f t="shared" si="12"/>
        <v>0</v>
      </c>
    </row>
    <row r="80" spans="1:9" ht="14.25">
      <c r="A80" s="43" t="str">
        <f>HLOOKUP(INDICE!$F$2,Nombres!$C$3:$D$636,49,FALSE)</f>
        <v>Non-controlling interests</v>
      </c>
      <c r="B80" s="44">
        <v>0</v>
      </c>
      <c r="C80" s="44">
        <v>0</v>
      </c>
      <c r="D80" s="44">
        <v>0</v>
      </c>
      <c r="E80" s="45">
        <v>0</v>
      </c>
      <c r="F80" s="44">
        <v>0</v>
      </c>
      <c r="G80" s="44">
        <v>0</v>
      </c>
      <c r="H80" s="44">
        <v>0</v>
      </c>
      <c r="I80" s="44">
        <v>0</v>
      </c>
    </row>
    <row r="81" spans="1:9" ht="14.25">
      <c r="A81" s="47" t="str">
        <f>HLOOKUP(INDICE!$F$2,Nombres!$C$3:$D$636,50,FALSE)</f>
        <v>Net attributable profit</v>
      </c>
      <c r="B81" s="51">
        <f aca="true" t="shared" si="13" ref="B81:I81">+B79+B80</f>
        <v>11.376814035640624</v>
      </c>
      <c r="C81" s="51">
        <f t="shared" si="13"/>
        <v>14.879171023392807</v>
      </c>
      <c r="D81" s="51">
        <f t="shared" si="13"/>
        <v>15.269711429678704</v>
      </c>
      <c r="E81" s="80">
        <f t="shared" si="13"/>
        <v>13.262762852769011</v>
      </c>
      <c r="F81" s="51">
        <f t="shared" si="13"/>
        <v>18.473023700000002</v>
      </c>
      <c r="G81" s="51">
        <f t="shared" si="13"/>
        <v>0</v>
      </c>
      <c r="H81" s="51">
        <f t="shared" si="13"/>
        <v>0</v>
      </c>
      <c r="I81" s="51">
        <f t="shared" si="13"/>
        <v>0</v>
      </c>
    </row>
    <row r="82" spans="1:9" ht="14.25">
      <c r="A82" s="274"/>
      <c r="B82" s="63">
        <v>0</v>
      </c>
      <c r="C82" s="63">
        <v>0</v>
      </c>
      <c r="D82" s="63">
        <v>1.4210854715202004E-14</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19.838458716309503</v>
      </c>
      <c r="C87" s="44">
        <v>31.799288040084036</v>
      </c>
      <c r="D87" s="44">
        <v>18.396010685652094</v>
      </c>
      <c r="E87" s="45">
        <v>33.07935366413518</v>
      </c>
      <c r="F87" s="44">
        <v>21.08</v>
      </c>
      <c r="G87" s="44">
        <v>0</v>
      </c>
      <c r="H87" s="44">
        <v>0</v>
      </c>
      <c r="I87" s="44">
        <v>0</v>
      </c>
    </row>
    <row r="88" spans="1:9" ht="14.25">
      <c r="A88" s="43" t="str">
        <f>HLOOKUP(INDICE!$F$2,Nombres!$C$3:$D$636,53,FALSE)</f>
        <v>Financial assets designated at fair value </v>
      </c>
      <c r="B88" s="58">
        <v>0</v>
      </c>
      <c r="C88" s="58">
        <v>2.7839376699243386</v>
      </c>
      <c r="D88" s="58">
        <v>0</v>
      </c>
      <c r="E88" s="65">
        <v>0</v>
      </c>
      <c r="F88" s="44">
        <v>0</v>
      </c>
      <c r="G88" s="44">
        <v>0</v>
      </c>
      <c r="H88" s="44">
        <v>0</v>
      </c>
      <c r="I88" s="44">
        <v>0</v>
      </c>
    </row>
    <row r="89" spans="1:9" ht="14.25">
      <c r="A89" s="43" t="str">
        <f>HLOOKUP(INDICE!$F$2,Nombres!$C$3:$D$636,54,FALSE)</f>
        <v>Financial assets at amortized cost</v>
      </c>
      <c r="B89" s="44">
        <v>1515.909726264317</v>
      </c>
      <c r="C89" s="44">
        <v>1493.4645625562714</v>
      </c>
      <c r="D89" s="44">
        <v>1535.8656392987446</v>
      </c>
      <c r="E89" s="45">
        <v>1598.2121008707643</v>
      </c>
      <c r="F89" s="44">
        <v>1755.8490000000002</v>
      </c>
      <c r="G89" s="44">
        <v>0</v>
      </c>
      <c r="H89" s="44">
        <v>0</v>
      </c>
      <c r="I89" s="44">
        <v>0</v>
      </c>
    </row>
    <row r="90" spans="1:9" ht="14.25">
      <c r="A90" s="43" t="str">
        <f>HLOOKUP(INDICE!$F$2,Nombres!$C$3:$D$636,55,FALSE)</f>
        <v>    of which loans and advances to customers</v>
      </c>
      <c r="B90" s="44">
        <v>1471.7700151724657</v>
      </c>
      <c r="C90" s="44">
        <v>1476.1159509774218</v>
      </c>
      <c r="D90" s="44">
        <v>1483.0287528538463</v>
      </c>
      <c r="E90" s="45">
        <v>1533.2905574281253</v>
      </c>
      <c r="F90" s="44">
        <v>1639.6470000000002</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9.623052319136812</v>
      </c>
      <c r="C92" s="44">
        <v>9.110796016767473</v>
      </c>
      <c r="D92" s="44">
        <v>8.55910707867976</v>
      </c>
      <c r="E92" s="45">
        <v>8.079884492000984</v>
      </c>
      <c r="F92" s="44">
        <v>7.614999999999999</v>
      </c>
      <c r="G92" s="44">
        <v>0</v>
      </c>
      <c r="H92" s="44">
        <v>0</v>
      </c>
      <c r="I92" s="44">
        <v>0</v>
      </c>
    </row>
    <row r="93" spans="1:9" ht="14.25">
      <c r="A93" s="43" t="str">
        <f>HLOOKUP(INDICE!$F$2,Nombres!$C$3:$D$636,57,FALSE)</f>
        <v>Other assets</v>
      </c>
      <c r="B93" s="58">
        <f>+B94-B92-B89-B88-B87</f>
        <v>188.1230105475684</v>
      </c>
      <c r="C93" s="58">
        <f aca="true" t="shared" si="15" ref="C93:I93">+C94-C92-C89-C88-C87</f>
        <v>184.10887795358474</v>
      </c>
      <c r="D93" s="58">
        <f t="shared" si="15"/>
        <v>194.70957039569268</v>
      </c>
      <c r="E93" s="65">
        <f t="shared" si="15"/>
        <v>227.1268670695747</v>
      </c>
      <c r="F93" s="44">
        <f t="shared" si="15"/>
        <v>233.48189099999962</v>
      </c>
      <c r="G93" s="44">
        <f t="shared" si="15"/>
        <v>0</v>
      </c>
      <c r="H93" s="44">
        <f t="shared" si="15"/>
        <v>0</v>
      </c>
      <c r="I93" s="44">
        <f t="shared" si="15"/>
        <v>0</v>
      </c>
    </row>
    <row r="94" spans="1:9" ht="14.25">
      <c r="A94" s="47" t="str">
        <f>HLOOKUP(INDICE!$F$2,Nombres!$C$3:$D$636,58,FALSE)</f>
        <v>Total assets / Liabilities and equity</v>
      </c>
      <c r="B94" s="47">
        <v>1733.4942478473317</v>
      </c>
      <c r="C94" s="47">
        <v>1721.267462236632</v>
      </c>
      <c r="D94" s="47">
        <v>1757.530327458769</v>
      </c>
      <c r="E94" s="47">
        <v>1866.498206096475</v>
      </c>
      <c r="F94" s="51">
        <v>2018.0258909999998</v>
      </c>
      <c r="G94" s="51">
        <v>0</v>
      </c>
      <c r="H94" s="51">
        <v>0</v>
      </c>
      <c r="I94" s="51">
        <v>0</v>
      </c>
    </row>
    <row r="95" spans="1:9" ht="14.25">
      <c r="A95" s="43" t="str">
        <f>HLOOKUP(INDICE!$F$2,Nombres!$C$3:$D$636,59,FALSE)</f>
        <v>Financial liabilities held for trading and designated at fair value through profit or loss</v>
      </c>
      <c r="B95" s="58">
        <v>0</v>
      </c>
      <c r="C95" s="58">
        <v>0</v>
      </c>
      <c r="D95" s="58">
        <v>0</v>
      </c>
      <c r="E95" s="65">
        <v>0</v>
      </c>
      <c r="F95" s="44">
        <v>0</v>
      </c>
      <c r="G95" s="44">
        <v>0</v>
      </c>
      <c r="H95" s="44">
        <v>0</v>
      </c>
      <c r="I95" s="44">
        <v>0</v>
      </c>
    </row>
    <row r="96" spans="1:9" ht="14.25">
      <c r="A96" s="43" t="str">
        <f>HLOOKUP(INDICE!$F$2,Nombres!$C$3:$D$636,60,FALSE)</f>
        <v>Deposits from central banks and credit institutions</v>
      </c>
      <c r="B96" s="58">
        <v>416.55262171850285</v>
      </c>
      <c r="C96" s="58">
        <v>422.67653661984156</v>
      </c>
      <c r="D96" s="58">
        <v>406.16679346571914</v>
      </c>
      <c r="E96" s="65">
        <v>520.3828805202589</v>
      </c>
      <c r="F96" s="44">
        <v>648.445</v>
      </c>
      <c r="G96" s="44">
        <v>0</v>
      </c>
      <c r="H96" s="44">
        <v>0</v>
      </c>
      <c r="I96" s="44">
        <v>0</v>
      </c>
    </row>
    <row r="97" spans="1:9" ht="14.25">
      <c r="A97" s="43" t="str">
        <f>HLOOKUP(INDICE!$F$2,Nombres!$C$3:$D$636,61,FALSE)</f>
        <v>Deposits from customers</v>
      </c>
      <c r="B97" s="58">
        <v>5.196605427545297</v>
      </c>
      <c r="C97" s="58">
        <v>7.185839114969934</v>
      </c>
      <c r="D97" s="58">
        <v>6.796812700076252</v>
      </c>
      <c r="E97" s="65">
        <v>8.214549233534333</v>
      </c>
      <c r="F97" s="44">
        <v>15.479</v>
      </c>
      <c r="G97" s="44">
        <v>0</v>
      </c>
      <c r="H97" s="44">
        <v>0</v>
      </c>
      <c r="I97" s="44">
        <v>0</v>
      </c>
    </row>
    <row r="98" spans="1:9" ht="14.25">
      <c r="A98" s="43" t="str">
        <f>HLOOKUP(INDICE!$F$2,Nombres!$C$3:$D$636,62,FALSE)</f>
        <v>Debt certificates</v>
      </c>
      <c r="B98" s="44">
        <v>850.310993785763</v>
      </c>
      <c r="C98" s="44">
        <v>856.5026300102735</v>
      </c>
      <c r="D98" s="44">
        <v>876.2340275758954</v>
      </c>
      <c r="E98" s="45">
        <v>841.9343413533816</v>
      </c>
      <c r="F98" s="44">
        <v>815.6228544</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248.40252738654368</v>
      </c>
      <c r="C100" s="58">
        <f aca="true" t="shared" si="16" ref="C100:I100">+C94-C95-C96-C97-C98-C101</f>
        <v>224.39820950857438</v>
      </c>
      <c r="D100" s="58">
        <f t="shared" si="16"/>
        <v>229.4158093438126</v>
      </c>
      <c r="E100" s="65">
        <f t="shared" si="16"/>
        <v>251.84921871344656</v>
      </c>
      <c r="F100" s="44">
        <f t="shared" si="16"/>
        <v>296.1469800799995</v>
      </c>
      <c r="G100" s="44">
        <f t="shared" si="16"/>
        <v>0</v>
      </c>
      <c r="H100" s="44">
        <f t="shared" si="16"/>
        <v>0</v>
      </c>
      <c r="I100" s="44">
        <f t="shared" si="16"/>
        <v>0</v>
      </c>
    </row>
    <row r="101" spans="1:9" ht="14.25">
      <c r="A101" s="43" t="str">
        <f>HLOOKUP(INDICE!$F$2,Nombres!$C$3:$D$636,282,FALSE)</f>
        <v>Regulatory capital allocated</v>
      </c>
      <c r="B101" s="58">
        <v>213.03149952897678</v>
      </c>
      <c r="C101" s="58">
        <v>210.50424698297263</v>
      </c>
      <c r="D101" s="58">
        <v>238.9168843732656</v>
      </c>
      <c r="E101" s="65">
        <v>244.1172162758535</v>
      </c>
      <c r="F101" s="44">
        <v>242.33205652</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1533.264816640204</v>
      </c>
      <c r="C107" s="44">
        <v>1532.1596962040417</v>
      </c>
      <c r="D107" s="44">
        <v>1539.3220789077757</v>
      </c>
      <c r="E107" s="45">
        <v>1592.977693315716</v>
      </c>
      <c r="F107" s="44">
        <v>1700.6260000000002</v>
      </c>
      <c r="G107" s="44">
        <v>0</v>
      </c>
      <c r="H107" s="44">
        <v>0</v>
      </c>
      <c r="I107" s="44">
        <v>0</v>
      </c>
    </row>
    <row r="108" spans="1:9" ht="14.25">
      <c r="A108" s="43" t="str">
        <f>HLOOKUP(INDICE!$F$2,Nombres!$C$3:$D$636,67,FALSE)</f>
        <v>Customer deposits under management (*)</v>
      </c>
      <c r="B108" s="44">
        <v>5.196605427545297</v>
      </c>
      <c r="C108" s="44">
        <v>7.1858391149699345</v>
      </c>
      <c r="D108" s="44">
        <v>6.796812700076252</v>
      </c>
      <c r="E108" s="45">
        <v>8.214549233534331</v>
      </c>
      <c r="F108" s="44">
        <v>15.479</v>
      </c>
      <c r="G108" s="44">
        <v>0</v>
      </c>
      <c r="H108" s="44">
        <v>0</v>
      </c>
      <c r="I108" s="44">
        <v>0</v>
      </c>
    </row>
    <row r="109" spans="1:9" ht="14.25">
      <c r="A109" s="43" t="str">
        <f>HLOOKUP(INDICE!$F$2,Nombres!$C$3:$D$636,68,FALSE)</f>
        <v>Investment funds and managed portfolios</v>
      </c>
      <c r="B109" s="44">
        <v>0</v>
      </c>
      <c r="C109" s="44">
        <v>0</v>
      </c>
      <c r="D109" s="44">
        <v>0</v>
      </c>
      <c r="E109" s="45">
        <v>0</v>
      </c>
      <c r="F109" s="44">
        <v>0</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HLOOKUP(INDICE!$F$2,Nombres!$C$3:$D$636,81,FALSE)</f>
        <v>(Million Chilean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50">
        <v>29187.247061492388</v>
      </c>
      <c r="C120" s="50">
        <v>31582.71518158211</v>
      </c>
      <c r="D120" s="50">
        <v>31085.245824274218</v>
      </c>
      <c r="E120" s="275">
        <v>32803.978297593545</v>
      </c>
      <c r="F120" s="50">
        <v>30574.584234627124</v>
      </c>
      <c r="G120" s="50">
        <v>0</v>
      </c>
      <c r="H120" s="50">
        <v>0</v>
      </c>
      <c r="I120" s="50">
        <v>0</v>
      </c>
    </row>
    <row r="121" spans="1:9" ht="14.25">
      <c r="A121" s="43" t="str">
        <f>HLOOKUP(INDICE!$F$2,Nombres!$C$3:$D$636,34,FALSE)</f>
        <v>Net fees and commissions</v>
      </c>
      <c r="B121" s="44">
        <v>-3654.404935679096</v>
      </c>
      <c r="C121" s="44">
        <v>-3944.660920771166</v>
      </c>
      <c r="D121" s="44">
        <v>-915.6171720115558</v>
      </c>
      <c r="E121" s="45">
        <v>1936.662686834828</v>
      </c>
      <c r="F121" s="44">
        <v>4538.712700348422</v>
      </c>
      <c r="G121" s="44">
        <v>0</v>
      </c>
      <c r="H121" s="44">
        <v>0</v>
      </c>
      <c r="I121" s="44">
        <v>0</v>
      </c>
    </row>
    <row r="122" spans="1:9" ht="14.25">
      <c r="A122" s="43" t="str">
        <f>HLOOKUP(INDICE!$F$2,Nombres!$C$3:$D$636,35,FALSE)</f>
        <v>Net trading income</v>
      </c>
      <c r="B122" s="44">
        <v>34.90358104755584</v>
      </c>
      <c r="C122" s="44">
        <v>-29.696363695031685</v>
      </c>
      <c r="D122" s="44">
        <v>456.07092889623596</v>
      </c>
      <c r="E122" s="45">
        <v>403.2821907222768</v>
      </c>
      <c r="F122" s="44">
        <v>1290.8098919790918</v>
      </c>
      <c r="G122" s="44">
        <v>0</v>
      </c>
      <c r="H122" s="44">
        <v>0</v>
      </c>
      <c r="I122" s="44">
        <v>0</v>
      </c>
    </row>
    <row r="123" spans="1:9" ht="14.25">
      <c r="A123" s="43" t="str">
        <f>HLOOKUP(INDICE!$F$2,Nombres!$C$3:$D$636,36,FALSE)</f>
        <v>Other operating income and expenses</v>
      </c>
      <c r="B123" s="44">
        <v>-436.294763094448</v>
      </c>
      <c r="C123" s="44">
        <v>341.69698119025895</v>
      </c>
      <c r="D123" s="44">
        <v>158.98268568269657</v>
      </c>
      <c r="E123" s="45">
        <v>-71.56712880007389</v>
      </c>
      <c r="F123" s="44">
        <v>-106.20587718815311</v>
      </c>
      <c r="G123" s="44">
        <v>0</v>
      </c>
      <c r="H123" s="44">
        <v>0</v>
      </c>
      <c r="I123" s="44">
        <v>0</v>
      </c>
    </row>
    <row r="124" spans="1:9" ht="14.25">
      <c r="A124" s="41" t="str">
        <f>HLOOKUP(INDICE!$F$2,Nombres!$C$3:$D$636,37,FALSE)</f>
        <v>Gross income</v>
      </c>
      <c r="B124" s="50">
        <f aca="true" t="shared" si="19" ref="B124:I124">+SUM(B120:B123)</f>
        <v>25131.4509437664</v>
      </c>
      <c r="C124" s="50">
        <f t="shared" si="19"/>
        <v>27950.05487830617</v>
      </c>
      <c r="D124" s="50">
        <f t="shared" si="19"/>
        <v>30784.68226684159</v>
      </c>
      <c r="E124" s="275">
        <f t="shared" si="19"/>
        <v>35072.35604635057</v>
      </c>
      <c r="F124" s="50">
        <f t="shared" si="19"/>
        <v>36297.90094976648</v>
      </c>
      <c r="G124" s="50">
        <f t="shared" si="19"/>
        <v>0</v>
      </c>
      <c r="H124" s="50">
        <f t="shared" si="19"/>
        <v>0</v>
      </c>
      <c r="I124" s="50">
        <f t="shared" si="19"/>
        <v>0</v>
      </c>
    </row>
    <row r="125" spans="1:9" ht="14.25">
      <c r="A125" s="43" t="str">
        <f>HLOOKUP(INDICE!$F$2,Nombres!$C$3:$D$636,38,FALSE)</f>
        <v>Operating expenses</v>
      </c>
      <c r="B125" s="44">
        <v>-12608.621100401117</v>
      </c>
      <c r="C125" s="44">
        <v>-11566.161441211994</v>
      </c>
      <c r="D125" s="44">
        <v>-8071.450145965391</v>
      </c>
      <c r="E125" s="45">
        <v>-11249.893029915902</v>
      </c>
      <c r="F125" s="44">
        <v>-11719.055136236497</v>
      </c>
      <c r="G125" s="44">
        <v>0</v>
      </c>
      <c r="H125" s="44">
        <v>0</v>
      </c>
      <c r="I125" s="44">
        <v>0</v>
      </c>
    </row>
    <row r="126" spans="1:9" ht="14.25">
      <c r="A126" s="43" t="str">
        <f>HLOOKUP(INDICE!$F$2,Nombres!$C$3:$D$636,39,FALSE)</f>
        <v>  Administration expenses</v>
      </c>
      <c r="B126" s="44">
        <v>-11630.448241543365</v>
      </c>
      <c r="C126" s="44">
        <v>-10603.777966695743</v>
      </c>
      <c r="D126" s="44">
        <v>-7098.8100796077415</v>
      </c>
      <c r="E126" s="45">
        <v>-10137.452305059674</v>
      </c>
      <c r="F126" s="44">
        <v>-10516.296270644165</v>
      </c>
      <c r="G126" s="44">
        <v>0</v>
      </c>
      <c r="H126" s="44">
        <v>0</v>
      </c>
      <c r="I126" s="44">
        <v>0</v>
      </c>
    </row>
    <row r="127" spans="1:9" ht="14.25">
      <c r="A127" s="46" t="str">
        <f>HLOOKUP(INDICE!$F$2,Nombres!$C$3:$D$636,40,FALSE)</f>
        <v>  Personnel expenses</v>
      </c>
      <c r="B127" s="44">
        <v>-4873.412503764985</v>
      </c>
      <c r="C127" s="44">
        <v>-4851.06590207389</v>
      </c>
      <c r="D127" s="44">
        <v>-5068.173733519071</v>
      </c>
      <c r="E127" s="45">
        <v>-5564.466906143884</v>
      </c>
      <c r="F127" s="44">
        <v>-5334.802907989537</v>
      </c>
      <c r="G127" s="44">
        <v>0</v>
      </c>
      <c r="H127" s="44">
        <v>0</v>
      </c>
      <c r="I127" s="44">
        <v>0</v>
      </c>
    </row>
    <row r="128" spans="1:9" ht="14.25">
      <c r="A128" s="46" t="str">
        <f>HLOOKUP(INDICE!$F$2,Nombres!$C$3:$D$636,41,FALSE)</f>
        <v>  General and administrative expenses</v>
      </c>
      <c r="B128" s="44">
        <v>-6757.03573777838</v>
      </c>
      <c r="C128" s="44">
        <v>-5752.712064621852</v>
      </c>
      <c r="D128" s="44">
        <v>-2030.63634608867</v>
      </c>
      <c r="E128" s="45">
        <v>-4572.985398915789</v>
      </c>
      <c r="F128" s="44">
        <v>-5181.493362654628</v>
      </c>
      <c r="G128" s="44">
        <v>0</v>
      </c>
      <c r="H128" s="44">
        <v>0</v>
      </c>
      <c r="I128" s="44">
        <v>0</v>
      </c>
    </row>
    <row r="129" spans="1:9" ht="14.25">
      <c r="A129" s="43" t="str">
        <f>HLOOKUP(INDICE!$F$2,Nombres!$C$3:$D$636,42,FALSE)</f>
        <v>  Depreciation</v>
      </c>
      <c r="B129" s="44">
        <v>-978.1728588577524</v>
      </c>
      <c r="C129" s="44">
        <v>-962.3834745162521</v>
      </c>
      <c r="D129" s="44">
        <v>-972.6400663576488</v>
      </c>
      <c r="E129" s="45">
        <v>-1112.4407248562275</v>
      </c>
      <c r="F129" s="44">
        <v>-1202.7588655923323</v>
      </c>
      <c r="G129" s="44">
        <v>0</v>
      </c>
      <c r="H129" s="44">
        <v>0</v>
      </c>
      <c r="I129" s="44">
        <v>0</v>
      </c>
    </row>
    <row r="130" spans="1:9" ht="14.25">
      <c r="A130" s="41" t="str">
        <f>HLOOKUP(INDICE!$F$2,Nombres!$C$3:$D$636,43,FALSE)</f>
        <v>Operating income</v>
      </c>
      <c r="B130" s="50">
        <f aca="true" t="shared" si="20" ref="B130:I130">+B124+B125</f>
        <v>12522.829843365282</v>
      </c>
      <c r="C130" s="50">
        <f t="shared" si="20"/>
        <v>16383.893437094177</v>
      </c>
      <c r="D130" s="50">
        <f t="shared" si="20"/>
        <v>22713.2321208762</v>
      </c>
      <c r="E130" s="275">
        <f t="shared" si="20"/>
        <v>23822.463016434667</v>
      </c>
      <c r="F130" s="50">
        <f t="shared" si="20"/>
        <v>24578.845813529984</v>
      </c>
      <c r="G130" s="50">
        <f t="shared" si="20"/>
        <v>0</v>
      </c>
      <c r="H130" s="50">
        <f t="shared" si="20"/>
        <v>0</v>
      </c>
      <c r="I130" s="50">
        <f t="shared" si="20"/>
        <v>0</v>
      </c>
    </row>
    <row r="131" spans="1:9" ht="14.25">
      <c r="A131" s="43" t="str">
        <f>HLOOKUP(INDICE!$F$2,Nombres!$C$3:$D$636,44,FALSE)</f>
        <v>Impaiment on financial assets not measured at fair value through profit or loss</v>
      </c>
      <c r="B131" s="44">
        <v>453.746553618226</v>
      </c>
      <c r="C131" s="44">
        <v>1363.5723024127078</v>
      </c>
      <c r="D131" s="44">
        <v>-4884.862627834353</v>
      </c>
      <c r="E131" s="45">
        <v>-5918.317508303654</v>
      </c>
      <c r="F131" s="44">
        <v>-3624.61596249825</v>
      </c>
      <c r="G131" s="44">
        <v>0</v>
      </c>
      <c r="H131" s="44">
        <v>0</v>
      </c>
      <c r="I131" s="44">
        <v>0</v>
      </c>
    </row>
    <row r="132" spans="1:9" ht="14.25">
      <c r="A132" s="43" t="str">
        <f>HLOOKUP(INDICE!$F$2,Nombres!$C$3:$D$636,45,FALSE)</f>
        <v>Provisions or reversal of provisions and other results</v>
      </c>
      <c r="B132" s="44">
        <v>397.02823441594774</v>
      </c>
      <c r="C132" s="44">
        <v>241.72376082701632</v>
      </c>
      <c r="D132" s="44">
        <v>436.38769935978667</v>
      </c>
      <c r="E132" s="45">
        <v>-3787.327418371704</v>
      </c>
      <c r="F132" s="44">
        <v>119.82201528919839</v>
      </c>
      <c r="G132" s="44">
        <v>0</v>
      </c>
      <c r="H132" s="44">
        <v>0</v>
      </c>
      <c r="I132" s="44">
        <v>0</v>
      </c>
    </row>
    <row r="133" spans="1:9" ht="14.25">
      <c r="A133" s="41" t="str">
        <f>HLOOKUP(INDICE!$F$2,Nombres!$C$3:$D$636,46,FALSE)</f>
        <v>Profit/(loss) before tax</v>
      </c>
      <c r="B133" s="50">
        <f aca="true" t="shared" si="21" ref="B133:I133">+B130+B131+B132</f>
        <v>13373.604631399456</v>
      </c>
      <c r="C133" s="50">
        <f t="shared" si="21"/>
        <v>17989.1895003339</v>
      </c>
      <c r="D133" s="50">
        <f t="shared" si="21"/>
        <v>18264.757192401637</v>
      </c>
      <c r="E133" s="275">
        <f t="shared" si="21"/>
        <v>14116.818089759308</v>
      </c>
      <c r="F133" s="50">
        <f t="shared" si="21"/>
        <v>21074.051866320933</v>
      </c>
      <c r="G133" s="50">
        <f t="shared" si="21"/>
        <v>0</v>
      </c>
      <c r="H133" s="50">
        <f t="shared" si="21"/>
        <v>0</v>
      </c>
      <c r="I133" s="50">
        <f t="shared" si="21"/>
        <v>0</v>
      </c>
    </row>
    <row r="134" spans="1:9" ht="14.25">
      <c r="A134" s="43" t="str">
        <f>HLOOKUP(INDICE!$F$2,Nombres!$C$3:$D$636,47,FALSE)</f>
        <v>Income tax</v>
      </c>
      <c r="B134" s="44">
        <v>-3046.386560786584</v>
      </c>
      <c r="C134" s="44">
        <v>-4482.733001428072</v>
      </c>
      <c r="D134" s="44">
        <v>-4403.7905530940125</v>
      </c>
      <c r="E134" s="45">
        <v>-2077.6440494449216</v>
      </c>
      <c r="F134" s="44">
        <v>-4305.302410115448</v>
      </c>
      <c r="G134" s="44">
        <v>0</v>
      </c>
      <c r="H134" s="44">
        <v>0</v>
      </c>
      <c r="I134" s="44">
        <v>0</v>
      </c>
    </row>
    <row r="135" spans="1:9" ht="14.25">
      <c r="A135" s="41" t="str">
        <f>HLOOKUP(INDICE!$F$2,Nombres!$C$3:$D$636,48,FALSE)</f>
        <v>Profit/(loss) for the year</v>
      </c>
      <c r="B135" s="50">
        <f aca="true" t="shared" si="22" ref="B135:I135">+B133+B134</f>
        <v>10327.218070612871</v>
      </c>
      <c r="C135" s="50">
        <f t="shared" si="22"/>
        <v>13506.456498905829</v>
      </c>
      <c r="D135" s="50">
        <f t="shared" si="22"/>
        <v>13860.966639307626</v>
      </c>
      <c r="E135" s="275">
        <f t="shared" si="22"/>
        <v>12039.174040314387</v>
      </c>
      <c r="F135" s="50">
        <f t="shared" si="22"/>
        <v>16768.749456205485</v>
      </c>
      <c r="G135" s="50">
        <f t="shared" si="22"/>
        <v>0</v>
      </c>
      <c r="H135" s="50">
        <f t="shared" si="22"/>
        <v>0</v>
      </c>
      <c r="I135" s="50">
        <f t="shared" si="22"/>
        <v>0</v>
      </c>
    </row>
    <row r="136" spans="1:9" ht="14.25">
      <c r="A136" s="43" t="str">
        <f>HLOOKUP(INDICE!$F$2,Nombres!$C$3:$D$636,49,FALSE)</f>
        <v>Non-controlling interests</v>
      </c>
      <c r="B136" s="44">
        <v>0</v>
      </c>
      <c r="C136" s="44">
        <v>0</v>
      </c>
      <c r="D136" s="44">
        <v>0</v>
      </c>
      <c r="E136" s="45">
        <v>0</v>
      </c>
      <c r="F136" s="44">
        <v>0</v>
      </c>
      <c r="G136" s="44">
        <v>0</v>
      </c>
      <c r="H136" s="44">
        <v>0</v>
      </c>
      <c r="I136" s="44">
        <v>0</v>
      </c>
    </row>
    <row r="137" spans="1:9" ht="14.25">
      <c r="A137" s="47" t="str">
        <f>HLOOKUP(INDICE!$F$2,Nombres!$C$3:$D$636,50,FALSE)</f>
        <v>Net attributable profit</v>
      </c>
      <c r="B137" s="51">
        <f aca="true" t="shared" si="23" ref="B137:I137">+B135+B136</f>
        <v>10327.218070612871</v>
      </c>
      <c r="C137" s="51">
        <f t="shared" si="23"/>
        <v>13506.456498905829</v>
      </c>
      <c r="D137" s="51">
        <f t="shared" si="23"/>
        <v>13860.966639307626</v>
      </c>
      <c r="E137" s="80">
        <f t="shared" si="23"/>
        <v>12039.174040314387</v>
      </c>
      <c r="F137" s="51">
        <f t="shared" si="23"/>
        <v>16768.749456205485</v>
      </c>
      <c r="G137" s="51">
        <f t="shared" si="23"/>
        <v>0</v>
      </c>
      <c r="H137" s="51">
        <f t="shared" si="23"/>
        <v>0</v>
      </c>
      <c r="I137" s="51">
        <f t="shared" si="23"/>
        <v>0</v>
      </c>
    </row>
    <row r="138" spans="1:9" ht="14.25">
      <c r="A138" s="274"/>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HLOOKUP(INDICE!$F$2,Nombres!$C$3:$D$636,81,FALSE)</f>
        <v>(Million Chilean pesos)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Cash, cash balances at central banks and other demand deposits</v>
      </c>
      <c r="B143" s="44">
        <v>17335.367293680392</v>
      </c>
      <c r="C143" s="44">
        <v>27787.05471706841</v>
      </c>
      <c r="D143" s="44">
        <v>16074.918245139399</v>
      </c>
      <c r="E143" s="45">
        <v>28905.60974547381</v>
      </c>
      <c r="F143" s="44">
        <v>18420.258739675042</v>
      </c>
      <c r="G143" s="44">
        <v>0</v>
      </c>
      <c r="H143" s="44">
        <v>0</v>
      </c>
      <c r="I143" s="44">
        <v>0</v>
      </c>
    </row>
    <row r="144" spans="1:9" ht="14.25">
      <c r="A144" s="43" t="str">
        <f>HLOOKUP(INDICE!$F$2,Nombres!$C$3:$D$636,53,FALSE)</f>
        <v>Financial assets designated at fair value </v>
      </c>
      <c r="B144" s="58">
        <v>0</v>
      </c>
      <c r="C144" s="58">
        <v>2432.6779978716495</v>
      </c>
      <c r="D144" s="58">
        <v>0</v>
      </c>
      <c r="E144" s="65">
        <v>0</v>
      </c>
      <c r="F144" s="44">
        <v>0</v>
      </c>
      <c r="G144" s="44">
        <v>0</v>
      </c>
      <c r="H144" s="44">
        <v>0</v>
      </c>
      <c r="I144" s="44">
        <v>0</v>
      </c>
    </row>
    <row r="145" spans="1:9" ht="14.25">
      <c r="A145" s="43" t="str">
        <f>HLOOKUP(INDICE!$F$2,Nombres!$C$3:$D$636,54,FALSE)</f>
        <v>Financial assets at amortized cost</v>
      </c>
      <c r="B145" s="44">
        <v>1324641.8113747004</v>
      </c>
      <c r="C145" s="44">
        <v>1305028.6366613912</v>
      </c>
      <c r="D145" s="44">
        <v>1342079.813342471</v>
      </c>
      <c r="E145" s="45">
        <v>1396559.792168838</v>
      </c>
      <c r="F145" s="44">
        <v>1534307.0629885998</v>
      </c>
      <c r="G145" s="44">
        <v>0</v>
      </c>
      <c r="H145" s="44">
        <v>0</v>
      </c>
      <c r="I145" s="44">
        <v>0</v>
      </c>
    </row>
    <row r="146" spans="1:9" ht="14.25">
      <c r="A146" s="43" t="str">
        <f>HLOOKUP(INDICE!$F$2,Nombres!$C$3:$D$636,55,FALSE)</f>
        <v>    of which loans and advances to customers</v>
      </c>
      <c r="B146" s="44">
        <v>1286071.3702453645</v>
      </c>
      <c r="C146" s="44">
        <v>1289868.9633190508</v>
      </c>
      <c r="D146" s="44">
        <v>1295909.5515154384</v>
      </c>
      <c r="E146" s="45">
        <v>1339829.6390382661</v>
      </c>
      <c r="F146" s="44">
        <v>1432766.697425615</v>
      </c>
      <c r="G146" s="44">
        <v>0</v>
      </c>
      <c r="H146" s="44">
        <v>0</v>
      </c>
      <c r="I146" s="44">
        <v>0</v>
      </c>
    </row>
    <row r="147" spans="1:9" ht="14.25">
      <c r="A147" s="43"/>
      <c r="B147" s="44"/>
      <c r="C147" s="44"/>
      <c r="D147" s="44"/>
      <c r="E147" s="45"/>
      <c r="F147" s="44"/>
      <c r="G147" s="44"/>
      <c r="H147" s="44"/>
      <c r="I147" s="44"/>
    </row>
    <row r="148" spans="1:9" ht="14.25">
      <c r="A148" s="43" t="str">
        <f>HLOOKUP(INDICE!$F$2,Nombres!$C$3:$D$636,56,FALSE)</f>
        <v>Tangible assets</v>
      </c>
      <c r="B148" s="44">
        <v>8408.87635597391</v>
      </c>
      <c r="C148" s="44">
        <v>7961.253318465731</v>
      </c>
      <c r="D148" s="44">
        <v>7479.173006160597</v>
      </c>
      <c r="E148" s="45">
        <v>7060.415698735576</v>
      </c>
      <c r="F148" s="44">
        <v>6654.18739576022</v>
      </c>
      <c r="G148" s="44">
        <v>0</v>
      </c>
      <c r="H148" s="44">
        <v>0</v>
      </c>
      <c r="I148" s="44">
        <v>0</v>
      </c>
    </row>
    <row r="149" spans="1:9" ht="14.25">
      <c r="A149" s="43" t="str">
        <f>HLOOKUP(INDICE!$F$2,Nombres!$C$3:$D$636,57,FALSE)</f>
        <v>Other assets</v>
      </c>
      <c r="B149" s="58">
        <f>+B150-B148-B145-B144-B143</f>
        <v>164386.83724728733</v>
      </c>
      <c r="C149" s="58">
        <f aca="true" t="shared" si="25" ref="C149:I149">+C150-C148-C145-C144-C143</f>
        <v>160879.1825510571</v>
      </c>
      <c r="D149" s="58">
        <f t="shared" si="25"/>
        <v>170142.34657398672</v>
      </c>
      <c r="E149" s="65">
        <f t="shared" si="25"/>
        <v>198469.43349873557</v>
      </c>
      <c r="F149" s="44">
        <f t="shared" si="25"/>
        <v>204022.6206474671</v>
      </c>
      <c r="G149" s="44">
        <f t="shared" si="25"/>
        <v>0</v>
      </c>
      <c r="H149" s="44">
        <f t="shared" si="25"/>
        <v>0</v>
      </c>
      <c r="I149" s="44">
        <f t="shared" si="25"/>
        <v>0</v>
      </c>
    </row>
    <row r="150" spans="1:9" ht="14.25">
      <c r="A150" s="47" t="str">
        <f>HLOOKUP(INDICE!$F$2,Nombres!$C$3:$D$636,58,FALSE)</f>
        <v>Total assets / Liabilities and equity</v>
      </c>
      <c r="B150" s="47">
        <v>1514772.892271642</v>
      </c>
      <c r="C150" s="47">
        <v>1504088.8052458542</v>
      </c>
      <c r="D150" s="47">
        <v>1535776.2511677577</v>
      </c>
      <c r="E150" s="47">
        <v>1630995.2511117829</v>
      </c>
      <c r="F150" s="51">
        <v>1763404.1297715022</v>
      </c>
      <c r="G150" s="51">
        <v>0</v>
      </c>
      <c r="H150" s="51">
        <v>0</v>
      </c>
      <c r="I150" s="51">
        <v>0</v>
      </c>
    </row>
    <row r="151" spans="1:9" ht="14.25">
      <c r="A151" s="43" t="str">
        <f>HLOOKUP(INDICE!$F$2,Nombres!$C$3:$D$636,59,FALSE)</f>
        <v>Financial liabilities held for trading and designated at fair value through profit or loss</v>
      </c>
      <c r="B151" s="58">
        <v>0</v>
      </c>
      <c r="C151" s="58">
        <v>0</v>
      </c>
      <c r="D151" s="58">
        <v>0</v>
      </c>
      <c r="E151" s="65">
        <v>0</v>
      </c>
      <c r="F151" s="44">
        <v>0</v>
      </c>
      <c r="G151" s="44">
        <v>0</v>
      </c>
      <c r="H151" s="44">
        <v>0</v>
      </c>
      <c r="I151" s="44">
        <v>0</v>
      </c>
    </row>
    <row r="152" spans="1:9" ht="14.25">
      <c r="A152" s="43" t="str">
        <f>HLOOKUP(INDICE!$F$2,Nombres!$C$3:$D$636,60,FALSE)</f>
        <v>Deposits from central banks and credit institutions</v>
      </c>
      <c r="B152" s="58">
        <v>363994.6428247061</v>
      </c>
      <c r="C152" s="58">
        <v>369345.88082197413</v>
      </c>
      <c r="D152" s="58">
        <v>354919.23278475815</v>
      </c>
      <c r="E152" s="65">
        <v>454724.2553548659</v>
      </c>
      <c r="F152" s="44">
        <v>566628.3054292497</v>
      </c>
      <c r="G152" s="44">
        <v>0</v>
      </c>
      <c r="H152" s="44">
        <v>0</v>
      </c>
      <c r="I152" s="44">
        <v>0</v>
      </c>
    </row>
    <row r="153" spans="1:9" ht="14.25">
      <c r="A153" s="43" t="str">
        <f>HLOOKUP(INDICE!$F$2,Nombres!$C$3:$D$636,61,FALSE)</f>
        <v>Deposits from customers</v>
      </c>
      <c r="B153" s="58">
        <v>4540.930576061861</v>
      </c>
      <c r="C153" s="58">
        <v>6279.175320655773</v>
      </c>
      <c r="D153" s="58">
        <v>5939.233801732159</v>
      </c>
      <c r="E153" s="65">
        <v>7178.089293714502</v>
      </c>
      <c r="F153" s="44">
        <v>13525.957544185481</v>
      </c>
      <c r="G153" s="44">
        <v>0</v>
      </c>
      <c r="H153" s="44">
        <v>0</v>
      </c>
      <c r="I153" s="44">
        <v>0</v>
      </c>
    </row>
    <row r="154" spans="1:9" ht="14.25">
      <c r="A154" s="43" t="str">
        <f>HLOOKUP(INDICE!$F$2,Nombres!$C$3:$D$636,62,FALSE)</f>
        <v>Debt certificates</v>
      </c>
      <c r="B154" s="44">
        <v>743024.1230893725</v>
      </c>
      <c r="C154" s="44">
        <v>748434.5377609772</v>
      </c>
      <c r="D154" s="44">
        <v>765676.3522037738</v>
      </c>
      <c r="E154" s="45">
        <v>735704.3837546099</v>
      </c>
      <c r="F154" s="44">
        <v>712712.7140436578</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217060.66537235957</v>
      </c>
      <c r="C156" s="58">
        <f aca="true" t="shared" si="26" ref="C156:I156">+C150-C151-C152-C153-C154-C157</f>
        <v>196085.06071478894</v>
      </c>
      <c r="D156" s="58">
        <f t="shared" si="26"/>
        <v>200469.57149359534</v>
      </c>
      <c r="E156" s="65">
        <f t="shared" si="26"/>
        <v>220072.47495667438</v>
      </c>
      <c r="F156" s="44">
        <f t="shared" si="26"/>
        <v>258781.02457528442</v>
      </c>
      <c r="G156" s="44">
        <f t="shared" si="26"/>
        <v>0</v>
      </c>
      <c r="H156" s="44">
        <f t="shared" si="26"/>
        <v>0</v>
      </c>
      <c r="I156" s="44">
        <f t="shared" si="26"/>
        <v>0</v>
      </c>
    </row>
    <row r="157" spans="1:9" ht="15.75" customHeight="1">
      <c r="A157" s="43" t="str">
        <f>HLOOKUP(INDICE!$F$2,Nombres!$C$3:$D$636,282,FALSE)</f>
        <v>Regulatory capital allocated</v>
      </c>
      <c r="B157" s="58">
        <v>186152.53040914203</v>
      </c>
      <c r="C157" s="58">
        <v>183944.15062745803</v>
      </c>
      <c r="D157" s="58">
        <v>208771.86088389836</v>
      </c>
      <c r="E157" s="65">
        <v>213316.0477519181</v>
      </c>
      <c r="F157" s="44">
        <v>211756.12817912505</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HLOOKUP(INDICE!$F$2,Nombres!$C$3:$D$636,81,FALSE)</f>
        <v>(Million Chilean pesos)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Loans and advances to customers (gross) (*)</v>
      </c>
      <c r="B163" s="44">
        <v>1339807.1460603876</v>
      </c>
      <c r="C163" s="44">
        <v>1338841.4627410038</v>
      </c>
      <c r="D163" s="44">
        <v>1345100.1412322442</v>
      </c>
      <c r="E163" s="45">
        <v>1391985.8290989662</v>
      </c>
      <c r="F163" s="44">
        <v>1486051.7523443364</v>
      </c>
      <c r="G163" s="44">
        <v>0</v>
      </c>
      <c r="H163" s="44">
        <v>0</v>
      </c>
      <c r="I163" s="44">
        <v>0</v>
      </c>
    </row>
    <row r="164" spans="1:9" ht="14.25">
      <c r="A164" s="43" t="str">
        <f>HLOOKUP(INDICE!$F$2,Nombres!$C$3:$D$636,67,FALSE)</f>
        <v>Customer deposits under management (*)</v>
      </c>
      <c r="B164" s="44">
        <v>4540.93057606186</v>
      </c>
      <c r="C164" s="44">
        <v>6279.175320655774</v>
      </c>
      <c r="D164" s="44">
        <v>5939.233801732159</v>
      </c>
      <c r="E164" s="45">
        <v>7178.089293714502</v>
      </c>
      <c r="F164" s="44">
        <v>13525.957544185481</v>
      </c>
      <c r="G164" s="44">
        <v>0</v>
      </c>
      <c r="H164" s="44">
        <v>0</v>
      </c>
      <c r="I164" s="44">
        <v>0</v>
      </c>
    </row>
    <row r="165" spans="1:9" ht="14.25">
      <c r="A165" s="43" t="str">
        <f>HLOOKUP(INDICE!$F$2,Nombres!$C$3:$D$636,68,FALSE)</f>
        <v>Investment funds and managed portfolios</v>
      </c>
      <c r="B165" s="44">
        <v>0</v>
      </c>
      <c r="C165" s="44">
        <v>0</v>
      </c>
      <c r="D165" s="44">
        <v>0</v>
      </c>
      <c r="E165" s="45">
        <v>0</v>
      </c>
      <c r="F165" s="44">
        <v>0</v>
      </c>
      <c r="G165" s="44">
        <v>0</v>
      </c>
      <c r="H165" s="44">
        <v>0</v>
      </c>
      <c r="I165" s="44">
        <v>0</v>
      </c>
    </row>
    <row r="166" spans="1:9" ht="14.25">
      <c r="A166" s="43" t="str">
        <f>HLOOKUP(INDICE!$F$2,Nombres!$C$3:$D$636,69,FALSE)</f>
        <v>Pension funds</v>
      </c>
      <c r="B166" s="44">
        <v>0</v>
      </c>
      <c r="C166" s="44">
        <v>0</v>
      </c>
      <c r="D166" s="44">
        <v>0</v>
      </c>
      <c r="E166" s="45">
        <v>0</v>
      </c>
      <c r="F166" s="44">
        <v>0</v>
      </c>
      <c r="G166" s="44">
        <v>0</v>
      </c>
      <c r="H166" s="44">
        <v>0</v>
      </c>
      <c r="I166" s="44">
        <v>0</v>
      </c>
    </row>
    <row r="167" spans="1:9" ht="14.25">
      <c r="A167" s="43" t="str">
        <f>HLOOKUP(INDICE!$F$2,Nombres!$C$3:$D$636,70,FALSE)</f>
        <v>Other off balance-sheet funds</v>
      </c>
      <c r="B167" s="44">
        <v>0</v>
      </c>
      <c r="C167" s="44">
        <v>0</v>
      </c>
      <c r="D167" s="44">
        <v>0</v>
      </c>
      <c r="E167" s="45">
        <v>0</v>
      </c>
      <c r="F167" s="44">
        <v>0</v>
      </c>
      <c r="G167" s="44">
        <v>0</v>
      </c>
      <c r="H167" s="44">
        <v>0</v>
      </c>
      <c r="I167" s="44">
        <v>0</v>
      </c>
    </row>
    <row r="168" spans="1:9" ht="14.25">
      <c r="A168" s="62" t="str">
        <f>HLOOKUP(INDICE!$F$2,Nombres!$C$3:$D$636,71,FALSE)</f>
        <v>(*) Excluding repos. </v>
      </c>
      <c r="B168" s="44"/>
      <c r="C168" s="58"/>
      <c r="D168" s="58"/>
      <c r="E168" s="58"/>
      <c r="F168" s="44"/>
      <c r="G168" s="44"/>
      <c r="H168" s="44"/>
      <c r="I168" s="44"/>
    </row>
    <row r="169" spans="1:9" ht="14.25">
      <c r="A169" s="62">
        <f>HLOOKUP(INDICE!$F$2,Nombres!$C$3:$D$636,72,FALSE)</f>
        <v>0</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3"/>
      <c r="B172" s="74"/>
      <c r="C172" s="75"/>
      <c r="D172" s="75"/>
      <c r="E172" s="75"/>
      <c r="F172" s="74"/>
      <c r="G172" s="74"/>
      <c r="H172" s="74"/>
      <c r="I172" s="74"/>
    </row>
    <row r="173" spans="1:13" ht="14.25">
      <c r="A173" s="73"/>
      <c r="B173" s="74"/>
      <c r="C173" s="75"/>
      <c r="D173" s="75"/>
      <c r="E173" s="75"/>
      <c r="F173" s="74"/>
      <c r="G173" s="74"/>
      <c r="H173" s="74"/>
      <c r="I173" s="74"/>
      <c r="J173" s="74"/>
      <c r="K173" s="74"/>
      <c r="L173" s="74"/>
      <c r="M173" s="74"/>
    </row>
    <row r="174" spans="1:13" ht="14.25">
      <c r="A174" s="74"/>
      <c r="B174" s="74"/>
      <c r="C174" s="74"/>
      <c r="D174" s="74"/>
      <c r="E174" s="74"/>
      <c r="F174" s="74"/>
      <c r="G174" s="74"/>
      <c r="H174" s="74"/>
      <c r="I174" s="74"/>
      <c r="J174" s="74"/>
      <c r="K174" s="74"/>
      <c r="L174" s="74"/>
      <c r="M174" s="74"/>
    </row>
    <row r="175" spans="1:13" ht="14.25">
      <c r="A175" s="74"/>
      <c r="B175" s="74"/>
      <c r="C175" s="74"/>
      <c r="D175" s="74"/>
      <c r="E175" s="74"/>
      <c r="F175" s="74"/>
      <c r="G175" s="74"/>
      <c r="H175" s="74"/>
      <c r="I175" s="74"/>
      <c r="J175" s="74"/>
      <c r="K175" s="74"/>
      <c r="L175" s="74"/>
      <c r="M175" s="74"/>
    </row>
    <row r="176" spans="1:15" ht="14.25">
      <c r="A176" s="74"/>
      <c r="B176" s="74"/>
      <c r="C176" s="74"/>
      <c r="D176" s="74"/>
      <c r="E176" s="74"/>
      <c r="F176" s="74"/>
      <c r="G176" s="74"/>
      <c r="H176" s="74"/>
      <c r="I176" s="74"/>
      <c r="J176" s="74"/>
      <c r="K176" s="74"/>
      <c r="L176" s="74"/>
      <c r="M176" s="74"/>
      <c r="N176" s="74"/>
      <c r="O176" s="74"/>
    </row>
    <row r="177" spans="1:15" ht="14.25">
      <c r="A177" s="74"/>
      <c r="B177" s="74"/>
      <c r="C177" s="74"/>
      <c r="D177" s="74"/>
      <c r="E177" s="74"/>
      <c r="F177" s="74"/>
      <c r="G177" s="74"/>
      <c r="H177" s="74"/>
      <c r="I177" s="74"/>
      <c r="J177" s="74"/>
      <c r="K177" s="74"/>
      <c r="L177" s="74"/>
      <c r="M177" s="74"/>
      <c r="N177" s="74"/>
      <c r="O177" s="74"/>
    </row>
    <row r="178" spans="1:15" ht="14.25">
      <c r="A178" s="74"/>
      <c r="B178" s="74"/>
      <c r="C178" s="74"/>
      <c r="D178" s="74"/>
      <c r="E178" s="74"/>
      <c r="F178" s="74"/>
      <c r="G178" s="74"/>
      <c r="H178" s="74"/>
      <c r="I178" s="74"/>
      <c r="J178" s="74"/>
      <c r="K178" s="74"/>
      <c r="L178" s="74"/>
      <c r="M178" s="74"/>
      <c r="N178" s="74"/>
      <c r="O178" s="74"/>
    </row>
    <row r="179" spans="1:15" ht="14.25">
      <c r="A179" s="74"/>
      <c r="B179" s="74"/>
      <c r="C179" s="74"/>
      <c r="D179" s="74"/>
      <c r="E179" s="74"/>
      <c r="F179" s="74"/>
      <c r="G179" s="74"/>
      <c r="H179" s="74"/>
      <c r="I179" s="74"/>
      <c r="J179" s="74"/>
      <c r="K179" s="74"/>
      <c r="L179" s="74"/>
      <c r="M179" s="74"/>
      <c r="N179" s="74"/>
      <c r="O179" s="74"/>
    </row>
    <row r="180" spans="1:15" ht="14.25">
      <c r="A180" s="74"/>
      <c r="B180" s="74"/>
      <c r="C180" s="74"/>
      <c r="D180" s="74"/>
      <c r="E180" s="74"/>
      <c r="F180" s="74"/>
      <c r="G180" s="74"/>
      <c r="H180" s="74"/>
      <c r="I180" s="74"/>
      <c r="J180" s="74"/>
      <c r="K180" s="74"/>
      <c r="L180" s="74"/>
      <c r="M180" s="74"/>
      <c r="N180" s="74"/>
      <c r="O180" s="74"/>
    </row>
    <row r="181" spans="14:15" ht="14.25">
      <c r="N181" s="74"/>
      <c r="O181" s="74"/>
    </row>
    <row r="182" spans="14:15" ht="14.25">
      <c r="N182" s="74"/>
      <c r="O182" s="74"/>
    </row>
    <row r="183" spans="14:15" ht="14.25">
      <c r="N183" s="74"/>
      <c r="O183" s="74"/>
    </row>
    <row r="997" ht="14.25">
      <c r="A997" s="31" t="s">
        <v>392</v>
      </c>
    </row>
  </sheetData>
  <sheetProtection/>
  <mergeCells count="6">
    <mergeCell ref="B6:E6"/>
    <mergeCell ref="F6:I6"/>
    <mergeCell ref="B62:E62"/>
    <mergeCell ref="F62:I62"/>
    <mergeCell ref="B118:E118"/>
    <mergeCell ref="F118:I118"/>
  </mergeCells>
  <conditionalFormatting sqref="G26:I26">
    <cfRule type="cellIs" priority="18" dxfId="128" operator="notBetween">
      <formula>0.5</formula>
      <formula>-0.5</formula>
    </cfRule>
  </conditionalFormatting>
  <conditionalFormatting sqref="C26">
    <cfRule type="cellIs" priority="17" dxfId="128" operator="notBetween">
      <formula>0.5</formula>
      <formula>-0.5</formula>
    </cfRule>
  </conditionalFormatting>
  <conditionalFormatting sqref="D26">
    <cfRule type="cellIs" priority="16" dxfId="128" operator="notBetween">
      <formula>0.5</formula>
      <formula>-0.5</formula>
    </cfRule>
  </conditionalFormatting>
  <conditionalFormatting sqref="E26">
    <cfRule type="cellIs" priority="15" dxfId="128" operator="notBetween">
      <formula>0.5</formula>
      <formula>-0.5</formula>
    </cfRule>
  </conditionalFormatting>
  <conditionalFormatting sqref="F26:I26">
    <cfRule type="cellIs" priority="14" dxfId="128" operator="notBetween">
      <formula>0.5</formula>
      <formula>-0.5</formula>
    </cfRule>
  </conditionalFormatting>
  <conditionalFormatting sqref="G82:I82">
    <cfRule type="cellIs" priority="13" dxfId="128" operator="notBetween">
      <formula>0.5</formula>
      <formula>-0.5</formula>
    </cfRule>
  </conditionalFormatting>
  <conditionalFormatting sqref="C82">
    <cfRule type="cellIs" priority="12" dxfId="128" operator="notBetween">
      <formula>0.5</formula>
      <formula>-0.5</formula>
    </cfRule>
  </conditionalFormatting>
  <conditionalFormatting sqref="D82">
    <cfRule type="cellIs" priority="11" dxfId="128" operator="notBetween">
      <formula>0.5</formula>
      <formula>-0.5</formula>
    </cfRule>
  </conditionalFormatting>
  <conditionalFormatting sqref="E82">
    <cfRule type="cellIs" priority="10" dxfId="128" operator="notBetween">
      <formula>0.5</formula>
      <formula>-0.5</formula>
    </cfRule>
  </conditionalFormatting>
  <conditionalFormatting sqref="F82:I82">
    <cfRule type="cellIs" priority="9" dxfId="128" operator="notBetween">
      <formula>0.5</formula>
      <formula>-0.5</formula>
    </cfRule>
  </conditionalFormatting>
  <conditionalFormatting sqref="G138:I138">
    <cfRule type="cellIs" priority="8" dxfId="128" operator="notBetween">
      <formula>0.5</formula>
      <formula>-0.5</formula>
    </cfRule>
  </conditionalFormatting>
  <conditionalFormatting sqref="C138">
    <cfRule type="cellIs" priority="7" dxfId="128" operator="notBetween">
      <formula>0.5</formula>
      <formula>-0.5</formula>
    </cfRule>
  </conditionalFormatting>
  <conditionalFormatting sqref="D138">
    <cfRule type="cellIs" priority="6" dxfId="128" operator="notBetween">
      <formula>0.5</formula>
      <formula>-0.5</formula>
    </cfRule>
  </conditionalFormatting>
  <conditionalFormatting sqref="E138">
    <cfRule type="cellIs" priority="5" dxfId="128" operator="notBetween">
      <formula>0.5</formula>
      <formula>-0.5</formula>
    </cfRule>
  </conditionalFormatting>
  <conditionalFormatting sqref="F138:I138">
    <cfRule type="cellIs" priority="4" dxfId="128" operator="notBetween">
      <formula>0.5</formula>
      <formula>-0.5</formula>
    </cfRule>
  </conditionalFormatting>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200.88199999999998</v>
      </c>
      <c r="C8" s="41">
        <v>187.75100000000003</v>
      </c>
      <c r="D8" s="41">
        <v>186.068</v>
      </c>
      <c r="E8" s="42">
        <v>194.73200000000008</v>
      </c>
      <c r="F8" s="50">
        <v>212.54699999999997</v>
      </c>
      <c r="G8" s="50">
        <v>0</v>
      </c>
      <c r="H8" s="50">
        <v>0</v>
      </c>
      <c r="I8" s="50">
        <v>0</v>
      </c>
    </row>
    <row r="9" spans="1:9" ht="14.25">
      <c r="A9" s="43" t="str">
        <f>HLOOKUP(INDICE!$F$2,Nombres!$C$3:$D$636,34,FALSE)</f>
        <v>Net fees and commissions</v>
      </c>
      <c r="B9" s="44">
        <v>21.442577090000007</v>
      </c>
      <c r="C9" s="44">
        <v>21.786242820000002</v>
      </c>
      <c r="D9" s="44">
        <v>19.6519719</v>
      </c>
      <c r="E9" s="45">
        <v>19.83739961000001</v>
      </c>
      <c r="F9" s="44">
        <v>25.100369359999995</v>
      </c>
      <c r="G9" s="44">
        <v>0</v>
      </c>
      <c r="H9" s="44">
        <v>0</v>
      </c>
      <c r="I9" s="44">
        <v>0</v>
      </c>
    </row>
    <row r="10" spans="1:9" ht="14.25">
      <c r="A10" s="43" t="str">
        <f>HLOOKUP(INDICE!$F$2,Nombres!$C$3:$D$636,35,FALSE)</f>
        <v>Net trading income</v>
      </c>
      <c r="B10" s="44">
        <v>7.323841200000001</v>
      </c>
      <c r="C10" s="44">
        <v>21.407726229999998</v>
      </c>
      <c r="D10" s="44">
        <v>18.564150070000004</v>
      </c>
      <c r="E10" s="45">
        <v>23.17207716</v>
      </c>
      <c r="F10" s="44">
        <v>24.080761770000002</v>
      </c>
      <c r="G10" s="44">
        <v>0</v>
      </c>
      <c r="H10" s="44">
        <v>0</v>
      </c>
      <c r="I10" s="44">
        <v>0</v>
      </c>
    </row>
    <row r="11" spans="1:9" ht="14.25">
      <c r="A11" s="43" t="str">
        <f>HLOOKUP(INDICE!$F$2,Nombres!$C$3:$D$636,36,FALSE)</f>
        <v>Other operating income and expenses</v>
      </c>
      <c r="B11" s="44">
        <v>-4.484</v>
      </c>
      <c r="C11" s="44">
        <v>-9.119</v>
      </c>
      <c r="D11" s="44">
        <v>-9.748999999999999</v>
      </c>
      <c r="E11" s="45">
        <v>-8.159000000000017</v>
      </c>
      <c r="F11" s="44">
        <v>-3.629000000000004</v>
      </c>
      <c r="G11" s="44">
        <v>0</v>
      </c>
      <c r="H11" s="44">
        <v>0</v>
      </c>
      <c r="I11" s="44">
        <v>0</v>
      </c>
    </row>
    <row r="12" spans="1:9" ht="14.25">
      <c r="A12" s="41" t="str">
        <f>HLOOKUP(INDICE!$F$2,Nombres!$C$3:$D$636,37,FALSE)</f>
        <v>Gross income</v>
      </c>
      <c r="B12" s="41">
        <f>+SUM(B8:B11)</f>
        <v>225.16441829</v>
      </c>
      <c r="C12" s="41">
        <f aca="true" t="shared" si="0" ref="C12:I12">+SUM(C8:C11)</f>
        <v>221.82596905000005</v>
      </c>
      <c r="D12" s="41">
        <f t="shared" si="0"/>
        <v>214.53512197000003</v>
      </c>
      <c r="E12" s="42">
        <f t="shared" si="0"/>
        <v>229.58247677000006</v>
      </c>
      <c r="F12" s="50">
        <f t="shared" si="0"/>
        <v>258.09913112999993</v>
      </c>
      <c r="G12" s="50">
        <f t="shared" si="0"/>
        <v>0</v>
      </c>
      <c r="H12" s="50">
        <f t="shared" si="0"/>
        <v>0</v>
      </c>
      <c r="I12" s="50">
        <f t="shared" si="0"/>
        <v>0</v>
      </c>
    </row>
    <row r="13" spans="1:9" ht="14.25">
      <c r="A13" s="43" t="str">
        <f>HLOOKUP(INDICE!$F$2,Nombres!$C$3:$D$636,38,FALSE)</f>
        <v>Operating expenses</v>
      </c>
      <c r="B13" s="44">
        <v>-82.39568934000002</v>
      </c>
      <c r="C13" s="44">
        <v>-79.25102936</v>
      </c>
      <c r="D13" s="44">
        <v>-82.50551233</v>
      </c>
      <c r="E13" s="45">
        <v>-85.82463134000001</v>
      </c>
      <c r="F13" s="44">
        <v>-88.63072147999999</v>
      </c>
      <c r="G13" s="44">
        <v>0</v>
      </c>
      <c r="H13" s="44">
        <v>0</v>
      </c>
      <c r="I13" s="44">
        <v>0</v>
      </c>
    </row>
    <row r="14" spans="1:9" ht="14.25">
      <c r="A14" s="43" t="str">
        <f>HLOOKUP(INDICE!$F$2,Nombres!$C$3:$D$636,39,FALSE)</f>
        <v>  Administration expenses</v>
      </c>
      <c r="B14" s="44">
        <v>-75.29368934000001</v>
      </c>
      <c r="C14" s="44">
        <v>-72.44402936</v>
      </c>
      <c r="D14" s="44">
        <v>-75.91251233</v>
      </c>
      <c r="E14" s="45">
        <v>-79.05763134</v>
      </c>
      <c r="F14" s="44">
        <v>-81.40872148</v>
      </c>
      <c r="G14" s="44">
        <v>0</v>
      </c>
      <c r="H14" s="44">
        <v>0</v>
      </c>
      <c r="I14" s="44">
        <v>0</v>
      </c>
    </row>
    <row r="15" spans="1:9" ht="14.25">
      <c r="A15" s="46" t="str">
        <f>HLOOKUP(INDICE!$F$2,Nombres!$C$3:$D$636,40,FALSE)</f>
        <v>  Personnel expenses</v>
      </c>
      <c r="B15" s="44">
        <v>-37.051</v>
      </c>
      <c r="C15" s="44">
        <v>-34.51000001</v>
      </c>
      <c r="D15" s="44">
        <v>-37.00099999</v>
      </c>
      <c r="E15" s="45">
        <v>-35.537</v>
      </c>
      <c r="F15" s="44">
        <v>-41.048</v>
      </c>
      <c r="G15" s="44">
        <v>0</v>
      </c>
      <c r="H15" s="44">
        <v>0</v>
      </c>
      <c r="I15" s="44">
        <v>0</v>
      </c>
    </row>
    <row r="16" spans="1:9" ht="14.25">
      <c r="A16" s="46" t="str">
        <f>HLOOKUP(INDICE!$F$2,Nombres!$C$3:$D$636,41,FALSE)</f>
        <v>  General and administrative expenses</v>
      </c>
      <c r="B16" s="44">
        <v>-38.24268934</v>
      </c>
      <c r="C16" s="44">
        <v>-37.93402935</v>
      </c>
      <c r="D16" s="44">
        <v>-38.91151234</v>
      </c>
      <c r="E16" s="45">
        <v>-43.52063134000001</v>
      </c>
      <c r="F16" s="44">
        <v>-40.36072148</v>
      </c>
      <c r="G16" s="44">
        <v>0</v>
      </c>
      <c r="H16" s="44">
        <v>0</v>
      </c>
      <c r="I16" s="44">
        <v>0</v>
      </c>
    </row>
    <row r="17" spans="1:9" ht="14.25">
      <c r="A17" s="43" t="str">
        <f>HLOOKUP(INDICE!$F$2,Nombres!$C$3:$D$636,42,FALSE)</f>
        <v>  Depreciation</v>
      </c>
      <c r="B17" s="44">
        <v>-7.102</v>
      </c>
      <c r="C17" s="44">
        <v>-6.807</v>
      </c>
      <c r="D17" s="44">
        <v>-6.593</v>
      </c>
      <c r="E17" s="45">
        <v>-6.767</v>
      </c>
      <c r="F17" s="44">
        <v>-7.2219999999999995</v>
      </c>
      <c r="G17" s="44">
        <v>0</v>
      </c>
      <c r="H17" s="44">
        <v>0</v>
      </c>
      <c r="I17" s="44">
        <v>0</v>
      </c>
    </row>
    <row r="18" spans="1:9" ht="14.25">
      <c r="A18" s="41" t="str">
        <f>HLOOKUP(INDICE!$F$2,Nombres!$C$3:$D$636,43,FALSE)</f>
        <v>Operating income</v>
      </c>
      <c r="B18" s="41">
        <f>+B12+B13</f>
        <v>142.76872894999997</v>
      </c>
      <c r="C18" s="41">
        <f aca="true" t="shared" si="1" ref="C18:I18">+C12+C13</f>
        <v>142.57493969000006</v>
      </c>
      <c r="D18" s="41">
        <f t="shared" si="1"/>
        <v>132.02960964000005</v>
      </c>
      <c r="E18" s="42">
        <f t="shared" si="1"/>
        <v>143.75784543000003</v>
      </c>
      <c r="F18" s="50">
        <f t="shared" si="1"/>
        <v>169.46840964999996</v>
      </c>
      <c r="G18" s="50">
        <f t="shared" si="1"/>
        <v>0</v>
      </c>
      <c r="H18" s="50">
        <f t="shared" si="1"/>
        <v>0</v>
      </c>
      <c r="I18" s="50">
        <f t="shared" si="1"/>
        <v>0</v>
      </c>
    </row>
    <row r="19" spans="1:9" ht="14.25">
      <c r="A19" s="43" t="str">
        <f>HLOOKUP(INDICE!$F$2,Nombres!$C$3:$D$636,44,FALSE)</f>
        <v>Impaiment on financial assets not measured at fair value through profit or loss</v>
      </c>
      <c r="B19" s="44">
        <v>-68.209</v>
      </c>
      <c r="C19" s="44">
        <v>-66.84700000000001</v>
      </c>
      <c r="D19" s="44">
        <v>-49.621</v>
      </c>
      <c r="E19" s="45">
        <v>-41.258999999999986</v>
      </c>
      <c r="F19" s="44">
        <v>-55.44199999999999</v>
      </c>
      <c r="G19" s="44">
        <v>0</v>
      </c>
      <c r="H19" s="44">
        <v>0</v>
      </c>
      <c r="I19" s="44">
        <v>0</v>
      </c>
    </row>
    <row r="20" spans="1:9" ht="14.25">
      <c r="A20" s="43" t="str">
        <f>HLOOKUP(INDICE!$F$2,Nombres!$C$3:$D$636,45,FALSE)</f>
        <v>Provisions or reversal of provisions and other results</v>
      </c>
      <c r="B20" s="44">
        <v>-7.4769999999999985</v>
      </c>
      <c r="C20" s="44">
        <v>3.812</v>
      </c>
      <c r="D20" s="44">
        <v>2.474</v>
      </c>
      <c r="E20" s="45">
        <v>-3.8530000000000006</v>
      </c>
      <c r="F20" s="44">
        <v>-1.6279999999999997</v>
      </c>
      <c r="G20" s="44">
        <v>0</v>
      </c>
      <c r="H20" s="44">
        <v>0</v>
      </c>
      <c r="I20" s="44">
        <v>0</v>
      </c>
    </row>
    <row r="21" spans="1:9" ht="14.25">
      <c r="A21" s="41" t="str">
        <f>HLOOKUP(INDICE!$F$2,Nombres!$C$3:$D$636,46,FALSE)</f>
        <v>Profit/(loss) before tax</v>
      </c>
      <c r="B21" s="41">
        <f>+B18+B19+B20</f>
        <v>67.08272894999996</v>
      </c>
      <c r="C21" s="41">
        <f aca="true" t="shared" si="2" ref="C21:I21">+C18+C19+C20</f>
        <v>79.53993969000005</v>
      </c>
      <c r="D21" s="41">
        <f t="shared" si="2"/>
        <v>84.88260964000004</v>
      </c>
      <c r="E21" s="42">
        <f t="shared" si="2"/>
        <v>98.64584543000005</v>
      </c>
      <c r="F21" s="50">
        <f t="shared" si="2"/>
        <v>112.39840964999996</v>
      </c>
      <c r="G21" s="50">
        <f t="shared" si="2"/>
        <v>0</v>
      </c>
      <c r="H21" s="50">
        <f t="shared" si="2"/>
        <v>0</v>
      </c>
      <c r="I21" s="50">
        <f t="shared" si="2"/>
        <v>0</v>
      </c>
    </row>
    <row r="22" spans="1:9" ht="14.25">
      <c r="A22" s="43" t="str">
        <f>HLOOKUP(INDICE!$F$2,Nombres!$C$3:$D$636,47,FALSE)</f>
        <v>Income tax</v>
      </c>
      <c r="B22" s="44">
        <v>-18.26494178</v>
      </c>
      <c r="C22" s="44">
        <v>-20.94797282</v>
      </c>
      <c r="D22" s="44">
        <v>-30.519016289999996</v>
      </c>
      <c r="E22" s="45">
        <v>-28.29888186000001</v>
      </c>
      <c r="F22" s="44">
        <v>-40.56970269</v>
      </c>
      <c r="G22" s="44">
        <v>0</v>
      </c>
      <c r="H22" s="44">
        <v>0</v>
      </c>
      <c r="I22" s="44">
        <v>0</v>
      </c>
    </row>
    <row r="23" spans="1:9" ht="14.25">
      <c r="A23" s="41" t="str">
        <f>HLOOKUP(INDICE!$F$2,Nombres!$C$3:$D$636,48,FALSE)</f>
        <v>Profit/(loss) for the year</v>
      </c>
      <c r="B23" s="41">
        <f>+B21+B22</f>
        <v>48.81778716999996</v>
      </c>
      <c r="C23" s="41">
        <f aca="true" t="shared" si="3" ref="C23:I23">+C21+C22</f>
        <v>58.59196687000005</v>
      </c>
      <c r="D23" s="41">
        <f t="shared" si="3"/>
        <v>54.363593350000045</v>
      </c>
      <c r="E23" s="42">
        <f t="shared" si="3"/>
        <v>70.34696357000004</v>
      </c>
      <c r="F23" s="50">
        <f t="shared" si="3"/>
        <v>71.82870695999996</v>
      </c>
      <c r="G23" s="50">
        <f t="shared" si="3"/>
        <v>0</v>
      </c>
      <c r="H23" s="50">
        <f t="shared" si="3"/>
        <v>0</v>
      </c>
      <c r="I23" s="50">
        <f t="shared" si="3"/>
        <v>0</v>
      </c>
    </row>
    <row r="24" spans="1:9" ht="14.25">
      <c r="A24" s="43" t="str">
        <f>HLOOKUP(INDICE!$F$2,Nombres!$C$3:$D$636,49,FALSE)</f>
        <v>Non-controlling interests</v>
      </c>
      <c r="B24" s="44">
        <v>-1.9025127199999998</v>
      </c>
      <c r="C24" s="44">
        <v>-2.2688781899999997</v>
      </c>
      <c r="D24" s="44">
        <v>-2.0351615499999998</v>
      </c>
      <c r="E24" s="45">
        <v>-2.7948472599999996</v>
      </c>
      <c r="F24" s="44">
        <v>-2.6336704399999995</v>
      </c>
      <c r="G24" s="44">
        <v>0</v>
      </c>
      <c r="H24" s="44">
        <v>0</v>
      </c>
      <c r="I24" s="44">
        <v>0</v>
      </c>
    </row>
    <row r="25" spans="1:9" ht="14.25">
      <c r="A25" s="47" t="str">
        <f>HLOOKUP(INDICE!$F$2,Nombres!$C$3:$D$636,50,FALSE)</f>
        <v>Net attributable profit</v>
      </c>
      <c r="B25" s="47">
        <f>+B23+B24</f>
        <v>46.91527444999996</v>
      </c>
      <c r="C25" s="47">
        <f aca="true" t="shared" si="4" ref="C25:I25">+C23+C24</f>
        <v>56.32308868000005</v>
      </c>
      <c r="D25" s="47">
        <f t="shared" si="4"/>
        <v>52.32843180000005</v>
      </c>
      <c r="E25" s="47">
        <f t="shared" si="4"/>
        <v>67.55211631000005</v>
      </c>
      <c r="F25" s="51">
        <f t="shared" si="4"/>
        <v>69.19503651999996</v>
      </c>
      <c r="G25" s="51">
        <f t="shared" si="4"/>
        <v>0</v>
      </c>
      <c r="H25" s="51">
        <f t="shared" si="4"/>
        <v>0</v>
      </c>
      <c r="I25" s="51">
        <f t="shared" si="4"/>
        <v>0</v>
      </c>
    </row>
    <row r="26" spans="1:9" ht="14.25">
      <c r="A26" s="62"/>
      <c r="B26" s="63">
        <v>0</v>
      </c>
      <c r="C26" s="63">
        <v>0</v>
      </c>
      <c r="D26" s="63">
        <v>5.684341886080802E-14</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Cash, cash balances at central banks and other demand deposits</v>
      </c>
      <c r="B31" s="44">
        <v>850.8539999999999</v>
      </c>
      <c r="C31" s="44">
        <v>1637.203</v>
      </c>
      <c r="D31" s="44">
        <v>1604.7279999999998</v>
      </c>
      <c r="E31" s="45">
        <v>2291.037</v>
      </c>
      <c r="F31" s="44">
        <v>1954.2510000000002</v>
      </c>
      <c r="G31" s="44">
        <v>0</v>
      </c>
      <c r="H31" s="44">
        <v>0</v>
      </c>
      <c r="I31" s="44">
        <v>0</v>
      </c>
    </row>
    <row r="32" spans="1:9" ht="14.25">
      <c r="A32" s="43" t="str">
        <f>HLOOKUP(INDICE!$F$2,Nombres!$C$3:$D$636,53,FALSE)</f>
        <v>Financial assets designated at fair value </v>
      </c>
      <c r="B32" s="58">
        <v>2339.992</v>
      </c>
      <c r="C32" s="58">
        <v>1797.245</v>
      </c>
      <c r="D32" s="58">
        <v>1874.4669999999996</v>
      </c>
      <c r="E32" s="65">
        <v>2070.1910000000007</v>
      </c>
      <c r="F32" s="44">
        <v>2833.606</v>
      </c>
      <c r="G32" s="44">
        <v>0</v>
      </c>
      <c r="H32" s="44">
        <v>0</v>
      </c>
      <c r="I32" s="44">
        <v>0</v>
      </c>
    </row>
    <row r="33" spans="1:9" ht="14.25">
      <c r="A33" s="43" t="str">
        <f>HLOOKUP(INDICE!$F$2,Nombres!$C$3:$D$636,54,FALSE)</f>
        <v>Financial assets at amortized cost</v>
      </c>
      <c r="B33" s="44">
        <v>12129.947000000002</v>
      </c>
      <c r="C33" s="44">
        <v>12130.293</v>
      </c>
      <c r="D33" s="44">
        <v>12569.425</v>
      </c>
      <c r="E33" s="45">
        <v>13134.494000000002</v>
      </c>
      <c r="F33" s="44">
        <v>14983.569999999998</v>
      </c>
      <c r="G33" s="44">
        <v>0</v>
      </c>
      <c r="H33" s="44">
        <v>0</v>
      </c>
      <c r="I33" s="44">
        <v>0</v>
      </c>
    </row>
    <row r="34" spans="1:9" ht="14.25">
      <c r="A34" s="43" t="str">
        <f>HLOOKUP(INDICE!$F$2,Nombres!$C$3:$D$636,55,FALSE)</f>
        <v>    of which loans and advances to customers</v>
      </c>
      <c r="B34" s="44">
        <v>11305.914999999997</v>
      </c>
      <c r="C34" s="44">
        <v>11350.898000000003</v>
      </c>
      <c r="D34" s="44">
        <v>11754.867000000002</v>
      </c>
      <c r="E34" s="45">
        <v>12328.554999999998</v>
      </c>
      <c r="F34" s="44">
        <v>14033.595</v>
      </c>
      <c r="G34" s="44">
        <v>0</v>
      </c>
      <c r="H34" s="44">
        <v>0</v>
      </c>
      <c r="I34" s="44">
        <v>0</v>
      </c>
    </row>
    <row r="35" spans="1:9" ht="14.25">
      <c r="A35" s="43"/>
      <c r="B35" s="44"/>
      <c r="C35" s="44"/>
      <c r="D35" s="44"/>
      <c r="E35" s="45"/>
      <c r="F35" s="44"/>
      <c r="G35" s="44"/>
      <c r="H35" s="44"/>
      <c r="I35" s="44"/>
    </row>
    <row r="36" spans="1:9" ht="14.25">
      <c r="A36" s="43" t="str">
        <f>HLOOKUP(INDICE!$F$2,Nombres!$C$3:$D$636,56,FALSE)</f>
        <v>Tangible assets</v>
      </c>
      <c r="B36" s="44">
        <v>106.25500000000001</v>
      </c>
      <c r="C36" s="44">
        <v>101.18100000000003</v>
      </c>
      <c r="D36" s="44">
        <v>100.869</v>
      </c>
      <c r="E36" s="45">
        <v>99.553</v>
      </c>
      <c r="F36" s="44">
        <v>105.84</v>
      </c>
      <c r="G36" s="44">
        <v>0</v>
      </c>
      <c r="H36" s="44">
        <v>0</v>
      </c>
      <c r="I36" s="44">
        <v>0</v>
      </c>
    </row>
    <row r="37" spans="1:9" ht="14.25">
      <c r="A37" s="43" t="str">
        <f>HLOOKUP(INDICE!$F$2,Nombres!$C$3:$D$636,57,FALSE)</f>
        <v>Other assets</v>
      </c>
      <c r="B37" s="58">
        <f>+B38-B36-B33-B32-B31</f>
        <v>665.5359999999995</v>
      </c>
      <c r="C37" s="58">
        <f aca="true" t="shared" si="5" ref="C37:I37">+C38-C36-C33-C32-C31</f>
        <v>725.4700020199984</v>
      </c>
      <c r="D37" s="58">
        <f t="shared" si="5"/>
        <v>716.0520000000035</v>
      </c>
      <c r="E37" s="65">
        <f t="shared" si="5"/>
        <v>614.4509999999959</v>
      </c>
      <c r="F37" s="44">
        <f t="shared" si="5"/>
        <v>638.2563698599965</v>
      </c>
      <c r="G37" s="44">
        <f t="shared" si="5"/>
        <v>0</v>
      </c>
      <c r="H37" s="44">
        <f t="shared" si="5"/>
        <v>0</v>
      </c>
      <c r="I37" s="44">
        <f t="shared" si="5"/>
        <v>0</v>
      </c>
    </row>
    <row r="38" spans="1:9" ht="14.25">
      <c r="A38" s="47" t="str">
        <f>HLOOKUP(INDICE!$F$2,Nombres!$C$3:$D$636,58,FALSE)</f>
        <v>Total assets / Liabilities and equity</v>
      </c>
      <c r="B38" s="47">
        <v>16092.584</v>
      </c>
      <c r="C38" s="47">
        <v>16391.39200202</v>
      </c>
      <c r="D38" s="47">
        <v>16865.541</v>
      </c>
      <c r="E38" s="47">
        <v>18209.726</v>
      </c>
      <c r="F38" s="51">
        <v>20515.523369859995</v>
      </c>
      <c r="G38" s="51">
        <v>0</v>
      </c>
      <c r="H38" s="51">
        <v>0</v>
      </c>
      <c r="I38" s="51">
        <v>0</v>
      </c>
    </row>
    <row r="39" spans="1:9" ht="14.25">
      <c r="A39" s="43" t="str">
        <f>HLOOKUP(INDICE!$F$2,Nombres!$C$3:$D$636,59,FALSE)</f>
        <v>Financial liabilities held for trading and designated at fair value through profit or loss</v>
      </c>
      <c r="B39" s="58">
        <v>953.83</v>
      </c>
      <c r="C39" s="58">
        <v>801.3800000000001</v>
      </c>
      <c r="D39" s="58">
        <v>1070.816</v>
      </c>
      <c r="E39" s="65">
        <v>1526.2820000000002</v>
      </c>
      <c r="F39" s="44">
        <v>2159.98</v>
      </c>
      <c r="G39" s="44">
        <v>0</v>
      </c>
      <c r="H39" s="44">
        <v>0</v>
      </c>
      <c r="I39" s="44">
        <v>0</v>
      </c>
    </row>
    <row r="40" spans="1:9" ht="15.75" customHeight="1">
      <c r="A40" s="43" t="str">
        <f>HLOOKUP(INDICE!$F$2,Nombres!$C$3:$D$636,60,FALSE)</f>
        <v>Deposits from central banks and credit institutions</v>
      </c>
      <c r="B40" s="58">
        <v>395.64700000999994</v>
      </c>
      <c r="C40" s="58">
        <v>439.034</v>
      </c>
      <c r="D40" s="58">
        <v>509.10799998999994</v>
      </c>
      <c r="E40" s="65">
        <v>707.2239999999999</v>
      </c>
      <c r="F40" s="44">
        <v>1515.10800001</v>
      </c>
      <c r="G40" s="44">
        <v>0</v>
      </c>
      <c r="H40" s="44">
        <v>0</v>
      </c>
      <c r="I40" s="44">
        <v>0</v>
      </c>
    </row>
    <row r="41" spans="1:9" ht="14.25">
      <c r="A41" s="43" t="str">
        <f>HLOOKUP(INDICE!$F$2,Nombres!$C$3:$D$636,61,FALSE)</f>
        <v>Deposits from customers</v>
      </c>
      <c r="B41" s="58">
        <v>11750.15199999</v>
      </c>
      <c r="C41" s="58">
        <v>12172.918</v>
      </c>
      <c r="D41" s="58">
        <v>12192.843000009998</v>
      </c>
      <c r="E41" s="65">
        <v>12808.773000000001</v>
      </c>
      <c r="F41" s="44">
        <v>13447.496999990002</v>
      </c>
      <c r="G41" s="44">
        <v>0</v>
      </c>
      <c r="H41" s="44">
        <v>0</v>
      </c>
      <c r="I41" s="44">
        <v>0</v>
      </c>
    </row>
    <row r="42" spans="1:9" ht="14.25">
      <c r="A42" s="43" t="str">
        <f>HLOOKUP(INDICE!$F$2,Nombres!$C$3:$D$636,62,FALSE)</f>
        <v>Debt certificates</v>
      </c>
      <c r="B42" s="44">
        <v>786.25855903</v>
      </c>
      <c r="C42" s="44">
        <v>781.3103575099999</v>
      </c>
      <c r="D42" s="44">
        <v>812.9652056699999</v>
      </c>
      <c r="E42" s="45">
        <v>825.57491559</v>
      </c>
      <c r="F42" s="44">
        <v>878.09216156</v>
      </c>
      <c r="G42" s="44">
        <v>0</v>
      </c>
      <c r="H42" s="44">
        <v>0</v>
      </c>
      <c r="I42" s="44">
        <v>0</v>
      </c>
    </row>
    <row r="43" spans="1:9" ht="14.25">
      <c r="A43" s="43"/>
      <c r="B43" s="44"/>
      <c r="C43" s="44"/>
      <c r="D43" s="44"/>
      <c r="E43" s="45"/>
      <c r="F43" s="44"/>
      <c r="G43" s="44"/>
      <c r="H43" s="44"/>
      <c r="I43" s="44"/>
    </row>
    <row r="44" spans="1:9" ht="14.25">
      <c r="A44" s="43" t="str">
        <f>HLOOKUP(INDICE!$F$2,Nombres!$C$3:$D$636,63,FALSE)</f>
        <v>Other liabilities</v>
      </c>
      <c r="B44" s="58">
        <f>+B38-B39-B40-B41-B42-B45</f>
        <v>725.877412850002</v>
      </c>
      <c r="C44" s="58">
        <f aca="true" t="shared" si="6" ref="C44:I44">+C38-C39-C40-C41-C42-C45</f>
        <v>740.6406283899983</v>
      </c>
      <c r="D44" s="58">
        <f t="shared" si="6"/>
        <v>768.2748206700035</v>
      </c>
      <c r="E44" s="65">
        <f t="shared" si="6"/>
        <v>732.391322399998</v>
      </c>
      <c r="F44" s="44">
        <f t="shared" si="6"/>
        <v>691.0029178499922</v>
      </c>
      <c r="G44" s="44">
        <f t="shared" si="6"/>
        <v>0</v>
      </c>
      <c r="H44" s="44">
        <f t="shared" si="6"/>
        <v>0</v>
      </c>
      <c r="I44" s="44">
        <f t="shared" si="6"/>
        <v>0</v>
      </c>
    </row>
    <row r="45" spans="1:9" ht="14.25">
      <c r="A45" s="43" t="str">
        <f>HLOOKUP(INDICE!$F$2,Nombres!$C$3:$D$636,282,FALSE)</f>
        <v>Regulatory capital allocated</v>
      </c>
      <c r="B45" s="58">
        <v>1480.8190281199998</v>
      </c>
      <c r="C45" s="58">
        <v>1456.10901612</v>
      </c>
      <c r="D45" s="58">
        <v>1511.53397366</v>
      </c>
      <c r="E45" s="65">
        <v>1609.48076201</v>
      </c>
      <c r="F45" s="44">
        <v>1823.84329045</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Loans and advances to customers (gross) (*)</v>
      </c>
      <c r="B51" s="44">
        <v>12036.97017208</v>
      </c>
      <c r="C51" s="44">
        <v>12081.27330734</v>
      </c>
      <c r="D51" s="44">
        <v>12486.544080319998</v>
      </c>
      <c r="E51" s="45">
        <v>13032.426773160003</v>
      </c>
      <c r="F51" s="44">
        <v>14795.368867159998</v>
      </c>
      <c r="G51" s="44">
        <v>0</v>
      </c>
      <c r="H51" s="44">
        <v>0</v>
      </c>
      <c r="I51" s="44">
        <v>0</v>
      </c>
    </row>
    <row r="52" spans="1:9" ht="14.25">
      <c r="A52" s="43" t="str">
        <f>HLOOKUP(INDICE!$F$2,Nombres!$C$3:$D$636,67,FALSE)</f>
        <v>Customer deposits under management (*)</v>
      </c>
      <c r="B52" s="44">
        <v>11749.840563439999</v>
      </c>
      <c r="C52" s="44">
        <v>12156.89869217</v>
      </c>
      <c r="D52" s="44">
        <v>12170.919346829998</v>
      </c>
      <c r="E52" s="45">
        <v>12813.57684951</v>
      </c>
      <c r="F52" s="44">
        <v>13454.03386858</v>
      </c>
      <c r="G52" s="44">
        <v>0</v>
      </c>
      <c r="H52" s="44">
        <v>0</v>
      </c>
      <c r="I52" s="44">
        <v>0</v>
      </c>
    </row>
    <row r="53" spans="1:9" ht="14.25">
      <c r="A53" s="43" t="str">
        <f>HLOOKUP(INDICE!$F$2,Nombres!$C$3:$D$636,68,FALSE)</f>
        <v>Investment funds and managed portfolios</v>
      </c>
      <c r="B53" s="44">
        <v>1418.3319806199997</v>
      </c>
      <c r="C53" s="44">
        <v>1290.78533827</v>
      </c>
      <c r="D53" s="44">
        <v>1362.3609899599999</v>
      </c>
      <c r="E53" s="45">
        <v>2375.4923008099995</v>
      </c>
      <c r="F53" s="44">
        <v>2572.59723743</v>
      </c>
      <c r="G53" s="44">
        <v>0</v>
      </c>
      <c r="H53" s="44">
        <v>0</v>
      </c>
      <c r="I53" s="44">
        <v>0</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196.07395771097447</v>
      </c>
      <c r="C64" s="41">
        <v>190.69988913251902</v>
      </c>
      <c r="D64" s="41">
        <v>192.5377883278614</v>
      </c>
      <c r="E64" s="42">
        <v>196.80559313558203</v>
      </c>
      <c r="F64" s="50">
        <v>212.54699999999994</v>
      </c>
      <c r="G64" s="50">
        <v>0</v>
      </c>
      <c r="H64" s="50">
        <v>0</v>
      </c>
      <c r="I64" s="50">
        <v>0</v>
      </c>
    </row>
    <row r="65" spans="1:9" ht="14.25">
      <c r="A65" s="43" t="str">
        <f>HLOOKUP(INDICE!$F$2,Nombres!$C$3:$D$636,34,FALSE)</f>
        <v>Net fees and commissions</v>
      </c>
      <c r="B65" s="44">
        <v>20.929356306483257</v>
      </c>
      <c r="C65" s="44">
        <v>22.09266439452592</v>
      </c>
      <c r="D65" s="44">
        <v>20.363242808747437</v>
      </c>
      <c r="E65" s="45">
        <v>20.051518452354507</v>
      </c>
      <c r="F65" s="44">
        <v>25.100369360000006</v>
      </c>
      <c r="G65" s="44">
        <v>0</v>
      </c>
      <c r="H65" s="44">
        <v>0</v>
      </c>
      <c r="I65" s="44">
        <v>0</v>
      </c>
    </row>
    <row r="66" spans="1:9" ht="14.25">
      <c r="A66" s="43" t="str">
        <f>HLOOKUP(INDICE!$F$2,Nombres!$C$3:$D$636,35,FALSE)</f>
        <v>Net trading income</v>
      </c>
      <c r="B66" s="44">
        <v>7.148547553940583</v>
      </c>
      <c r="C66" s="44">
        <v>21.445573019310594</v>
      </c>
      <c r="D66" s="44">
        <v>19.081034753653523</v>
      </c>
      <c r="E66" s="45">
        <v>23.404808070066256</v>
      </c>
      <c r="F66" s="44">
        <v>24.080761770000006</v>
      </c>
      <c r="G66" s="44">
        <v>0</v>
      </c>
      <c r="H66" s="44">
        <v>0</v>
      </c>
      <c r="I66" s="44">
        <v>0</v>
      </c>
    </row>
    <row r="67" spans="1:9" ht="14.25">
      <c r="A67" s="43" t="str">
        <f>HLOOKUP(INDICE!$F$2,Nombres!$C$3:$D$636,36,FALSE)</f>
        <v>Other operating income and expenses</v>
      </c>
      <c r="B67" s="44">
        <v>-4.376676986370159</v>
      </c>
      <c r="C67" s="44">
        <v>-9.161248610818046</v>
      </c>
      <c r="D67" s="44">
        <v>-10.0014197398157</v>
      </c>
      <c r="E67" s="45">
        <v>-8.24539742965661</v>
      </c>
      <c r="F67" s="44">
        <v>-3.6290000000000027</v>
      </c>
      <c r="G67" s="44">
        <v>0</v>
      </c>
      <c r="H67" s="44">
        <v>0</v>
      </c>
      <c r="I67" s="44">
        <v>0</v>
      </c>
    </row>
    <row r="68" spans="1:9" ht="14.25">
      <c r="A68" s="41" t="str">
        <f>HLOOKUP(INDICE!$F$2,Nombres!$C$3:$D$636,37,FALSE)</f>
        <v>Gross income</v>
      </c>
      <c r="B68" s="41">
        <f>+SUM(B64:B67)</f>
        <v>219.77518458502814</v>
      </c>
      <c r="C68" s="41">
        <f aca="true" t="shared" si="9" ref="C68:I68">+SUM(C64:C67)</f>
        <v>225.07687793553748</v>
      </c>
      <c r="D68" s="41">
        <f t="shared" si="9"/>
        <v>221.98064615044663</v>
      </c>
      <c r="E68" s="42">
        <f t="shared" si="9"/>
        <v>232.0165222283462</v>
      </c>
      <c r="F68" s="50">
        <f t="shared" si="9"/>
        <v>258.09913112999993</v>
      </c>
      <c r="G68" s="50">
        <f t="shared" si="9"/>
        <v>0</v>
      </c>
      <c r="H68" s="50">
        <f t="shared" si="9"/>
        <v>0</v>
      </c>
      <c r="I68" s="50">
        <f t="shared" si="9"/>
        <v>0</v>
      </c>
    </row>
    <row r="69" spans="1:9" ht="14.25">
      <c r="A69" s="43" t="str">
        <f>HLOOKUP(INDICE!$F$2,Nombres!$C$3:$D$636,38,FALSE)</f>
        <v>Operating expenses</v>
      </c>
      <c r="B69" s="44">
        <v>-80.42357656344396</v>
      </c>
      <c r="C69" s="44">
        <v>-80.44985215009059</v>
      </c>
      <c r="D69" s="44">
        <v>-85.23755454336549</v>
      </c>
      <c r="E69" s="45">
        <v>-86.73245837872516</v>
      </c>
      <c r="F69" s="44">
        <v>-88.63072148</v>
      </c>
      <c r="G69" s="44">
        <v>0</v>
      </c>
      <c r="H69" s="44">
        <v>0</v>
      </c>
      <c r="I69" s="44">
        <v>0</v>
      </c>
    </row>
    <row r="70" spans="1:9" ht="14.25">
      <c r="A70" s="43" t="str">
        <f>HLOOKUP(INDICE!$F$2,Nombres!$C$3:$D$636,39,FALSE)</f>
        <v>  Administration expenses</v>
      </c>
      <c r="B70" s="44">
        <v>-73.49156051589694</v>
      </c>
      <c r="C70" s="44">
        <v>-73.53940645160434</v>
      </c>
      <c r="D70" s="44">
        <v>-78.41353555544649</v>
      </c>
      <c r="E70" s="45">
        <v>-79.89304750326914</v>
      </c>
      <c r="F70" s="44">
        <v>-81.40872148</v>
      </c>
      <c r="G70" s="44">
        <v>0</v>
      </c>
      <c r="H70" s="44">
        <v>0</v>
      </c>
      <c r="I70" s="44">
        <v>0</v>
      </c>
    </row>
    <row r="71" spans="1:9" ht="14.25">
      <c r="A71" s="46" t="str">
        <f>HLOOKUP(INDICE!$F$2,Nombres!$C$3:$D$636,40,FALSE)</f>
        <v>  Personnel expenses</v>
      </c>
      <c r="B71" s="44">
        <v>-36.16419692729719</v>
      </c>
      <c r="C71" s="44">
        <v>-35.05446761697716</v>
      </c>
      <c r="D71" s="44">
        <v>-38.2142923106339</v>
      </c>
      <c r="E71" s="45">
        <v>-35.91786184119823</v>
      </c>
      <c r="F71" s="44">
        <v>-41.048</v>
      </c>
      <c r="G71" s="44">
        <v>0</v>
      </c>
      <c r="H71" s="44">
        <v>0</v>
      </c>
      <c r="I71" s="44">
        <v>0</v>
      </c>
    </row>
    <row r="72" spans="1:9" ht="14.25">
      <c r="A72" s="46" t="str">
        <f>HLOOKUP(INDICE!$F$2,Nombres!$C$3:$D$636,41,FALSE)</f>
        <v>  General and administrative expenses</v>
      </c>
      <c r="B72" s="44">
        <v>-37.32736358859974</v>
      </c>
      <c r="C72" s="44">
        <v>-38.48493883462717</v>
      </c>
      <c r="D72" s="44">
        <v>-40.19924324481257</v>
      </c>
      <c r="E72" s="45">
        <v>-43.975185662070906</v>
      </c>
      <c r="F72" s="44">
        <v>-40.36072148</v>
      </c>
      <c r="G72" s="44">
        <v>0</v>
      </c>
      <c r="H72" s="44">
        <v>0</v>
      </c>
      <c r="I72" s="44">
        <v>0</v>
      </c>
    </row>
    <row r="73" spans="1:9" ht="14.25">
      <c r="A73" s="43" t="str">
        <f>HLOOKUP(INDICE!$F$2,Nombres!$C$3:$D$636,42,FALSE)</f>
        <v>  Depreciation</v>
      </c>
      <c r="B73" s="44">
        <v>-6.9320160475470205</v>
      </c>
      <c r="C73" s="44">
        <v>-6.910445698486258</v>
      </c>
      <c r="D73" s="44">
        <v>-6.824018987919015</v>
      </c>
      <c r="E73" s="45">
        <v>-6.839410875456014</v>
      </c>
      <c r="F73" s="44">
        <v>-7.222</v>
      </c>
      <c r="G73" s="44">
        <v>0</v>
      </c>
      <c r="H73" s="44">
        <v>0</v>
      </c>
      <c r="I73" s="44">
        <v>0</v>
      </c>
    </row>
    <row r="74" spans="1:9" ht="14.25">
      <c r="A74" s="41" t="str">
        <f>HLOOKUP(INDICE!$F$2,Nombres!$C$3:$D$636,43,FALSE)</f>
        <v>Operating income</v>
      </c>
      <c r="B74" s="41">
        <f>+B68+B69</f>
        <v>139.35160802158418</v>
      </c>
      <c r="C74" s="41">
        <f aca="true" t="shared" si="10" ref="C74:I74">+C68+C69</f>
        <v>144.6270257854469</v>
      </c>
      <c r="D74" s="41">
        <f t="shared" si="10"/>
        <v>136.74309160708114</v>
      </c>
      <c r="E74" s="42">
        <f t="shared" si="10"/>
        <v>145.28406384962102</v>
      </c>
      <c r="F74" s="50">
        <f t="shared" si="10"/>
        <v>169.46840964999993</v>
      </c>
      <c r="G74" s="50">
        <f t="shared" si="10"/>
        <v>0</v>
      </c>
      <c r="H74" s="50">
        <f t="shared" si="10"/>
        <v>0</v>
      </c>
      <c r="I74" s="50">
        <f t="shared" si="10"/>
        <v>0</v>
      </c>
    </row>
    <row r="75" spans="1:9" ht="14.25">
      <c r="A75" s="43" t="str">
        <f>HLOOKUP(INDICE!$F$2,Nombres!$C$3:$D$636,44,FALSE)</f>
        <v>Impaiment on financial assets not measured at fair value through profit or loss</v>
      </c>
      <c r="B75" s="44">
        <v>-66.57644080359543</v>
      </c>
      <c r="C75" s="44">
        <v>-67.83347461608034</v>
      </c>
      <c r="D75" s="44">
        <v>-51.74868679006511</v>
      </c>
      <c r="E75" s="45">
        <v>-41.74015193097847</v>
      </c>
      <c r="F75" s="44">
        <v>-55.44200000000001</v>
      </c>
      <c r="G75" s="44">
        <v>0</v>
      </c>
      <c r="H75" s="44">
        <v>0</v>
      </c>
      <c r="I75" s="44">
        <v>0</v>
      </c>
    </row>
    <row r="76" spans="1:9" ht="14.25">
      <c r="A76" s="43" t="str">
        <f>HLOOKUP(INDICE!$F$2,Nombres!$C$3:$D$636,45,FALSE)</f>
        <v>Provisions or reversal of provisions and other results</v>
      </c>
      <c r="B76" s="44">
        <v>-7.2980405501984045</v>
      </c>
      <c r="C76" s="44">
        <v>3.650573277266348</v>
      </c>
      <c r="D76" s="44">
        <v>2.446912275656805</v>
      </c>
      <c r="E76" s="45">
        <v>-3.8872633047473957</v>
      </c>
      <c r="F76" s="44">
        <v>-1.6280000000000001</v>
      </c>
      <c r="G76" s="44">
        <v>0</v>
      </c>
      <c r="H76" s="44">
        <v>0</v>
      </c>
      <c r="I76" s="44">
        <v>0</v>
      </c>
    </row>
    <row r="77" spans="1:9" ht="14.25">
      <c r="A77" s="41" t="str">
        <f>HLOOKUP(INDICE!$F$2,Nombres!$C$3:$D$636,46,FALSE)</f>
        <v>Profit/(loss) before tax</v>
      </c>
      <c r="B77" s="41">
        <f>+B74+B75+B76</f>
        <v>65.47712666779034</v>
      </c>
      <c r="C77" s="41">
        <f aca="true" t="shared" si="11" ref="C77:I77">+C74+C75+C76</f>
        <v>80.44412444663291</v>
      </c>
      <c r="D77" s="41">
        <f t="shared" si="11"/>
        <v>87.44131709267283</v>
      </c>
      <c r="E77" s="42">
        <f t="shared" si="11"/>
        <v>99.65664861389516</v>
      </c>
      <c r="F77" s="50">
        <f t="shared" si="11"/>
        <v>112.39840964999992</v>
      </c>
      <c r="G77" s="50">
        <f t="shared" si="11"/>
        <v>0</v>
      </c>
      <c r="H77" s="50">
        <f t="shared" si="11"/>
        <v>0</v>
      </c>
      <c r="I77" s="50">
        <f t="shared" si="11"/>
        <v>0</v>
      </c>
    </row>
    <row r="78" spans="1:9" ht="14.25">
      <c r="A78" s="43" t="str">
        <f>HLOOKUP(INDICE!$F$2,Nombres!$C$3:$D$636,47,FALSE)</f>
        <v>Income tax</v>
      </c>
      <c r="B78" s="44">
        <v>-17.827776615949315</v>
      </c>
      <c r="C78" s="44">
        <v>-21.197550172530793</v>
      </c>
      <c r="D78" s="44">
        <v>-31.26604021373811</v>
      </c>
      <c r="E78" s="45">
        <v>-28.591060291914392</v>
      </c>
      <c r="F78" s="44">
        <v>-40.56970269</v>
      </c>
      <c r="G78" s="44">
        <v>0</v>
      </c>
      <c r="H78" s="44">
        <v>0</v>
      </c>
      <c r="I78" s="44">
        <v>0</v>
      </c>
    </row>
    <row r="79" spans="1:9" ht="14.25">
      <c r="A79" s="41" t="str">
        <f>HLOOKUP(INDICE!$F$2,Nombres!$C$3:$D$636,48,FALSE)</f>
        <v>Profit/(loss) for the year</v>
      </c>
      <c r="B79" s="41">
        <f>+B77+B78</f>
        <v>47.649350051841026</v>
      </c>
      <c r="C79" s="41">
        <f aca="true" t="shared" si="12" ref="C79:I79">+C77+C78</f>
        <v>59.246574274102116</v>
      </c>
      <c r="D79" s="41">
        <f t="shared" si="12"/>
        <v>56.175276878934724</v>
      </c>
      <c r="E79" s="42">
        <f t="shared" si="12"/>
        <v>71.06558832198077</v>
      </c>
      <c r="F79" s="50">
        <f t="shared" si="12"/>
        <v>71.82870695999992</v>
      </c>
      <c r="G79" s="50">
        <f t="shared" si="12"/>
        <v>0</v>
      </c>
      <c r="H79" s="50">
        <f t="shared" si="12"/>
        <v>0</v>
      </c>
      <c r="I79" s="50">
        <f t="shared" si="12"/>
        <v>0</v>
      </c>
    </row>
    <row r="80" spans="1:9" ht="14.25">
      <c r="A80" s="43" t="str">
        <f>HLOOKUP(INDICE!$F$2,Nombres!$C$3:$D$636,49,FALSE)</f>
        <v>Non-controlling interests</v>
      </c>
      <c r="B80" s="44">
        <v>-1.856976725669154</v>
      </c>
      <c r="C80" s="44">
        <v>-2.2944589706013145</v>
      </c>
      <c r="D80" s="44">
        <v>-2.1049098719108903</v>
      </c>
      <c r="E80" s="45">
        <v>-2.823251227860971</v>
      </c>
      <c r="F80" s="44">
        <v>-2.63367044</v>
      </c>
      <c r="G80" s="44">
        <v>0</v>
      </c>
      <c r="H80" s="44">
        <v>0</v>
      </c>
      <c r="I80" s="44">
        <v>0</v>
      </c>
    </row>
    <row r="81" spans="1:9" ht="14.25">
      <c r="A81" s="47" t="str">
        <f>HLOOKUP(INDICE!$F$2,Nombres!$C$3:$D$636,50,FALSE)</f>
        <v>Net attributable profit</v>
      </c>
      <c r="B81" s="47">
        <f>+B79+B80</f>
        <v>45.79237332617187</v>
      </c>
      <c r="C81" s="47">
        <f aca="true" t="shared" si="13" ref="C81:I81">+C79+C80</f>
        <v>56.952115303500804</v>
      </c>
      <c r="D81" s="47">
        <f t="shared" si="13"/>
        <v>54.07036700702383</v>
      </c>
      <c r="E81" s="47">
        <f t="shared" si="13"/>
        <v>68.2423370941198</v>
      </c>
      <c r="F81" s="51">
        <f t="shared" si="13"/>
        <v>69.19503651999992</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895.9865067761737</v>
      </c>
      <c r="C87" s="44">
        <v>1756.6658356113962</v>
      </c>
      <c r="D87" s="44">
        <v>1712.4683241336809</v>
      </c>
      <c r="E87" s="45">
        <v>2482.7856531703637</v>
      </c>
      <c r="F87" s="44">
        <v>1954.2510000000002</v>
      </c>
      <c r="G87" s="44">
        <v>0</v>
      </c>
      <c r="H87" s="44">
        <v>0</v>
      </c>
      <c r="I87" s="44">
        <v>0</v>
      </c>
    </row>
    <row r="88" spans="1:9" ht="14.25">
      <c r="A88" s="43" t="str">
        <f>HLOOKUP(INDICE!$F$2,Nombres!$C$3:$D$636,53,FALSE)</f>
        <v>Financial assets designated at fair value </v>
      </c>
      <c r="B88" s="58">
        <v>2464.1140054159614</v>
      </c>
      <c r="C88" s="58">
        <v>1928.3857223101863</v>
      </c>
      <c r="D88" s="58">
        <v>2000.3174133771504</v>
      </c>
      <c r="E88" s="65">
        <v>2243.4559171774217</v>
      </c>
      <c r="F88" s="44">
        <v>2833.606</v>
      </c>
      <c r="G88" s="44">
        <v>0</v>
      </c>
      <c r="H88" s="44">
        <v>0</v>
      </c>
      <c r="I88" s="44">
        <v>0</v>
      </c>
    </row>
    <row r="89" spans="1:9" ht="14.25">
      <c r="A89" s="43" t="str">
        <f>HLOOKUP(INDICE!$F$2,Nombres!$C$3:$D$636,54,FALSE)</f>
        <v>Financial assets at amortized cost</v>
      </c>
      <c r="B89" s="44">
        <v>12773.365160074616</v>
      </c>
      <c r="C89" s="44">
        <v>13015.411826789998</v>
      </c>
      <c r="D89" s="44">
        <v>13413.327470495928</v>
      </c>
      <c r="E89" s="45">
        <v>14233.787260900728</v>
      </c>
      <c r="F89" s="44">
        <v>14983.569999999998</v>
      </c>
      <c r="G89" s="44">
        <v>0</v>
      </c>
      <c r="H89" s="44">
        <v>0</v>
      </c>
      <c r="I89" s="44">
        <v>0</v>
      </c>
    </row>
    <row r="90" spans="1:9" ht="14.25">
      <c r="A90" s="43" t="str">
        <f>HLOOKUP(INDICE!$F$2,Nombres!$C$3:$D$636,55,FALSE)</f>
        <v>    of which loans and advances to customers</v>
      </c>
      <c r="B90" s="44">
        <v>11905.623393388694</v>
      </c>
      <c r="C90" s="44">
        <v>12179.146214678156</v>
      </c>
      <c r="D90" s="44">
        <v>12544.080611732525</v>
      </c>
      <c r="E90" s="45">
        <v>13360.395086732233</v>
      </c>
      <c r="F90" s="44">
        <v>14033.595</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111.89116614307781</v>
      </c>
      <c r="C92" s="44">
        <v>108.56393856656547</v>
      </c>
      <c r="D92" s="44">
        <v>107.64127465030852</v>
      </c>
      <c r="E92" s="45">
        <v>107.88510186874733</v>
      </c>
      <c r="F92" s="44">
        <v>105.84</v>
      </c>
      <c r="G92" s="44">
        <v>0</v>
      </c>
      <c r="H92" s="44">
        <v>0</v>
      </c>
      <c r="I92" s="44">
        <v>0</v>
      </c>
    </row>
    <row r="93" spans="1:9" ht="14.25">
      <c r="A93" s="43" t="str">
        <f>HLOOKUP(INDICE!$F$2,Nombres!$C$3:$D$636,57,FALSE)</f>
        <v>Other assets</v>
      </c>
      <c r="B93" s="58">
        <f>+B94-B92-B89-B88-B87</f>
        <v>700.8385407764274</v>
      </c>
      <c r="C93" s="58">
        <f aca="true" t="shared" si="15" ref="C93:I93">+C94-C92-C89-C88-C87</f>
        <v>778.405834407502</v>
      </c>
      <c r="D93" s="58">
        <f t="shared" si="15"/>
        <v>764.1272342930235</v>
      </c>
      <c r="E93" s="65">
        <f t="shared" si="15"/>
        <v>665.8775599766268</v>
      </c>
      <c r="F93" s="44">
        <f t="shared" si="15"/>
        <v>638.2563698599965</v>
      </c>
      <c r="G93" s="44">
        <f t="shared" si="15"/>
        <v>0</v>
      </c>
      <c r="H93" s="44">
        <f t="shared" si="15"/>
        <v>0</v>
      </c>
      <c r="I93" s="44">
        <f t="shared" si="15"/>
        <v>0</v>
      </c>
    </row>
    <row r="94" spans="1:9" ht="14.25">
      <c r="A94" s="47" t="str">
        <f>HLOOKUP(INDICE!$F$2,Nombres!$C$3:$D$636,58,FALSE)</f>
        <v>Total assets / Liabilities and equity</v>
      </c>
      <c r="B94" s="47">
        <v>16946.195379186258</v>
      </c>
      <c r="C94" s="47">
        <v>17587.43315768565</v>
      </c>
      <c r="D94" s="47">
        <v>17997.88171695009</v>
      </c>
      <c r="E94" s="47">
        <v>19733.791493093886</v>
      </c>
      <c r="F94" s="51">
        <v>20515.523369859995</v>
      </c>
      <c r="G94" s="51">
        <v>0</v>
      </c>
      <c r="H94" s="51">
        <v>0</v>
      </c>
      <c r="I94" s="51">
        <v>0</v>
      </c>
    </row>
    <row r="95" spans="1:9" ht="14.25">
      <c r="A95" s="43" t="str">
        <f>HLOOKUP(INDICE!$F$2,Nombres!$C$3:$D$636,59,FALSE)</f>
        <v>Financial liabilities held for trading and designated at fair value through profit or loss</v>
      </c>
      <c r="B95" s="58">
        <v>1004.4247423862588</v>
      </c>
      <c r="C95" s="58">
        <v>859.8548056302492</v>
      </c>
      <c r="D95" s="58">
        <v>1142.7098430235726</v>
      </c>
      <c r="E95" s="65">
        <v>1654.0243794806322</v>
      </c>
      <c r="F95" s="44">
        <v>2159.98</v>
      </c>
      <c r="G95" s="44">
        <v>0</v>
      </c>
      <c r="H95" s="44">
        <v>0</v>
      </c>
      <c r="I95" s="44">
        <v>0</v>
      </c>
    </row>
    <row r="96" spans="1:9" ht="14.25">
      <c r="A96" s="43" t="str">
        <f>HLOOKUP(INDICE!$F$2,Nombres!$C$3:$D$636,60,FALSE)</f>
        <v>Deposits from central banks and credit institutions</v>
      </c>
      <c r="B96" s="58">
        <v>416.6336098266361</v>
      </c>
      <c r="C96" s="58">
        <v>471.06927392132417</v>
      </c>
      <c r="D96" s="58">
        <v>543.2891577550372</v>
      </c>
      <c r="E96" s="65">
        <v>766.4152088236713</v>
      </c>
      <c r="F96" s="44">
        <v>1515.10800001</v>
      </c>
      <c r="G96" s="44">
        <v>0</v>
      </c>
      <c r="H96" s="44">
        <v>0</v>
      </c>
      <c r="I96" s="44">
        <v>0</v>
      </c>
    </row>
    <row r="97" spans="1:9" ht="14.25">
      <c r="A97" s="43" t="str">
        <f>HLOOKUP(INDICE!$F$2,Nombres!$C$3:$D$636,61,FALSE)</f>
        <v>Deposits from customers</v>
      </c>
      <c r="B97" s="58">
        <v>12373.424400143986</v>
      </c>
      <c r="C97" s="58">
        <v>13061.147072353891</v>
      </c>
      <c r="D97" s="58">
        <v>13011.46201639917</v>
      </c>
      <c r="E97" s="65">
        <v>13880.80499752554</v>
      </c>
      <c r="F97" s="44">
        <v>13447.496999990002</v>
      </c>
      <c r="G97" s="44">
        <v>0</v>
      </c>
      <c r="H97" s="44">
        <v>0</v>
      </c>
      <c r="I97" s="44">
        <v>0</v>
      </c>
    </row>
    <row r="98" spans="1:9" ht="14.25">
      <c r="A98" s="43" t="str">
        <f>HLOOKUP(INDICE!$F$2,Nombres!$C$3:$D$636,62,FALSE)</f>
        <v>Debt certificates</v>
      </c>
      <c r="B98" s="44">
        <v>827.9646798724079</v>
      </c>
      <c r="C98" s="44">
        <v>838.320728735009</v>
      </c>
      <c r="D98" s="44">
        <v>867.5471253275933</v>
      </c>
      <c r="E98" s="45">
        <v>894.6715203832091</v>
      </c>
      <c r="F98" s="44">
        <v>878.09216156</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764.3806898565426</v>
      </c>
      <c r="C100" s="58">
        <f aca="true" t="shared" si="16" ref="C100:I100">+C94-C95-C96-C97-C98-C101</f>
        <v>794.6834255486115</v>
      </c>
      <c r="D100" s="58">
        <f t="shared" si="16"/>
        <v>819.8562588967504</v>
      </c>
      <c r="E100" s="65">
        <f t="shared" si="16"/>
        <v>793.6889136933064</v>
      </c>
      <c r="F100" s="44">
        <f t="shared" si="16"/>
        <v>691.0029178499922</v>
      </c>
      <c r="G100" s="44">
        <f t="shared" si="16"/>
        <v>0</v>
      </c>
      <c r="H100" s="44">
        <f t="shared" si="16"/>
        <v>0</v>
      </c>
      <c r="I100" s="44">
        <f t="shared" si="16"/>
        <v>0</v>
      </c>
    </row>
    <row r="101" spans="1:9" ht="14.25">
      <c r="A101" s="43" t="str">
        <f>HLOOKUP(INDICE!$F$2,Nombres!$C$3:$D$636,282,FALSE)</f>
        <v>Regulatory capital allocated</v>
      </c>
      <c r="B101" s="58">
        <v>1559.3672571004272</v>
      </c>
      <c r="C101" s="58">
        <v>1562.3578514965634</v>
      </c>
      <c r="D101" s="58">
        <v>1613.0173155479704</v>
      </c>
      <c r="E101" s="65">
        <v>1744.186473187527</v>
      </c>
      <c r="F101" s="44">
        <v>1823.84329045</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12675.456490362572</v>
      </c>
      <c r="C107" s="44">
        <v>12962.815282947853</v>
      </c>
      <c r="D107" s="44">
        <v>13324.881983393401</v>
      </c>
      <c r="E107" s="45">
        <v>14123.177503634812</v>
      </c>
      <c r="F107" s="44">
        <v>14795.368867159998</v>
      </c>
      <c r="G107" s="44">
        <v>0</v>
      </c>
      <c r="H107" s="44">
        <v>0</v>
      </c>
      <c r="I107" s="44">
        <v>0</v>
      </c>
    </row>
    <row r="108" spans="1:9" ht="14.25">
      <c r="A108" s="43" t="str">
        <f>HLOOKUP(INDICE!$F$2,Nombres!$C$3:$D$636,67,FALSE)</f>
        <v>Customer deposits under management (*)</v>
      </c>
      <c r="B108" s="44">
        <v>12373.096443824197</v>
      </c>
      <c r="C108" s="44">
        <v>13043.958873471342</v>
      </c>
      <c r="D108" s="44">
        <v>12988.066424361115</v>
      </c>
      <c r="E108" s="45">
        <v>13886.010905873338</v>
      </c>
      <c r="F108" s="44">
        <v>13454.03386858</v>
      </c>
      <c r="G108" s="44">
        <v>0</v>
      </c>
      <c r="H108" s="44">
        <v>0</v>
      </c>
      <c r="I108" s="44">
        <v>0</v>
      </c>
    </row>
    <row r="109" spans="1:9" ht="14.25">
      <c r="A109" s="43" t="str">
        <f>HLOOKUP(INDICE!$F$2,Nombres!$C$3:$D$636,68,FALSE)</f>
        <v>Investment funds and managed portfolios</v>
      </c>
      <c r="B109" s="44">
        <v>1493.5656608121317</v>
      </c>
      <c r="C109" s="44">
        <v>1384.9708953911081</v>
      </c>
      <c r="D109" s="44">
        <v>1453.8289612581716</v>
      </c>
      <c r="E109" s="45">
        <v>2574.3094518629446</v>
      </c>
      <c r="F109" s="44">
        <v>2572.59723743</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HLOOKUP(INDICE!$F$2,Nombres!$C$3:$D$636,75,FALSE)</f>
        <v>(Million Colombian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860613.8709447717</v>
      </c>
      <c r="C120" s="41">
        <v>837025.8431616802</v>
      </c>
      <c r="D120" s="41">
        <v>845092.8070735396</v>
      </c>
      <c r="E120" s="42">
        <v>863825.1877470778</v>
      </c>
      <c r="F120" s="50">
        <v>932917.8569309828</v>
      </c>
      <c r="G120" s="50">
        <v>0</v>
      </c>
      <c r="H120" s="50">
        <v>0</v>
      </c>
      <c r="I120" s="50">
        <v>0</v>
      </c>
    </row>
    <row r="121" spans="1:9" ht="14.25">
      <c r="A121" s="43" t="str">
        <f>HLOOKUP(INDICE!$F$2,Nombres!$C$3:$D$636,34,FALSE)</f>
        <v>Net fees and commissions</v>
      </c>
      <c r="B121" s="44">
        <v>91863.77710524874</v>
      </c>
      <c r="C121" s="44">
        <v>96969.80489414834</v>
      </c>
      <c r="D121" s="44">
        <v>89378.97425652639</v>
      </c>
      <c r="E121" s="45">
        <v>88010.74408381492</v>
      </c>
      <c r="F121" s="44">
        <v>110171.316421814</v>
      </c>
      <c r="G121" s="44">
        <v>0</v>
      </c>
      <c r="H121" s="44">
        <v>0</v>
      </c>
      <c r="I121" s="44">
        <v>0</v>
      </c>
    </row>
    <row r="122" spans="1:9" ht="14.25">
      <c r="A122" s="43" t="str">
        <f>HLOOKUP(INDICE!$F$2,Nombres!$C$3:$D$636,35,FALSE)</f>
        <v>Net trading income</v>
      </c>
      <c r="B122" s="44">
        <v>31376.625707215208</v>
      </c>
      <c r="C122" s="44">
        <v>94129.5714445847</v>
      </c>
      <c r="D122" s="44">
        <v>83751.06706001046</v>
      </c>
      <c r="E122" s="45">
        <v>102729.10644049168</v>
      </c>
      <c r="F122" s="44">
        <v>105696.02329712459</v>
      </c>
      <c r="G122" s="44">
        <v>0</v>
      </c>
      <c r="H122" s="44">
        <v>0</v>
      </c>
      <c r="I122" s="44">
        <v>0</v>
      </c>
    </row>
    <row r="123" spans="1:9" ht="14.25">
      <c r="A123" s="43" t="str">
        <f>HLOOKUP(INDICE!$F$2,Nombres!$C$3:$D$636,36,FALSE)</f>
        <v>Other operating income and expenses</v>
      </c>
      <c r="B123" s="44">
        <v>-19210.24580259236</v>
      </c>
      <c r="C123" s="44">
        <v>-40210.835348493805</v>
      </c>
      <c r="D123" s="44">
        <v>-43898.540416642405</v>
      </c>
      <c r="E123" s="45">
        <v>-36190.95305800348</v>
      </c>
      <c r="F123" s="44">
        <v>-15928.518881953374</v>
      </c>
      <c r="G123" s="44">
        <v>0</v>
      </c>
      <c r="H123" s="44">
        <v>0</v>
      </c>
      <c r="I123" s="44">
        <v>0</v>
      </c>
    </row>
    <row r="124" spans="1:9" ht="14.25">
      <c r="A124" s="41" t="str">
        <f>HLOOKUP(INDICE!$F$2,Nombres!$C$3:$D$636,37,FALSE)</f>
        <v>Gross income</v>
      </c>
      <c r="B124" s="41">
        <f>+SUM(B120:B123)</f>
        <v>964644.0279546432</v>
      </c>
      <c r="C124" s="41">
        <f aca="true" t="shared" si="19" ref="C124:I124">+SUM(C120:C123)</f>
        <v>987914.3841519194</v>
      </c>
      <c r="D124" s="41">
        <f t="shared" si="19"/>
        <v>974324.3079734341</v>
      </c>
      <c r="E124" s="42">
        <f t="shared" si="19"/>
        <v>1018374.0852133809</v>
      </c>
      <c r="F124" s="50">
        <f t="shared" si="19"/>
        <v>1132856.677767968</v>
      </c>
      <c r="G124" s="50">
        <f t="shared" si="19"/>
        <v>0</v>
      </c>
      <c r="H124" s="50">
        <f t="shared" si="19"/>
        <v>0</v>
      </c>
      <c r="I124" s="50">
        <f t="shared" si="19"/>
        <v>0</v>
      </c>
    </row>
    <row r="125" spans="1:9" ht="14.25">
      <c r="A125" s="43" t="str">
        <f>HLOOKUP(INDICE!$F$2,Nombres!$C$3:$D$636,38,FALSE)</f>
        <v>Operating expenses</v>
      </c>
      <c r="B125" s="44">
        <v>-352997.64614082035</v>
      </c>
      <c r="C125" s="44">
        <v>-353112.97575725336</v>
      </c>
      <c r="D125" s="44">
        <v>-374127.3069703843</v>
      </c>
      <c r="E125" s="45">
        <v>-380688.78505476867</v>
      </c>
      <c r="F125" s="44">
        <v>-389020.70008689095</v>
      </c>
      <c r="G125" s="44">
        <v>0</v>
      </c>
      <c r="H125" s="44">
        <v>0</v>
      </c>
      <c r="I125" s="44">
        <v>0</v>
      </c>
    </row>
    <row r="126" spans="1:9" ht="14.25">
      <c r="A126" s="43" t="str">
        <f>HLOOKUP(INDICE!$F$2,Nombres!$C$3:$D$636,39,FALSE)</f>
        <v>  Administration expenses</v>
      </c>
      <c r="B126" s="44">
        <v>-322571.4272090605</v>
      </c>
      <c r="C126" s="44">
        <v>-322781.434067793</v>
      </c>
      <c r="D126" s="44">
        <v>-344175.11206824146</v>
      </c>
      <c r="E126" s="45">
        <v>-350669.0316044688</v>
      </c>
      <c r="F126" s="44">
        <v>-357321.67463484715</v>
      </c>
      <c r="G126" s="44">
        <v>0</v>
      </c>
      <c r="H126" s="44">
        <v>0</v>
      </c>
      <c r="I126" s="44">
        <v>0</v>
      </c>
    </row>
    <row r="127" spans="1:9" ht="14.25">
      <c r="A127" s="46" t="str">
        <f>HLOOKUP(INDICE!$F$2,Nombres!$C$3:$D$636,40,FALSE)</f>
        <v>  Personnel expenses</v>
      </c>
      <c r="B127" s="44">
        <v>-158733.01008738833</v>
      </c>
      <c r="C127" s="44">
        <v>-153862.15192445373</v>
      </c>
      <c r="D127" s="44">
        <v>-167731.3520612886</v>
      </c>
      <c r="E127" s="45">
        <v>-157651.78851940407</v>
      </c>
      <c r="F127" s="44">
        <v>-180169.14937074142</v>
      </c>
      <c r="G127" s="44">
        <v>0</v>
      </c>
      <c r="H127" s="44">
        <v>0</v>
      </c>
      <c r="I127" s="44">
        <v>0</v>
      </c>
    </row>
    <row r="128" spans="1:9" ht="14.25">
      <c r="A128" s="46" t="str">
        <f>HLOOKUP(INDICE!$F$2,Nombres!$C$3:$D$636,41,FALSE)</f>
        <v>  General and administrative expenses</v>
      </c>
      <c r="B128" s="44">
        <v>-163838.41712167225</v>
      </c>
      <c r="C128" s="44">
        <v>-168919.2821433393</v>
      </c>
      <c r="D128" s="44">
        <v>-176443.76000695289</v>
      </c>
      <c r="E128" s="45">
        <v>-193017.24308506475</v>
      </c>
      <c r="F128" s="44">
        <v>-177152.52526410576</v>
      </c>
      <c r="G128" s="44">
        <v>0</v>
      </c>
      <c r="H128" s="44">
        <v>0</v>
      </c>
      <c r="I128" s="44">
        <v>0</v>
      </c>
    </row>
    <row r="129" spans="1:9" ht="14.25">
      <c r="A129" s="43" t="str">
        <f>HLOOKUP(INDICE!$F$2,Nombres!$C$3:$D$636,42,FALSE)</f>
        <v>  Depreciation</v>
      </c>
      <c r="B129" s="44">
        <v>-30426.218931759788</v>
      </c>
      <c r="C129" s="44">
        <v>-30331.54168946034</v>
      </c>
      <c r="D129" s="44">
        <v>-29952.194902142783</v>
      </c>
      <c r="E129" s="45">
        <v>-30019.753450299842</v>
      </c>
      <c r="F129" s="44">
        <v>-31699.02545204381</v>
      </c>
      <c r="G129" s="44">
        <v>0</v>
      </c>
      <c r="H129" s="44">
        <v>0</v>
      </c>
      <c r="I129" s="44">
        <v>0</v>
      </c>
    </row>
    <row r="130" spans="1:9" ht="14.25">
      <c r="A130" s="41" t="str">
        <f>HLOOKUP(INDICE!$F$2,Nombres!$C$3:$D$636,43,FALSE)</f>
        <v>Operating income</v>
      </c>
      <c r="B130" s="41">
        <f>+B124+B125</f>
        <v>611646.3818138229</v>
      </c>
      <c r="C130" s="41">
        <f aca="true" t="shared" si="20" ref="C130:I130">+C124+C125</f>
        <v>634801.408394666</v>
      </c>
      <c r="D130" s="41">
        <f t="shared" si="20"/>
        <v>600197.0010030498</v>
      </c>
      <c r="E130" s="42">
        <f t="shared" si="20"/>
        <v>637685.3001586122</v>
      </c>
      <c r="F130" s="50">
        <f t="shared" si="20"/>
        <v>743835.9776810771</v>
      </c>
      <c r="G130" s="50">
        <f t="shared" si="20"/>
        <v>0</v>
      </c>
      <c r="H130" s="50">
        <f t="shared" si="20"/>
        <v>0</v>
      </c>
      <c r="I130" s="50">
        <f t="shared" si="20"/>
        <v>0</v>
      </c>
    </row>
    <row r="131" spans="1:9" ht="14.25">
      <c r="A131" s="43" t="str">
        <f>HLOOKUP(INDICE!$F$2,Nombres!$C$3:$D$636,44,FALSE)</f>
        <v>Impaiment on financial assets not measured at fair value through profit or loss</v>
      </c>
      <c r="B131" s="44">
        <v>-292219.3701938051</v>
      </c>
      <c r="C131" s="44">
        <v>-297736.78182715294</v>
      </c>
      <c r="D131" s="44">
        <v>-227136.93432125694</v>
      </c>
      <c r="E131" s="45">
        <v>-183207.1640033592</v>
      </c>
      <c r="F131" s="44">
        <v>-243347.73873057507</v>
      </c>
      <c r="G131" s="44">
        <v>0</v>
      </c>
      <c r="H131" s="44">
        <v>0</v>
      </c>
      <c r="I131" s="44">
        <v>0</v>
      </c>
    </row>
    <row r="132" spans="1:9" ht="14.25">
      <c r="A132" s="43" t="str">
        <f>HLOOKUP(INDICE!$F$2,Nombres!$C$3:$D$636,45,FALSE)</f>
        <v>Provisions or reversal of provisions and other results</v>
      </c>
      <c r="B132" s="44">
        <v>-32032.78498349309</v>
      </c>
      <c r="C132" s="44">
        <v>16023.20897682318</v>
      </c>
      <c r="D132" s="44">
        <v>10740.062933392892</v>
      </c>
      <c r="E132" s="45">
        <v>-17062.096155633284</v>
      </c>
      <c r="F132" s="44">
        <v>-7145.667880909348</v>
      </c>
      <c r="G132" s="44">
        <v>0</v>
      </c>
      <c r="H132" s="44">
        <v>0</v>
      </c>
      <c r="I132" s="44">
        <v>0</v>
      </c>
    </row>
    <row r="133" spans="1:9" ht="14.25">
      <c r="A133" s="41" t="str">
        <f>HLOOKUP(INDICE!$F$2,Nombres!$C$3:$D$636,46,FALSE)</f>
        <v>Profit/(loss) before tax</v>
      </c>
      <c r="B133" s="41">
        <f>+B130+B131+B132</f>
        <v>287394.2266365247</v>
      </c>
      <c r="C133" s="41">
        <f aca="true" t="shared" si="21" ref="C133:I133">+C130+C131+C132</f>
        <v>353087.8355443363</v>
      </c>
      <c r="D133" s="41">
        <f t="shared" si="21"/>
        <v>383800.1296151857</v>
      </c>
      <c r="E133" s="42">
        <f t="shared" si="21"/>
        <v>437416.0399996197</v>
      </c>
      <c r="F133" s="50">
        <f t="shared" si="21"/>
        <v>493342.57106959267</v>
      </c>
      <c r="G133" s="50">
        <f t="shared" si="21"/>
        <v>0</v>
      </c>
      <c r="H133" s="50">
        <f t="shared" si="21"/>
        <v>0</v>
      </c>
      <c r="I133" s="50">
        <f t="shared" si="21"/>
        <v>0</v>
      </c>
    </row>
    <row r="134" spans="1:9" ht="14.25">
      <c r="A134" s="43" t="str">
        <f>HLOOKUP(INDICE!$F$2,Nombres!$C$3:$D$636,47,FALSE)</f>
        <v>Income tax</v>
      </c>
      <c r="B134" s="44">
        <v>-78250.227735022</v>
      </c>
      <c r="C134" s="44">
        <v>-93040.94190529347</v>
      </c>
      <c r="D134" s="44">
        <v>-137233.8693602755</v>
      </c>
      <c r="E134" s="45">
        <v>-125492.7648704394</v>
      </c>
      <c r="F134" s="44">
        <v>-178069.792045439</v>
      </c>
      <c r="G134" s="44">
        <v>0</v>
      </c>
      <c r="H134" s="44">
        <v>0</v>
      </c>
      <c r="I134" s="44">
        <v>0</v>
      </c>
    </row>
    <row r="135" spans="1:9" ht="14.25">
      <c r="A135" s="41" t="str">
        <f>HLOOKUP(INDICE!$F$2,Nombres!$C$3:$D$636,48,FALSE)</f>
        <v>Profit/(loss) for the year</v>
      </c>
      <c r="B135" s="41">
        <f>+B133+B134</f>
        <v>209143.99890150272</v>
      </c>
      <c r="C135" s="41">
        <f aca="true" t="shared" si="22" ref="C135:I135">+C133+C134</f>
        <v>260046.89363904283</v>
      </c>
      <c r="D135" s="41">
        <f t="shared" si="22"/>
        <v>246566.26025491022</v>
      </c>
      <c r="E135" s="42">
        <f t="shared" si="22"/>
        <v>311923.2751291803</v>
      </c>
      <c r="F135" s="50">
        <f t="shared" si="22"/>
        <v>315272.77902415366</v>
      </c>
      <c r="G135" s="50">
        <f t="shared" si="22"/>
        <v>0</v>
      </c>
      <c r="H135" s="50">
        <f t="shared" si="22"/>
        <v>0</v>
      </c>
      <c r="I135" s="50">
        <f t="shared" si="22"/>
        <v>0</v>
      </c>
    </row>
    <row r="136" spans="1:9" ht="14.25">
      <c r="A136" s="43" t="str">
        <f>HLOOKUP(INDICE!$F$2,Nombres!$C$3:$D$636,49,FALSE)</f>
        <v>Non-controlling interests</v>
      </c>
      <c r="B136" s="44">
        <v>-8150.699597180766</v>
      </c>
      <c r="C136" s="44">
        <v>-10070.910178310898</v>
      </c>
      <c r="D136" s="44">
        <v>-9238.935420099922</v>
      </c>
      <c r="E136" s="45">
        <v>-12391.901485665856</v>
      </c>
      <c r="F136" s="44">
        <v>-11559.787636368794</v>
      </c>
      <c r="G136" s="44">
        <v>0</v>
      </c>
      <c r="H136" s="44">
        <v>0</v>
      </c>
      <c r="I136" s="44">
        <v>0</v>
      </c>
    </row>
    <row r="137" spans="1:9" ht="14.25">
      <c r="A137" s="47" t="str">
        <f>HLOOKUP(INDICE!$F$2,Nombres!$C$3:$D$636,50,FALSE)</f>
        <v>Net attributable profit</v>
      </c>
      <c r="B137" s="47">
        <f>+B135+B136</f>
        <v>200993.29930432196</v>
      </c>
      <c r="C137" s="47">
        <f aca="true" t="shared" si="23" ref="C137:I137">+C135+C136</f>
        <v>249975.98346073192</v>
      </c>
      <c r="D137" s="47">
        <f t="shared" si="23"/>
        <v>237327.32483481028</v>
      </c>
      <c r="E137" s="47">
        <f t="shared" si="23"/>
        <v>299531.3736435144</v>
      </c>
      <c r="F137" s="51">
        <f t="shared" si="23"/>
        <v>303712.9913877849</v>
      </c>
      <c r="G137" s="51">
        <f t="shared" si="23"/>
        <v>0</v>
      </c>
      <c r="H137" s="51">
        <f t="shared" si="23"/>
        <v>0</v>
      </c>
      <c r="I137" s="51">
        <f t="shared" si="23"/>
        <v>0</v>
      </c>
    </row>
    <row r="138" spans="1:9" ht="14.25">
      <c r="A138" s="62"/>
      <c r="B138" s="63">
        <v>0</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HLOOKUP(INDICE!$F$2,Nombres!$C$3:$D$636,75,FALSE)</f>
        <v>(Million Colombian pesos)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Cash, cash balances at central banks and other demand deposits</v>
      </c>
      <c r="B143" s="44">
        <v>3728039.759377931</v>
      </c>
      <c r="C143" s="44">
        <v>7309172.660047796</v>
      </c>
      <c r="D143" s="44">
        <v>7125274.712022508</v>
      </c>
      <c r="E143" s="45">
        <v>10330427.477458026</v>
      </c>
      <c r="F143" s="44">
        <v>8131289.224452657</v>
      </c>
      <c r="G143" s="44">
        <v>0</v>
      </c>
      <c r="H143" s="44">
        <v>0</v>
      </c>
      <c r="I143" s="44">
        <v>0</v>
      </c>
    </row>
    <row r="144" spans="1:9" ht="14.25">
      <c r="A144" s="43" t="str">
        <f>HLOOKUP(INDICE!$F$2,Nombres!$C$3:$D$636,53,FALSE)</f>
        <v>Financial assets designated at fair value </v>
      </c>
      <c r="B144" s="58">
        <v>10252738.087411333</v>
      </c>
      <c r="C144" s="58">
        <v>8023668.425606111</v>
      </c>
      <c r="D144" s="58">
        <v>8322963.339345169</v>
      </c>
      <c r="E144" s="65">
        <v>9334619.209548473</v>
      </c>
      <c r="F144" s="44">
        <v>11790128.255860886</v>
      </c>
      <c r="G144" s="44">
        <v>0</v>
      </c>
      <c r="H144" s="44">
        <v>0</v>
      </c>
      <c r="I144" s="44">
        <v>0</v>
      </c>
    </row>
    <row r="145" spans="1:9" ht="14.25">
      <c r="A145" s="43" t="str">
        <f>HLOOKUP(INDICE!$F$2,Nombres!$C$3:$D$636,54,FALSE)</f>
        <v>Financial assets at amortized cost</v>
      </c>
      <c r="B145" s="44">
        <v>53147690.07978696</v>
      </c>
      <c r="C145" s="44">
        <v>54154803.01097002</v>
      </c>
      <c r="D145" s="44">
        <v>55810458.904663906</v>
      </c>
      <c r="E145" s="45">
        <v>59224245.49237206</v>
      </c>
      <c r="F145" s="44">
        <v>62343957.498208836</v>
      </c>
      <c r="G145" s="44">
        <v>0</v>
      </c>
      <c r="H145" s="44">
        <v>0</v>
      </c>
      <c r="I145" s="44">
        <v>0</v>
      </c>
    </row>
    <row r="146" spans="1:9" ht="14.25">
      <c r="A146" s="43" t="str">
        <f>HLOOKUP(INDICE!$F$2,Nombres!$C$3:$D$636,55,FALSE)</f>
        <v>    of which loans and advances to customers</v>
      </c>
      <c r="B146" s="44">
        <v>49537171.63714026</v>
      </c>
      <c r="C146" s="44">
        <v>50675251.22333102</v>
      </c>
      <c r="D146" s="44">
        <v>52193678.04281339</v>
      </c>
      <c r="E146" s="45">
        <v>55590216.713808015</v>
      </c>
      <c r="F146" s="44">
        <v>58391281.265217565</v>
      </c>
      <c r="G146" s="44">
        <v>0</v>
      </c>
      <c r="H146" s="44">
        <v>0</v>
      </c>
      <c r="I146" s="44">
        <v>0</v>
      </c>
    </row>
    <row r="147" spans="1:9" ht="14.25">
      <c r="A147" s="43"/>
      <c r="B147" s="44"/>
      <c r="C147" s="44"/>
      <c r="D147" s="44"/>
      <c r="E147" s="45"/>
      <c r="F147" s="44"/>
      <c r="G147" s="44"/>
      <c r="H147" s="44"/>
      <c r="I147" s="44"/>
    </row>
    <row r="148" spans="1:9" ht="14.25">
      <c r="A148" s="43" t="str">
        <f>HLOOKUP(INDICE!$F$2,Nombres!$C$3:$D$636,56,FALSE)</f>
        <v>Tangible assets</v>
      </c>
      <c r="B148" s="44">
        <v>465559.1495517467</v>
      </c>
      <c r="C148" s="44">
        <v>451715.15011656843</v>
      </c>
      <c r="D148" s="44">
        <v>447876.11042307375</v>
      </c>
      <c r="E148" s="45">
        <v>448890.6319118281</v>
      </c>
      <c r="F148" s="44">
        <v>440381.3284557966</v>
      </c>
      <c r="G148" s="44">
        <v>0</v>
      </c>
      <c r="H148" s="44">
        <v>0</v>
      </c>
      <c r="I148" s="44">
        <v>0</v>
      </c>
    </row>
    <row r="149" spans="1:9" ht="14.25">
      <c r="A149" s="43" t="str">
        <f>HLOOKUP(INDICE!$F$2,Nombres!$C$3:$D$636,57,FALSE)</f>
        <v>Other assets</v>
      </c>
      <c r="B149" s="58">
        <f>+B150-B148-B145-B144-B143</f>
        <v>2916063.94198928</v>
      </c>
      <c r="C149" s="58">
        <f aca="true" t="shared" si="25" ref="C149:I149">+C150-C148-C145-C144-C143</f>
        <v>3238807.5910253245</v>
      </c>
      <c r="D149" s="58">
        <f t="shared" si="25"/>
        <v>3179396.8872563783</v>
      </c>
      <c r="E149" s="65">
        <f t="shared" si="25"/>
        <v>2770597.5477268957</v>
      </c>
      <c r="F149" s="44">
        <f t="shared" si="25"/>
        <v>2655670.711019662</v>
      </c>
      <c r="G149" s="44">
        <f t="shared" si="25"/>
        <v>0</v>
      </c>
      <c r="H149" s="44">
        <f t="shared" si="25"/>
        <v>0</v>
      </c>
      <c r="I149" s="44">
        <f t="shared" si="25"/>
        <v>0</v>
      </c>
    </row>
    <row r="150" spans="1:9" ht="14.25">
      <c r="A150" s="47" t="str">
        <f>HLOOKUP(INDICE!$F$2,Nombres!$C$3:$D$636,58,FALSE)</f>
        <v>Total assets / Liabilities and equity</v>
      </c>
      <c r="B150" s="47">
        <v>70510091.01811725</v>
      </c>
      <c r="C150" s="47">
        <v>73178166.83776581</v>
      </c>
      <c r="D150" s="47">
        <v>74885969.95371103</v>
      </c>
      <c r="E150" s="47">
        <v>82108780.35901728</v>
      </c>
      <c r="F150" s="51">
        <v>85361427.01799783</v>
      </c>
      <c r="G150" s="51">
        <v>0</v>
      </c>
      <c r="H150" s="51">
        <v>0</v>
      </c>
      <c r="I150" s="51">
        <v>0</v>
      </c>
    </row>
    <row r="151" spans="1:9" ht="14.25">
      <c r="A151" s="43" t="str">
        <f>HLOOKUP(INDICE!$F$2,Nombres!$C$3:$D$636,59,FALSE)</f>
        <v>Financial liabilities held for trading and designated at fair value through profit or loss</v>
      </c>
      <c r="B151" s="58">
        <v>4179231.881953251</v>
      </c>
      <c r="C151" s="58">
        <v>3577702.2069401927</v>
      </c>
      <c r="D151" s="58">
        <v>4754611.476854079</v>
      </c>
      <c r="E151" s="65">
        <v>6882099.901114469</v>
      </c>
      <c r="F151" s="44">
        <v>8987290.83369191</v>
      </c>
      <c r="G151" s="44">
        <v>0</v>
      </c>
      <c r="H151" s="44">
        <v>0</v>
      </c>
      <c r="I151" s="44">
        <v>0</v>
      </c>
    </row>
    <row r="152" spans="1:9" ht="14.25">
      <c r="A152" s="43" t="str">
        <f>HLOOKUP(INDICE!$F$2,Nombres!$C$3:$D$636,60,FALSE)</f>
        <v>Deposits from central banks and credit institutions</v>
      </c>
      <c r="B152" s="58">
        <v>1733538.0061865845</v>
      </c>
      <c r="C152" s="58">
        <v>1960035.0778928602</v>
      </c>
      <c r="D152" s="58">
        <v>2260529.1102399295</v>
      </c>
      <c r="E152" s="65">
        <v>3188916.740461972</v>
      </c>
      <c r="F152" s="44">
        <v>6304093.667785421</v>
      </c>
      <c r="G152" s="44">
        <v>0</v>
      </c>
      <c r="H152" s="44">
        <v>0</v>
      </c>
      <c r="I152" s="44">
        <v>0</v>
      </c>
    </row>
    <row r="153" spans="1:9" ht="14.25">
      <c r="A153" s="43" t="str">
        <f>HLOOKUP(INDICE!$F$2,Nombres!$C$3:$D$636,61,FALSE)</f>
        <v>Deposits from customers</v>
      </c>
      <c r="B153" s="58">
        <v>51483608.039330855</v>
      </c>
      <c r="C153" s="58">
        <v>54345099.195764795</v>
      </c>
      <c r="D153" s="58">
        <v>54138368.55568788</v>
      </c>
      <c r="E153" s="65">
        <v>57755549.36551548</v>
      </c>
      <c r="F153" s="44">
        <v>55952632.21146009</v>
      </c>
      <c r="G153" s="44">
        <v>0</v>
      </c>
      <c r="H153" s="44">
        <v>0</v>
      </c>
      <c r="I153" s="44">
        <v>0</v>
      </c>
    </row>
    <row r="154" spans="1:9" ht="14.25">
      <c r="A154" s="43" t="str">
        <f>HLOOKUP(INDICE!$F$2,Nombres!$C$3:$D$636,62,FALSE)</f>
        <v>Debt certificates</v>
      </c>
      <c r="B154" s="44">
        <v>3445013.0918054557</v>
      </c>
      <c r="C154" s="44">
        <v>3488102.760698742</v>
      </c>
      <c r="D154" s="44">
        <v>3609708.5747333057</v>
      </c>
      <c r="E154" s="45">
        <v>3722568.3359592305</v>
      </c>
      <c r="F154" s="44">
        <v>3653584.586303995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3180451.470568632</v>
      </c>
      <c r="C156" s="58">
        <f aca="true" t="shared" si="26" ref="C156:I156">+C150-C151-C152-C153-C154-C157</f>
        <v>3306535.7392753474</v>
      </c>
      <c r="D156" s="58">
        <f t="shared" si="26"/>
        <v>3411275.4009424504</v>
      </c>
      <c r="E156" s="65">
        <f t="shared" si="26"/>
        <v>3302397.7531453315</v>
      </c>
      <c r="F156" s="44">
        <f t="shared" si="26"/>
        <v>2875139.6724264612</v>
      </c>
      <c r="G156" s="44">
        <f t="shared" si="26"/>
        <v>0</v>
      </c>
      <c r="H156" s="44">
        <f t="shared" si="26"/>
        <v>0</v>
      </c>
      <c r="I156" s="44">
        <f t="shared" si="26"/>
        <v>0</v>
      </c>
    </row>
    <row r="157" spans="1:9" ht="15.75" customHeight="1">
      <c r="A157" s="43" t="str">
        <f>HLOOKUP(INDICE!$F$2,Nombres!$C$3:$D$636,282,FALSE)</f>
        <v>Regulatory capital allocated</v>
      </c>
      <c r="B157" s="58">
        <v>6488248.5282724695</v>
      </c>
      <c r="C157" s="58">
        <v>6500691.857193885</v>
      </c>
      <c r="D157" s="58">
        <v>6711476.835253386</v>
      </c>
      <c r="E157" s="65">
        <v>7257248.2628208045</v>
      </c>
      <c r="F157" s="44">
        <v>7588686.046329954</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HLOOKUP(INDICE!$F$2,Nombres!$C$3:$D$636,75,FALSE)</f>
        <v>(Million Colombian pesos)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Loans and advances to customers (gross) (*)</v>
      </c>
      <c r="B163" s="44">
        <v>52740309.599485286</v>
      </c>
      <c r="C163" s="44">
        <v>53935958.19001965</v>
      </c>
      <c r="D163" s="44">
        <v>55442453.036314204</v>
      </c>
      <c r="E163" s="45">
        <v>58764018.0561954</v>
      </c>
      <c r="F163" s="44">
        <v>61560886.212334245</v>
      </c>
      <c r="G163" s="44">
        <v>0</v>
      </c>
      <c r="H163" s="44">
        <v>0</v>
      </c>
      <c r="I163" s="44">
        <v>0</v>
      </c>
    </row>
    <row r="164" spans="1:9" ht="14.25">
      <c r="A164" s="43" t="str">
        <f>HLOOKUP(INDICE!$F$2,Nombres!$C$3:$D$636,67,FALSE)</f>
        <v>Customer deposits under management (*)</v>
      </c>
      <c r="B164" s="44">
        <v>51482243.47168362</v>
      </c>
      <c r="C164" s="44">
        <v>54273582.1714105</v>
      </c>
      <c r="D164" s="44">
        <v>54041023.67755364</v>
      </c>
      <c r="E164" s="45">
        <v>57777210.21995637</v>
      </c>
      <c r="F164" s="44">
        <v>55979830.953652136</v>
      </c>
      <c r="G164" s="44">
        <v>0</v>
      </c>
      <c r="H164" s="44">
        <v>0</v>
      </c>
      <c r="I164" s="44">
        <v>0</v>
      </c>
    </row>
    <row r="165" spans="1:9" ht="14.25">
      <c r="A165" s="43" t="str">
        <f>HLOOKUP(INDICE!$F$2,Nombres!$C$3:$D$636,68,FALSE)</f>
        <v>Investment funds and managed portfolios</v>
      </c>
      <c r="B165" s="44">
        <v>6214459.843579048</v>
      </c>
      <c r="C165" s="44">
        <v>5762616.428429238</v>
      </c>
      <c r="D165" s="44">
        <v>6049122.536908397</v>
      </c>
      <c r="E165" s="45">
        <v>10711241.650299674</v>
      </c>
      <c r="F165" s="44">
        <v>10704117.431983523</v>
      </c>
      <c r="G165" s="44">
        <v>0</v>
      </c>
      <c r="H165" s="44">
        <v>0</v>
      </c>
      <c r="I165" s="44">
        <v>0</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0</v>
      </c>
      <c r="C167" s="44">
        <v>0</v>
      </c>
      <c r="D167" s="44">
        <v>0</v>
      </c>
      <c r="E167" s="45">
        <v>0</v>
      </c>
      <c r="F167" s="44">
        <v>0</v>
      </c>
      <c r="G167" s="44">
        <v>0</v>
      </c>
      <c r="H167" s="44">
        <v>0</v>
      </c>
      <c r="I167" s="44">
        <v>0</v>
      </c>
      <c r="N167" s="74"/>
      <c r="O167" s="74"/>
    </row>
    <row r="168" spans="1:15" ht="14.25">
      <c r="A168" s="62" t="str">
        <f>HLOOKUP(INDICE!$F$2,Nombres!$C$3:$D$636,71,FALSE)</f>
        <v>(*) Excluding repos. </v>
      </c>
      <c r="B168" s="58"/>
      <c r="C168" s="58"/>
      <c r="D168" s="58"/>
      <c r="E168" s="58"/>
      <c r="F168" s="44"/>
      <c r="G168" s="44"/>
      <c r="H168" s="44"/>
      <c r="I168" s="44"/>
      <c r="N168" s="74"/>
      <c r="O168" s="74"/>
    </row>
    <row r="169" spans="1:15" ht="14.25">
      <c r="A169" s="62">
        <f>HLOOKUP(INDICE!$F$2,Nombres!$C$3:$D$636,72,FALSE)</f>
        <v>0</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HLOOKUP(INDICE!$F$2,Nombres!$C$3:$D$636,17,FALSE)</f>
        <v>Peru</v>
      </c>
      <c r="B1" s="30"/>
      <c r="C1" s="30"/>
      <c r="D1" s="30"/>
      <c r="E1" s="30"/>
      <c r="F1" s="30"/>
      <c r="G1" s="30"/>
      <c r="H1" s="30"/>
      <c r="I1" s="30"/>
    </row>
    <row r="2" spans="1:9" ht="19.5">
      <c r="A2" s="32"/>
      <c r="B2" s="30"/>
      <c r="C2" s="30"/>
      <c r="D2" s="30"/>
      <c r="E2" s="30"/>
      <c r="F2" s="30"/>
      <c r="G2" s="30"/>
      <c r="H2" s="30"/>
      <c r="I2" s="30"/>
    </row>
    <row r="3" spans="1:9" ht="16.5">
      <c r="A3" s="9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5" ht="14.25">
      <c r="A8" s="41" t="str">
        <f>HLOOKUP(INDICE!$F$2,Nombres!$C$3:$D$636,33,FALSE)</f>
        <v>Net interest income</v>
      </c>
      <c r="B8" s="41">
        <v>182.101</v>
      </c>
      <c r="C8" s="41">
        <v>177.758</v>
      </c>
      <c r="D8" s="41">
        <v>192.64100000000005</v>
      </c>
      <c r="E8" s="42">
        <v>208.13799999999998</v>
      </c>
      <c r="F8" s="50">
        <v>218.20399999999995</v>
      </c>
      <c r="G8" s="50">
        <v>0</v>
      </c>
      <c r="H8" s="242">
        <v>0</v>
      </c>
      <c r="I8" s="242">
        <v>0</v>
      </c>
      <c r="J8" s="87"/>
      <c r="K8" s="87"/>
      <c r="L8" s="87"/>
      <c r="M8" s="87"/>
      <c r="N8" s="87"/>
      <c r="O8" s="87"/>
    </row>
    <row r="9" spans="1:9" ht="14.25">
      <c r="A9" s="88" t="str">
        <f>HLOOKUP(INDICE!$F$2,Nombres!$C$3:$D$636,34,FALSE)</f>
        <v>Net fees and commissions</v>
      </c>
      <c r="B9" s="44">
        <v>54.90512817</v>
      </c>
      <c r="C9" s="44">
        <v>59.07316048999999</v>
      </c>
      <c r="D9" s="44">
        <v>58.71583201999999</v>
      </c>
      <c r="E9" s="45">
        <v>58.1263661</v>
      </c>
      <c r="F9" s="44">
        <v>63.51501187999999</v>
      </c>
      <c r="G9" s="44">
        <v>0</v>
      </c>
      <c r="H9" s="44">
        <v>0</v>
      </c>
      <c r="I9" s="44">
        <v>0</v>
      </c>
    </row>
    <row r="10" spans="1:9" ht="14.25">
      <c r="A10" s="88" t="str">
        <f>HLOOKUP(INDICE!$F$2,Nombres!$C$3:$D$636,35,FALSE)</f>
        <v>Net trading income</v>
      </c>
      <c r="B10" s="44">
        <v>33.87019303999999</v>
      </c>
      <c r="C10" s="44">
        <v>55.55867029999999</v>
      </c>
      <c r="D10" s="44">
        <v>22.65121704000002</v>
      </c>
      <c r="E10" s="45">
        <v>29.103929020000006</v>
      </c>
      <c r="F10" s="44">
        <v>33.20376918000001</v>
      </c>
      <c r="G10" s="44">
        <v>0</v>
      </c>
      <c r="H10" s="44">
        <v>0</v>
      </c>
      <c r="I10" s="44">
        <v>0</v>
      </c>
    </row>
    <row r="11" spans="1:9" ht="14.25">
      <c r="A11" s="88" t="str">
        <f>HLOOKUP(INDICE!$F$2,Nombres!$C$3:$D$636,36,FALSE)</f>
        <v>Other operating income and expenses</v>
      </c>
      <c r="B11" s="44">
        <v>-8.507</v>
      </c>
      <c r="C11" s="44">
        <v>-10.249000000000002</v>
      </c>
      <c r="D11" s="44">
        <v>-8.525999999999998</v>
      </c>
      <c r="E11" s="45">
        <v>-7.714000000000003</v>
      </c>
      <c r="F11" s="44">
        <v>-8.483000000000002</v>
      </c>
      <c r="G11" s="44">
        <v>0</v>
      </c>
      <c r="H11" s="44">
        <v>0</v>
      </c>
      <c r="I11" s="44">
        <v>0</v>
      </c>
    </row>
    <row r="12" spans="1:9" ht="14.25">
      <c r="A12" s="41" t="str">
        <f>HLOOKUP(INDICE!$F$2,Nombres!$C$3:$D$636,37,FALSE)</f>
        <v>Gross income</v>
      </c>
      <c r="B12" s="41">
        <f aca="true" t="shared" si="0" ref="B12:I12">+SUM(B8:B11)</f>
        <v>262.36932121</v>
      </c>
      <c r="C12" s="41">
        <f t="shared" si="0"/>
        <v>282.14083079</v>
      </c>
      <c r="D12" s="41">
        <f t="shared" si="0"/>
        <v>265.48204906000007</v>
      </c>
      <c r="E12" s="42">
        <f t="shared" si="0"/>
        <v>287.65429512</v>
      </c>
      <c r="F12" s="50">
        <f t="shared" si="0"/>
        <v>306.4397810599999</v>
      </c>
      <c r="G12" s="50">
        <f t="shared" si="0"/>
        <v>0</v>
      </c>
      <c r="H12" s="50">
        <f t="shared" si="0"/>
        <v>0</v>
      </c>
      <c r="I12" s="50">
        <f t="shared" si="0"/>
        <v>0</v>
      </c>
    </row>
    <row r="13" spans="1:9" ht="14.25">
      <c r="A13" s="88" t="str">
        <f>HLOOKUP(INDICE!$F$2,Nombres!$C$3:$D$636,38,FALSE)</f>
        <v>Operating expenses</v>
      </c>
      <c r="B13" s="44">
        <v>-102.38831486000001</v>
      </c>
      <c r="C13" s="44">
        <v>-102.50110823</v>
      </c>
      <c r="D13" s="44">
        <v>-101.13769025</v>
      </c>
      <c r="E13" s="45">
        <v>-112.82812424999999</v>
      </c>
      <c r="F13" s="44">
        <v>-119.00970702000001</v>
      </c>
      <c r="G13" s="44">
        <v>0</v>
      </c>
      <c r="H13" s="44">
        <v>0</v>
      </c>
      <c r="I13" s="44">
        <v>0</v>
      </c>
    </row>
    <row r="14" spans="1:9" ht="14.25">
      <c r="A14" s="88" t="str">
        <f>HLOOKUP(INDICE!$F$2,Nombres!$C$3:$D$636,39,FALSE)</f>
        <v>  Administration expenses</v>
      </c>
      <c r="B14" s="44">
        <v>-87.45931486</v>
      </c>
      <c r="C14" s="44">
        <v>-88.41310822999998</v>
      </c>
      <c r="D14" s="44">
        <v>-87.67369025</v>
      </c>
      <c r="E14" s="45">
        <v>-99.13412424999996</v>
      </c>
      <c r="F14" s="44">
        <v>-102.51670702000001</v>
      </c>
      <c r="G14" s="44">
        <v>0</v>
      </c>
      <c r="H14" s="44">
        <v>0</v>
      </c>
      <c r="I14" s="44">
        <v>0</v>
      </c>
    </row>
    <row r="15" spans="1:9" ht="14.25">
      <c r="A15" s="89" t="str">
        <f>HLOOKUP(INDICE!$F$2,Nombres!$C$3:$D$636,40,FALSE)</f>
        <v>  Personnel expenses</v>
      </c>
      <c r="B15" s="44">
        <v>-47.685</v>
      </c>
      <c r="C15" s="44">
        <v>-47.566</v>
      </c>
      <c r="D15" s="44">
        <v>-48.599000000000004</v>
      </c>
      <c r="E15" s="45">
        <v>-58.57062599999999</v>
      </c>
      <c r="F15" s="44">
        <v>-53.595</v>
      </c>
      <c r="G15" s="44">
        <v>0</v>
      </c>
      <c r="H15" s="44">
        <v>0</v>
      </c>
      <c r="I15" s="44">
        <v>0</v>
      </c>
    </row>
    <row r="16" spans="1:9" ht="14.25">
      <c r="A16" s="89" t="str">
        <f>HLOOKUP(INDICE!$F$2,Nombres!$C$3:$D$636,41,FALSE)</f>
        <v>  General and administrative expenses</v>
      </c>
      <c r="B16" s="44">
        <v>-39.774314860000004</v>
      </c>
      <c r="C16" s="44">
        <v>-40.847108229999996</v>
      </c>
      <c r="D16" s="44">
        <v>-39.07469025000001</v>
      </c>
      <c r="E16" s="45">
        <v>-40.56349824999997</v>
      </c>
      <c r="F16" s="44">
        <v>-48.92170701999999</v>
      </c>
      <c r="G16" s="44">
        <v>0</v>
      </c>
      <c r="H16" s="44">
        <v>0</v>
      </c>
      <c r="I16" s="44">
        <v>0</v>
      </c>
    </row>
    <row r="17" spans="1:9" ht="14.25">
      <c r="A17" s="88" t="str">
        <f>HLOOKUP(INDICE!$F$2,Nombres!$C$3:$D$636,42,FALSE)</f>
        <v>  Depreciation</v>
      </c>
      <c r="B17" s="44">
        <v>-14.929</v>
      </c>
      <c r="C17" s="44">
        <v>-14.088</v>
      </c>
      <c r="D17" s="44">
        <v>-13.463999999999999</v>
      </c>
      <c r="E17" s="45">
        <v>-13.694000000000003</v>
      </c>
      <c r="F17" s="44">
        <v>-16.493000000000002</v>
      </c>
      <c r="G17" s="44">
        <v>0</v>
      </c>
      <c r="H17" s="44">
        <v>0</v>
      </c>
      <c r="I17" s="44">
        <v>0</v>
      </c>
    </row>
    <row r="18" spans="1:9" ht="14.25">
      <c r="A18" s="41" t="str">
        <f>HLOOKUP(INDICE!$F$2,Nombres!$C$3:$D$636,43,FALSE)</f>
        <v>Operating income</v>
      </c>
      <c r="B18" s="41">
        <f aca="true" t="shared" si="1" ref="B18:I18">+B12+B13</f>
        <v>159.98100635</v>
      </c>
      <c r="C18" s="41">
        <f t="shared" si="1"/>
        <v>179.63972256</v>
      </c>
      <c r="D18" s="41">
        <f t="shared" si="1"/>
        <v>164.34435881000007</v>
      </c>
      <c r="E18" s="42">
        <f t="shared" si="1"/>
        <v>174.82617087</v>
      </c>
      <c r="F18" s="50">
        <f t="shared" si="1"/>
        <v>187.4300740399999</v>
      </c>
      <c r="G18" s="50">
        <f t="shared" si="1"/>
        <v>0</v>
      </c>
      <c r="H18" s="50">
        <f t="shared" si="1"/>
        <v>0</v>
      </c>
      <c r="I18" s="50">
        <f t="shared" si="1"/>
        <v>0</v>
      </c>
    </row>
    <row r="19" spans="1:9" ht="14.25">
      <c r="A19" s="88" t="str">
        <f>HLOOKUP(INDICE!$F$2,Nombres!$C$3:$D$636,44,FALSE)</f>
        <v>Impaiment on financial assets not measured at fair value through profit or loss</v>
      </c>
      <c r="B19" s="44">
        <v>-66.37799999999997</v>
      </c>
      <c r="C19" s="44">
        <v>-81.15900000000002</v>
      </c>
      <c r="D19" s="44">
        <v>-72.707</v>
      </c>
      <c r="E19" s="45">
        <v>-34.973</v>
      </c>
      <c r="F19" s="44">
        <v>-30.826999999999998</v>
      </c>
      <c r="G19" s="44">
        <v>0</v>
      </c>
      <c r="H19" s="44">
        <v>0</v>
      </c>
      <c r="I19" s="44">
        <v>0</v>
      </c>
    </row>
    <row r="20" spans="1:9" ht="14.25">
      <c r="A20" s="88" t="str">
        <f>HLOOKUP(INDICE!$F$2,Nombres!$C$3:$D$636,45,FALSE)</f>
        <v>Provisions or reversal of provisions and other results</v>
      </c>
      <c r="B20" s="44">
        <v>-6.544999999999999</v>
      </c>
      <c r="C20" s="44">
        <v>-12.276</v>
      </c>
      <c r="D20" s="44">
        <v>-14.729</v>
      </c>
      <c r="E20" s="45">
        <v>-9.948000000000008</v>
      </c>
      <c r="F20" s="44">
        <v>-9.047</v>
      </c>
      <c r="G20" s="44">
        <v>0</v>
      </c>
      <c r="H20" s="44">
        <v>0</v>
      </c>
      <c r="I20" s="44">
        <v>0</v>
      </c>
    </row>
    <row r="21" spans="1:9" ht="14.25">
      <c r="A21" s="90" t="str">
        <f>HLOOKUP(INDICE!$F$2,Nombres!$C$3:$D$636,46,FALSE)</f>
        <v>Profit/(loss) before tax</v>
      </c>
      <c r="B21" s="41">
        <f aca="true" t="shared" si="2" ref="B21:I21">+B18+B19+B20</f>
        <v>87.05800635000003</v>
      </c>
      <c r="C21" s="41">
        <f t="shared" si="2"/>
        <v>86.20472255999998</v>
      </c>
      <c r="D21" s="41">
        <f t="shared" si="2"/>
        <v>76.90835881000008</v>
      </c>
      <c r="E21" s="42">
        <f t="shared" si="2"/>
        <v>129.90517086999998</v>
      </c>
      <c r="F21" s="50">
        <f t="shared" si="2"/>
        <v>147.5560740399999</v>
      </c>
      <c r="G21" s="50">
        <f t="shared" si="2"/>
        <v>0</v>
      </c>
      <c r="H21" s="50">
        <f t="shared" si="2"/>
        <v>0</v>
      </c>
      <c r="I21" s="50">
        <f t="shared" si="2"/>
        <v>0</v>
      </c>
    </row>
    <row r="22" spans="1:9" ht="14.25">
      <c r="A22" s="43" t="str">
        <f>HLOOKUP(INDICE!$F$2,Nombres!$C$3:$D$636,47,FALSE)</f>
        <v>Income tax</v>
      </c>
      <c r="B22" s="44">
        <v>-26.959631610000002</v>
      </c>
      <c r="C22" s="44">
        <v>-29.657473080000003</v>
      </c>
      <c r="D22" s="44">
        <v>-25.605789299999998</v>
      </c>
      <c r="E22" s="45">
        <v>-36.37013999</v>
      </c>
      <c r="F22" s="44">
        <v>-37.16825010000001</v>
      </c>
      <c r="G22" s="44">
        <v>0</v>
      </c>
      <c r="H22" s="44">
        <v>0</v>
      </c>
      <c r="I22" s="44">
        <v>0</v>
      </c>
    </row>
    <row r="23" spans="1:9" ht="14.25">
      <c r="A23" s="90" t="str">
        <f>HLOOKUP(INDICE!$F$2,Nombres!$C$3:$D$636,48,FALSE)</f>
        <v>Profit/(loss) for the year</v>
      </c>
      <c r="B23" s="41">
        <f aca="true" t="shared" si="3" ref="B23:I23">+B21+B22</f>
        <v>60.098374740000025</v>
      </c>
      <c r="C23" s="41">
        <f t="shared" si="3"/>
        <v>56.54724947999998</v>
      </c>
      <c r="D23" s="41">
        <f t="shared" si="3"/>
        <v>51.30256951000008</v>
      </c>
      <c r="E23" s="42">
        <f t="shared" si="3"/>
        <v>93.53503087999998</v>
      </c>
      <c r="F23" s="50">
        <f t="shared" si="3"/>
        <v>110.3878239399999</v>
      </c>
      <c r="G23" s="50">
        <f t="shared" si="3"/>
        <v>0</v>
      </c>
      <c r="H23" s="50">
        <f t="shared" si="3"/>
        <v>0</v>
      </c>
      <c r="I23" s="50">
        <f t="shared" si="3"/>
        <v>0</v>
      </c>
    </row>
    <row r="24" spans="1:9" ht="14.25">
      <c r="A24" s="88" t="str">
        <f>HLOOKUP(INDICE!$F$2,Nombres!$C$3:$D$636,49,FALSE)</f>
        <v>Non-controlling interests</v>
      </c>
      <c r="B24" s="44">
        <v>-33.19100227</v>
      </c>
      <c r="C24" s="44">
        <v>-30.662351949999998</v>
      </c>
      <c r="D24" s="44">
        <v>-28.361814059999997</v>
      </c>
      <c r="E24" s="45">
        <v>-51.32902664000001</v>
      </c>
      <c r="F24" s="44">
        <v>-59.35333915</v>
      </c>
      <c r="G24" s="44">
        <v>0</v>
      </c>
      <c r="H24" s="44">
        <v>0</v>
      </c>
      <c r="I24" s="44">
        <v>0</v>
      </c>
    </row>
    <row r="25" spans="1:9" ht="14.25">
      <c r="A25" s="91" t="str">
        <f>HLOOKUP(INDICE!$F$2,Nombres!$C$3:$D$636,50,FALSE)</f>
        <v>Net attributable profit</v>
      </c>
      <c r="B25" s="47">
        <f aca="true" t="shared" si="4" ref="B25:I25">+B23+B24</f>
        <v>26.907372470000027</v>
      </c>
      <c r="C25" s="47">
        <f t="shared" si="4"/>
        <v>25.88489752999998</v>
      </c>
      <c r="D25" s="47">
        <f t="shared" si="4"/>
        <v>22.940755450000086</v>
      </c>
      <c r="E25" s="47">
        <f t="shared" si="4"/>
        <v>42.20600423999997</v>
      </c>
      <c r="F25" s="51">
        <f t="shared" si="4"/>
        <v>51.03448478999991</v>
      </c>
      <c r="G25" s="51">
        <f t="shared" si="4"/>
        <v>0</v>
      </c>
      <c r="H25" s="51">
        <f t="shared" si="4"/>
        <v>0</v>
      </c>
      <c r="I25" s="51">
        <f t="shared" si="4"/>
        <v>0</v>
      </c>
    </row>
    <row r="26" spans="1:9" ht="14.25">
      <c r="A26" s="92"/>
      <c r="B26" s="63">
        <v>0</v>
      </c>
      <c r="C26" s="63">
        <v>0</v>
      </c>
      <c r="D26" s="63">
        <v>4.618527782440651E-14</v>
      </c>
      <c r="E26" s="63">
        <v>0</v>
      </c>
      <c r="F26" s="63">
        <v>-9.947598300641403E-14</v>
      </c>
      <c r="G26" s="63">
        <v>0</v>
      </c>
      <c r="H26" s="63">
        <v>0</v>
      </c>
      <c r="I26" s="63">
        <v>0</v>
      </c>
    </row>
    <row r="27" spans="1:9" ht="14.25">
      <c r="A27" s="90"/>
      <c r="B27" s="41"/>
      <c r="C27" s="41"/>
      <c r="D27" s="41"/>
      <c r="E27" s="41"/>
      <c r="F27" s="41"/>
      <c r="G27" s="41"/>
      <c r="H27" s="41"/>
      <c r="I27" s="41"/>
    </row>
    <row r="28" spans="1:9" ht="16.5">
      <c r="A28" s="93" t="str">
        <f>HLOOKUP(INDICE!$F$2,Nombres!$C$3:$D$636,51,FALSE)</f>
        <v>Balance sheets</v>
      </c>
      <c r="B28" s="34"/>
      <c r="C28" s="34"/>
      <c r="D28" s="34"/>
      <c r="E28" s="34"/>
      <c r="F28" s="34"/>
      <c r="G28" s="34"/>
      <c r="H28" s="34"/>
      <c r="I28" s="34"/>
    </row>
    <row r="29" spans="1:9" ht="14.25">
      <c r="A29" s="84"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88" t="str">
        <f>HLOOKUP(INDICE!$F$2,Nombres!$C$3:$D$636,52,FALSE)</f>
        <v>Cash, cash balances at central banks and other demand deposits</v>
      </c>
      <c r="B31" s="44">
        <v>3055.0239999999994</v>
      </c>
      <c r="C31" s="44">
        <v>2519.9790000000003</v>
      </c>
      <c r="D31" s="44">
        <v>3426.904</v>
      </c>
      <c r="E31" s="45">
        <v>3290.2690000000002</v>
      </c>
      <c r="F31" s="44">
        <v>3470.1679999999997</v>
      </c>
      <c r="G31" s="44">
        <v>0</v>
      </c>
      <c r="H31" s="44">
        <v>0</v>
      </c>
      <c r="I31" s="44">
        <v>0</v>
      </c>
    </row>
    <row r="32" spans="1:9" ht="14.25">
      <c r="A32" s="88" t="str">
        <f>HLOOKUP(INDICE!$F$2,Nombres!$C$3:$D$636,53,FALSE)</f>
        <v>Financial assets designated at fair value </v>
      </c>
      <c r="B32" s="58">
        <v>2774.0229999999997</v>
      </c>
      <c r="C32" s="58">
        <v>3046.906</v>
      </c>
      <c r="D32" s="58">
        <v>2781.4759999999997</v>
      </c>
      <c r="E32" s="65">
        <v>2548.754</v>
      </c>
      <c r="F32" s="44">
        <v>2913.6949999999997</v>
      </c>
      <c r="G32" s="44">
        <v>0</v>
      </c>
      <c r="H32" s="44">
        <v>0</v>
      </c>
      <c r="I32" s="44">
        <v>0</v>
      </c>
    </row>
    <row r="33" spans="1:9" ht="14.25">
      <c r="A33" s="43" t="str">
        <f>HLOOKUP(INDICE!$F$2,Nombres!$C$3:$D$636,54,FALSE)</f>
        <v>Financial assets at amortized cost</v>
      </c>
      <c r="B33" s="44">
        <v>17518.131999999998</v>
      </c>
      <c r="C33" s="44">
        <v>16835.772999999997</v>
      </c>
      <c r="D33" s="44">
        <v>16144.789999999999</v>
      </c>
      <c r="E33" s="45">
        <v>16098.956</v>
      </c>
      <c r="F33" s="44">
        <v>17268.314000000002</v>
      </c>
      <c r="G33" s="44">
        <v>0</v>
      </c>
      <c r="H33" s="44">
        <v>0</v>
      </c>
      <c r="I33" s="44">
        <v>0</v>
      </c>
    </row>
    <row r="34" spans="1:9" ht="14.25">
      <c r="A34" s="88" t="str">
        <f>HLOOKUP(INDICE!$F$2,Nombres!$C$3:$D$636,55,FALSE)</f>
        <v>    of which loans and advances to customers</v>
      </c>
      <c r="B34" s="44">
        <v>15276.72</v>
      </c>
      <c r="C34" s="44">
        <v>15395.269999999997</v>
      </c>
      <c r="D34" s="44">
        <v>14612.89</v>
      </c>
      <c r="E34" s="45">
        <v>15648.623000000003</v>
      </c>
      <c r="F34" s="44">
        <v>16947.196</v>
      </c>
      <c r="G34" s="44">
        <v>0</v>
      </c>
      <c r="H34" s="44">
        <v>0</v>
      </c>
      <c r="I34" s="44">
        <v>0</v>
      </c>
    </row>
    <row r="35" spans="1:9" ht="14.25">
      <c r="A35" s="88"/>
      <c r="B35" s="44"/>
      <c r="C35" s="44"/>
      <c r="D35" s="44"/>
      <c r="E35" s="45"/>
      <c r="F35" s="44"/>
      <c r="G35" s="44"/>
      <c r="H35" s="44"/>
      <c r="I35" s="44"/>
    </row>
    <row r="36" spans="1:9" ht="14.25">
      <c r="A36" s="43" t="str">
        <f>HLOOKUP(INDICE!$F$2,Nombres!$C$3:$D$636,56,FALSE)</f>
        <v>Tangible assets</v>
      </c>
      <c r="B36" s="44">
        <v>262.35299999999995</v>
      </c>
      <c r="C36" s="44">
        <v>247.649</v>
      </c>
      <c r="D36" s="44">
        <v>239.67399999999998</v>
      </c>
      <c r="E36" s="45">
        <v>270.206</v>
      </c>
      <c r="F36" s="44">
        <v>288.717</v>
      </c>
      <c r="G36" s="44">
        <v>0</v>
      </c>
      <c r="H36" s="44">
        <v>0</v>
      </c>
      <c r="I36" s="44">
        <v>0</v>
      </c>
    </row>
    <row r="37" spans="1:9" ht="14.25">
      <c r="A37" s="88" t="str">
        <f>HLOOKUP(INDICE!$F$2,Nombres!$C$3:$D$636,57,FALSE)</f>
        <v>Other assets</v>
      </c>
      <c r="B37" s="58">
        <f aca="true" t="shared" si="5" ref="B37:I37">+B38-B36-B33-B32-B31</f>
        <v>362.5350000000067</v>
      </c>
      <c r="C37" s="58">
        <f t="shared" si="5"/>
        <v>352.3049318799949</v>
      </c>
      <c r="D37" s="58">
        <f t="shared" si="5"/>
        <v>354.51499999999896</v>
      </c>
      <c r="E37" s="65">
        <f t="shared" si="5"/>
        <v>405.79277088000435</v>
      </c>
      <c r="F37" s="44">
        <f t="shared" si="5"/>
        <v>443.0927348899986</v>
      </c>
      <c r="G37" s="44">
        <f t="shared" si="5"/>
        <v>0</v>
      </c>
      <c r="H37" s="44">
        <f t="shared" si="5"/>
        <v>0</v>
      </c>
      <c r="I37" s="44">
        <f t="shared" si="5"/>
        <v>0</v>
      </c>
    </row>
    <row r="38" spans="1:9" ht="14.25">
      <c r="A38" s="91" t="str">
        <f>HLOOKUP(INDICE!$F$2,Nombres!$C$3:$D$636,58,FALSE)</f>
        <v>Total assets / Liabilities and equity</v>
      </c>
      <c r="B38" s="47">
        <v>23972.067000000003</v>
      </c>
      <c r="C38" s="47">
        <v>23002.611931879994</v>
      </c>
      <c r="D38" s="47">
        <v>22947.358999999997</v>
      </c>
      <c r="E38" s="47">
        <v>22613.977770880003</v>
      </c>
      <c r="F38" s="51">
        <v>24383.98673489</v>
      </c>
      <c r="G38" s="51">
        <v>0</v>
      </c>
      <c r="H38" s="51">
        <v>0</v>
      </c>
      <c r="I38" s="51">
        <v>0</v>
      </c>
    </row>
    <row r="39" spans="1:9" ht="14.25">
      <c r="A39" s="88" t="str">
        <f>HLOOKUP(INDICE!$F$2,Nombres!$C$3:$D$636,59,FALSE)</f>
        <v>Financial liabilities held for trading and designated at fair value through profit or loss</v>
      </c>
      <c r="B39" s="58">
        <v>265.115</v>
      </c>
      <c r="C39" s="58">
        <v>374.055</v>
      </c>
      <c r="D39" s="58">
        <v>513.88</v>
      </c>
      <c r="E39" s="65">
        <v>354.679</v>
      </c>
      <c r="F39" s="44">
        <v>421.15200000000004</v>
      </c>
      <c r="G39" s="44">
        <v>0</v>
      </c>
      <c r="H39" s="44">
        <v>0</v>
      </c>
      <c r="I39" s="44">
        <v>0</v>
      </c>
    </row>
    <row r="40" spans="1:9" ht="15.75" customHeight="1">
      <c r="A40" s="88" t="str">
        <f>HLOOKUP(INDICE!$F$2,Nombres!$C$3:$D$636,60,FALSE)</f>
        <v>Deposits from central banks and credit institutions</v>
      </c>
      <c r="B40" s="58">
        <v>4194.721</v>
      </c>
      <c r="C40" s="58">
        <v>4325.62</v>
      </c>
      <c r="D40" s="58">
        <v>4183.368</v>
      </c>
      <c r="E40" s="65">
        <v>4130.728</v>
      </c>
      <c r="F40" s="44">
        <v>4168.018</v>
      </c>
      <c r="G40" s="44">
        <v>0</v>
      </c>
      <c r="H40" s="44">
        <v>0</v>
      </c>
      <c r="I40" s="44">
        <v>0</v>
      </c>
    </row>
    <row r="41" spans="1:9" ht="14.25">
      <c r="A41" s="88" t="str">
        <f>HLOOKUP(INDICE!$F$2,Nombres!$C$3:$D$636,61,FALSE)</f>
        <v>Deposits from customers</v>
      </c>
      <c r="B41" s="58">
        <v>15191.590000000002</v>
      </c>
      <c r="C41" s="58">
        <v>14250.752</v>
      </c>
      <c r="D41" s="58">
        <v>14239.42</v>
      </c>
      <c r="E41" s="65">
        <v>13945.919</v>
      </c>
      <c r="F41" s="44">
        <v>14966.210000000001</v>
      </c>
      <c r="G41" s="44">
        <v>0</v>
      </c>
      <c r="H41" s="44">
        <v>0</v>
      </c>
      <c r="I41" s="44">
        <v>0</v>
      </c>
    </row>
    <row r="42" spans="1:9" ht="14.25">
      <c r="A42" s="43" t="str">
        <f>HLOOKUP(INDICE!$F$2,Nombres!$C$3:$D$636,62,FALSE)</f>
        <v>Debt certificates</v>
      </c>
      <c r="B42" s="44">
        <v>1330.2121669000003</v>
      </c>
      <c r="C42" s="44">
        <v>1252.4018942</v>
      </c>
      <c r="D42" s="44">
        <v>1261.7598223500001</v>
      </c>
      <c r="E42" s="45">
        <v>1331.59579592</v>
      </c>
      <c r="F42" s="44">
        <v>1371.86706993</v>
      </c>
      <c r="G42" s="44">
        <v>0</v>
      </c>
      <c r="H42" s="44">
        <v>0</v>
      </c>
      <c r="I42" s="44">
        <v>0</v>
      </c>
    </row>
    <row r="43" spans="1:9" ht="14.25">
      <c r="A43" s="43"/>
      <c r="B43" s="44"/>
      <c r="C43" s="44"/>
      <c r="D43" s="44"/>
      <c r="E43" s="45"/>
      <c r="F43" s="44"/>
      <c r="G43" s="44"/>
      <c r="H43" s="44"/>
      <c r="I43" s="44"/>
    </row>
    <row r="44" spans="1:9" ht="14.25">
      <c r="A44" s="88" t="str">
        <f>HLOOKUP(INDICE!$F$2,Nombres!$C$3:$D$636,63,FALSE)</f>
        <v>Other liabilities</v>
      </c>
      <c r="B44" s="58">
        <f aca="true" t="shared" si="6" ref="B44:I44">+B38-B39-B40-B41-B42-B45</f>
        <v>1075.1838846899977</v>
      </c>
      <c r="C44" s="58">
        <f t="shared" si="6"/>
        <v>936.8081084299938</v>
      </c>
      <c r="D44" s="58">
        <f t="shared" si="6"/>
        <v>861.282845539997</v>
      </c>
      <c r="E44" s="65">
        <f t="shared" si="6"/>
        <v>766.9513349600038</v>
      </c>
      <c r="F44" s="44">
        <f t="shared" si="6"/>
        <v>1103.4058635199976</v>
      </c>
      <c r="G44" s="44">
        <f t="shared" si="6"/>
        <v>0</v>
      </c>
      <c r="H44" s="44">
        <f t="shared" si="6"/>
        <v>0</v>
      </c>
      <c r="I44" s="44">
        <f t="shared" si="6"/>
        <v>0</v>
      </c>
    </row>
    <row r="45" spans="1:9" ht="14.25">
      <c r="A45" s="43" t="str">
        <f>HLOOKUP(INDICE!$F$2,Nombres!$C$3:$D$636,282,FALSE)</f>
        <v>Regulatory capital allocated</v>
      </c>
      <c r="B45" s="58">
        <v>1915.2449484099998</v>
      </c>
      <c r="C45" s="58">
        <v>1862.97492925</v>
      </c>
      <c r="D45" s="58">
        <v>1887.6483321100002</v>
      </c>
      <c r="E45" s="65">
        <v>2084.10464</v>
      </c>
      <c r="F45" s="44">
        <v>2353.33380144</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Relevant business indicators</v>
      </c>
      <c r="B48" s="34"/>
      <c r="C48" s="34"/>
      <c r="D48" s="34"/>
      <c r="E48" s="34"/>
      <c r="F48" s="69"/>
      <c r="G48" s="69"/>
      <c r="H48" s="69"/>
      <c r="I48" s="69"/>
    </row>
    <row r="49" spans="1:9" ht="14.25">
      <c r="A49" s="84" t="str">
        <f>HLOOKUP(INDICE!$F$2,Nombres!$C$3:$D$636,32,FALSE)</f>
        <v>(Million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88" t="str">
        <f>HLOOKUP(INDICE!$F$2,Nombres!$C$3:$D$636,66,FALSE)</f>
        <v>Loans and advances to customers (gross) (*)</v>
      </c>
      <c r="B51" s="44">
        <v>16203.4205379</v>
      </c>
      <c r="C51" s="44">
        <v>16301.067692819997</v>
      </c>
      <c r="D51" s="44">
        <v>15449.167464920003</v>
      </c>
      <c r="E51" s="45">
        <v>16450.41984845</v>
      </c>
      <c r="F51" s="44">
        <v>17801.57115025</v>
      </c>
      <c r="G51" s="44">
        <v>0</v>
      </c>
      <c r="H51" s="44">
        <v>0</v>
      </c>
      <c r="I51" s="44">
        <v>0</v>
      </c>
    </row>
    <row r="52" spans="1:9" ht="14.25">
      <c r="A52" s="88" t="str">
        <f>HLOOKUP(INDICE!$F$2,Nombres!$C$3:$D$636,67,FALSE)</f>
        <v>Customer deposits under management (*)</v>
      </c>
      <c r="B52" s="44">
        <v>15191.590106359998</v>
      </c>
      <c r="C52" s="44">
        <v>14250.75032512</v>
      </c>
      <c r="D52" s="44">
        <v>14239.41983855</v>
      </c>
      <c r="E52" s="45">
        <v>13945.907744039998</v>
      </c>
      <c r="F52" s="44">
        <v>14961.13244227</v>
      </c>
      <c r="G52" s="44">
        <v>0</v>
      </c>
      <c r="H52" s="44">
        <v>0</v>
      </c>
      <c r="I52" s="44">
        <v>0</v>
      </c>
    </row>
    <row r="53" spans="1:9" ht="14.25">
      <c r="A53" s="43" t="str">
        <f>HLOOKUP(INDICE!$F$2,Nombres!$C$3:$D$636,68,FALSE)</f>
        <v>Investment funds and managed portfolios</v>
      </c>
      <c r="B53" s="44">
        <v>2426.3901238900003</v>
      </c>
      <c r="C53" s="44">
        <v>2012.74475383</v>
      </c>
      <c r="D53" s="44">
        <v>1650.81825037</v>
      </c>
      <c r="E53" s="45">
        <v>1633.0466088100002</v>
      </c>
      <c r="F53" s="44">
        <v>1538.61888526</v>
      </c>
      <c r="G53" s="44">
        <v>0</v>
      </c>
      <c r="H53" s="44">
        <v>0</v>
      </c>
      <c r="I53" s="44">
        <v>0</v>
      </c>
    </row>
    <row r="54" spans="1:9" ht="14.25">
      <c r="A54" s="88" t="str">
        <f>HLOOKUP(INDICE!$F$2,Nombres!$C$3:$D$636,69,FALSE)</f>
        <v>Pension funds</v>
      </c>
      <c r="B54" s="44">
        <v>0</v>
      </c>
      <c r="C54" s="44">
        <v>0</v>
      </c>
      <c r="D54" s="44">
        <v>0</v>
      </c>
      <c r="E54" s="45">
        <v>0</v>
      </c>
      <c r="F54" s="44">
        <v>0</v>
      </c>
      <c r="G54" s="44">
        <v>0</v>
      </c>
      <c r="H54" s="44">
        <v>0</v>
      </c>
      <c r="I54" s="44">
        <v>0</v>
      </c>
    </row>
    <row r="55" spans="1:9" ht="14.25">
      <c r="A55" s="88" t="str">
        <f>HLOOKUP(INDICE!$F$2,Nombres!$C$3:$D$636,70,FALSE)</f>
        <v>Other off balance-sheet funds</v>
      </c>
      <c r="B55" s="44">
        <v>0</v>
      </c>
      <c r="C55" s="44">
        <v>0</v>
      </c>
      <c r="D55" s="44">
        <v>0</v>
      </c>
      <c r="E55" s="45">
        <v>0</v>
      </c>
      <c r="F55" s="44">
        <v>0</v>
      </c>
      <c r="G55" s="44">
        <v>0</v>
      </c>
      <c r="H55" s="44">
        <v>0</v>
      </c>
      <c r="I55" s="44">
        <v>0</v>
      </c>
    </row>
    <row r="56" spans="1:9" ht="14.25">
      <c r="A56" s="92" t="str">
        <f>HLOOKUP(INDICE!$F$2,Nombres!$C$3:$D$636,71,FALSE)</f>
        <v>(*) Excluding repos. </v>
      </c>
      <c r="B56" s="58"/>
      <c r="C56" s="58"/>
      <c r="D56" s="58"/>
      <c r="E56" s="58"/>
      <c r="F56" s="58"/>
      <c r="G56" s="58"/>
      <c r="H56" s="58"/>
      <c r="I56" s="58"/>
    </row>
    <row r="57" spans="1:9" ht="14.25">
      <c r="A57" s="9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93" t="str">
        <f>HLOOKUP(INDICE!$F$2,Nombres!$C$3:$D$636,31,FALSE)</f>
        <v>Income statement  </v>
      </c>
      <c r="B59" s="34"/>
      <c r="C59" s="34"/>
      <c r="D59" s="34"/>
      <c r="E59" s="34"/>
      <c r="F59" s="34"/>
      <c r="G59" s="34"/>
      <c r="H59" s="34"/>
      <c r="I59" s="34"/>
    </row>
    <row r="60" spans="1:9" ht="14.25">
      <c r="A60" s="84"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85" t="str">
        <f aca="true" t="shared" si="8" ref="B63:I63">+B$7</f>
        <v>1Q</v>
      </c>
      <c r="C63" s="85" t="str">
        <f t="shared" si="8"/>
        <v>2Q</v>
      </c>
      <c r="D63" s="85" t="str">
        <f t="shared" si="8"/>
        <v>3Q</v>
      </c>
      <c r="E63" s="86" t="str">
        <f t="shared" si="8"/>
        <v>4Q</v>
      </c>
      <c r="F63" s="85" t="str">
        <f t="shared" si="8"/>
        <v>1Q</v>
      </c>
      <c r="G63" s="85" t="str">
        <f t="shared" si="8"/>
        <v>2Q</v>
      </c>
      <c r="H63" s="85" t="str">
        <f t="shared" si="8"/>
        <v>3Q</v>
      </c>
      <c r="I63" s="85" t="str">
        <f t="shared" si="8"/>
        <v>4Q</v>
      </c>
    </row>
    <row r="64" spans="1:9" ht="14.25">
      <c r="A64" s="41" t="str">
        <f>HLOOKUP(INDICE!$F$2,Nombres!$C$3:$D$636,33,FALSE)</f>
        <v>Net interest income</v>
      </c>
      <c r="B64" s="41">
        <v>188.30974696783568</v>
      </c>
      <c r="C64" s="41">
        <v>190.68046482557162</v>
      </c>
      <c r="D64" s="41">
        <v>214.63422646713002</v>
      </c>
      <c r="E64" s="42">
        <v>224.37533899080182</v>
      </c>
      <c r="F64" s="50">
        <v>218.20399999999998</v>
      </c>
      <c r="G64" s="50">
        <v>0</v>
      </c>
      <c r="H64" s="50">
        <v>0</v>
      </c>
      <c r="I64" s="50">
        <v>0</v>
      </c>
    </row>
    <row r="65" spans="1:9" ht="14.25">
      <c r="A65" s="88" t="str">
        <f>HLOOKUP(INDICE!$F$2,Nombres!$C$3:$D$636,34,FALSE)</f>
        <v>Net fees and commissions</v>
      </c>
      <c r="B65" s="44">
        <v>56.777122546989226</v>
      </c>
      <c r="C65" s="44">
        <v>63.26060267067523</v>
      </c>
      <c r="D65" s="44">
        <v>65.51060126118159</v>
      </c>
      <c r="E65" s="45">
        <v>62.67896005046969</v>
      </c>
      <c r="F65" s="44">
        <v>63.51501188</v>
      </c>
      <c r="G65" s="44">
        <v>0</v>
      </c>
      <c r="H65" s="44">
        <v>0</v>
      </c>
      <c r="I65" s="44">
        <v>0</v>
      </c>
    </row>
    <row r="66" spans="1:9" ht="14.25">
      <c r="A66" s="88" t="str">
        <f>HLOOKUP(INDICE!$F$2,Nombres!$C$3:$D$636,35,FALSE)</f>
        <v>Net trading income</v>
      </c>
      <c r="B66" s="44">
        <v>35.02499975900268</v>
      </c>
      <c r="C66" s="44">
        <v>59.15817714548009</v>
      </c>
      <c r="D66" s="44">
        <v>26.239401838998454</v>
      </c>
      <c r="E66" s="45">
        <v>31.40850022003487</v>
      </c>
      <c r="F66" s="44">
        <v>33.20376918</v>
      </c>
      <c r="G66" s="44">
        <v>0</v>
      </c>
      <c r="H66" s="44">
        <v>0</v>
      </c>
      <c r="I66" s="44">
        <v>0</v>
      </c>
    </row>
    <row r="67" spans="1:9" ht="14.25">
      <c r="A67" s="88" t="str">
        <f>HLOOKUP(INDICE!$F$2,Nombres!$C$3:$D$636,36,FALSE)</f>
        <v>Other operating income and expenses</v>
      </c>
      <c r="B67" s="44">
        <v>-8.797046789723161</v>
      </c>
      <c r="C67" s="44">
        <v>-10.95607988599468</v>
      </c>
      <c r="D67" s="44">
        <v>-9.559564590569902</v>
      </c>
      <c r="E67" s="45">
        <v>-8.322452132658753</v>
      </c>
      <c r="F67" s="44">
        <v>-8.483</v>
      </c>
      <c r="G67" s="44">
        <v>0</v>
      </c>
      <c r="H67" s="44">
        <v>0</v>
      </c>
      <c r="I67" s="44">
        <v>0</v>
      </c>
    </row>
    <row r="68" spans="1:9" ht="14.25">
      <c r="A68" s="41" t="str">
        <f>HLOOKUP(INDICE!$F$2,Nombres!$C$3:$D$636,37,FALSE)</f>
        <v>Gross income</v>
      </c>
      <c r="B68" s="41">
        <f aca="true" t="shared" si="9" ref="B68:I68">+SUM(B64:B67)</f>
        <v>271.31482248410447</v>
      </c>
      <c r="C68" s="41">
        <f t="shared" si="9"/>
        <v>302.1431647557323</v>
      </c>
      <c r="D68" s="41">
        <f t="shared" si="9"/>
        <v>296.82466497674017</v>
      </c>
      <c r="E68" s="42">
        <f t="shared" si="9"/>
        <v>310.1403471286476</v>
      </c>
      <c r="F68" s="50">
        <f t="shared" si="9"/>
        <v>306.43978106</v>
      </c>
      <c r="G68" s="50">
        <f t="shared" si="9"/>
        <v>0</v>
      </c>
      <c r="H68" s="50">
        <f t="shared" si="9"/>
        <v>0</v>
      </c>
      <c r="I68" s="50">
        <f t="shared" si="9"/>
        <v>0</v>
      </c>
    </row>
    <row r="69" spans="1:9" ht="14.25">
      <c r="A69" s="88" t="str">
        <f>HLOOKUP(INDICE!$F$2,Nombres!$C$3:$D$636,38,FALSE)</f>
        <v>Operating expenses</v>
      </c>
      <c r="B69" s="44">
        <v>-105.87925197417746</v>
      </c>
      <c r="C69" s="44">
        <v>-109.90272333033943</v>
      </c>
      <c r="D69" s="44">
        <v>-113.02376813249901</v>
      </c>
      <c r="E69" s="45">
        <v>-121.63650510851656</v>
      </c>
      <c r="F69" s="44">
        <v>-119.00970701999998</v>
      </c>
      <c r="G69" s="44">
        <v>0</v>
      </c>
      <c r="H69" s="44">
        <v>0</v>
      </c>
      <c r="I69" s="44">
        <v>0</v>
      </c>
    </row>
    <row r="70" spans="1:9" ht="14.25">
      <c r="A70" s="88" t="str">
        <f>HLOOKUP(INDICE!$F$2,Nombres!$C$3:$D$636,39,FALSE)</f>
        <v>  Administration expenses</v>
      </c>
      <c r="B70" s="44">
        <v>-90.44124662284594</v>
      </c>
      <c r="C70" s="44">
        <v>-94.7810956709381</v>
      </c>
      <c r="D70" s="44">
        <v>-97.94039704957413</v>
      </c>
      <c r="E70" s="45">
        <v>-106.86819989723028</v>
      </c>
      <c r="F70" s="44">
        <v>-102.51670701999998</v>
      </c>
      <c r="G70" s="44">
        <v>0</v>
      </c>
      <c r="H70" s="44">
        <v>0</v>
      </c>
      <c r="I70" s="44">
        <v>0</v>
      </c>
    </row>
    <row r="71" spans="1:9" ht="14.25">
      <c r="A71" s="89" t="str">
        <f>HLOOKUP(INDICE!$F$2,Nombres!$C$3:$D$636,40,FALSE)</f>
        <v>  Personnel expenses</v>
      </c>
      <c r="B71" s="44">
        <v>-49.31082357681311</v>
      </c>
      <c r="C71" s="44">
        <v>-51.00401268831807</v>
      </c>
      <c r="D71" s="44">
        <v>-54.242404357091985</v>
      </c>
      <c r="E71" s="45">
        <v>-63.12847449991986</v>
      </c>
      <c r="F71" s="44">
        <v>-53.595</v>
      </c>
      <c r="G71" s="44">
        <v>0</v>
      </c>
      <c r="H71" s="44">
        <v>0</v>
      </c>
      <c r="I71" s="44">
        <v>0</v>
      </c>
    </row>
    <row r="72" spans="1:9" ht="14.25">
      <c r="A72" s="89" t="str">
        <f>HLOOKUP(INDICE!$F$2,Nombres!$C$3:$D$636,41,FALSE)</f>
        <v>  General and administrative expenses</v>
      </c>
      <c r="B72" s="44">
        <v>-41.130423046032845</v>
      </c>
      <c r="C72" s="44">
        <v>-43.77708298262004</v>
      </c>
      <c r="D72" s="44">
        <v>-43.69799269248215</v>
      </c>
      <c r="E72" s="45">
        <v>-43.73972539731043</v>
      </c>
      <c r="F72" s="44">
        <v>-48.92170702</v>
      </c>
      <c r="G72" s="44">
        <v>0</v>
      </c>
      <c r="H72" s="44">
        <v>0</v>
      </c>
      <c r="I72" s="44">
        <v>0</v>
      </c>
    </row>
    <row r="73" spans="1:9" ht="14.25">
      <c r="A73" s="88" t="str">
        <f>HLOOKUP(INDICE!$F$2,Nombres!$C$3:$D$636,42,FALSE)</f>
        <v>  Depreciation</v>
      </c>
      <c r="B73" s="44">
        <v>-15.438005351331503</v>
      </c>
      <c r="C73" s="44">
        <v>-15.121627659401309</v>
      </c>
      <c r="D73" s="44">
        <v>-15.083371082924902</v>
      </c>
      <c r="E73" s="45">
        <v>-14.768305211286263</v>
      </c>
      <c r="F73" s="44">
        <v>-16.493</v>
      </c>
      <c r="G73" s="44">
        <v>0</v>
      </c>
      <c r="H73" s="44">
        <v>0</v>
      </c>
      <c r="I73" s="44">
        <v>0</v>
      </c>
    </row>
    <row r="74" spans="1:9" ht="14.25">
      <c r="A74" s="41" t="str">
        <f>HLOOKUP(INDICE!$F$2,Nombres!$C$3:$D$636,43,FALSE)</f>
        <v>Operating income</v>
      </c>
      <c r="B74" s="41">
        <f aca="true" t="shared" si="10" ref="B74:I74">+B68+B69</f>
        <v>165.435570509927</v>
      </c>
      <c r="C74" s="41">
        <f t="shared" si="10"/>
        <v>192.24044142539287</v>
      </c>
      <c r="D74" s="41">
        <f t="shared" si="10"/>
        <v>183.80089684424115</v>
      </c>
      <c r="E74" s="42">
        <f t="shared" si="10"/>
        <v>188.50384202013103</v>
      </c>
      <c r="F74" s="50">
        <f t="shared" si="10"/>
        <v>187.43007404</v>
      </c>
      <c r="G74" s="50">
        <f t="shared" si="10"/>
        <v>0</v>
      </c>
      <c r="H74" s="50">
        <f t="shared" si="10"/>
        <v>0</v>
      </c>
      <c r="I74" s="50">
        <f t="shared" si="10"/>
        <v>0</v>
      </c>
    </row>
    <row r="75" spans="1:9" ht="14.25">
      <c r="A75" s="88" t="str">
        <f>HLOOKUP(INDICE!$F$2,Nombres!$C$3:$D$636,44,FALSE)</f>
        <v>Impaiment on financial assets not measured at fair value through profit or loss</v>
      </c>
      <c r="B75" s="44">
        <v>-68.64116278455907</v>
      </c>
      <c r="C75" s="44">
        <v>-86.73935813436731</v>
      </c>
      <c r="D75" s="44">
        <v>-81.25698275574106</v>
      </c>
      <c r="E75" s="45">
        <v>-37.82610339039503</v>
      </c>
      <c r="F75" s="44">
        <v>-30.827000000000005</v>
      </c>
      <c r="G75" s="44">
        <v>0</v>
      </c>
      <c r="H75" s="44">
        <v>0</v>
      </c>
      <c r="I75" s="44">
        <v>0</v>
      </c>
    </row>
    <row r="76" spans="1:9" ht="14.25">
      <c r="A76" s="88" t="str">
        <f>HLOOKUP(INDICE!$F$2,Nombres!$C$3:$D$636,45,FALSE)</f>
        <v>Provisions or reversal of provisions and other results</v>
      </c>
      <c r="B76" s="44">
        <v>-6.768152255641016</v>
      </c>
      <c r="C76" s="44">
        <v>-13.053430020093977</v>
      </c>
      <c r="D76" s="44">
        <v>-16.225657368864148</v>
      </c>
      <c r="E76" s="45">
        <v>-10.731062663303902</v>
      </c>
      <c r="F76" s="44">
        <v>-9.047000000000002</v>
      </c>
      <c r="G76" s="44">
        <v>0</v>
      </c>
      <c r="H76" s="44">
        <v>0</v>
      </c>
      <c r="I76" s="44">
        <v>0</v>
      </c>
    </row>
    <row r="77" spans="1:9" ht="14.25">
      <c r="A77" s="90" t="str">
        <f>HLOOKUP(INDICE!$F$2,Nombres!$C$3:$D$636,46,FALSE)</f>
        <v>Profit/(loss) before tax</v>
      </c>
      <c r="B77" s="41">
        <f aca="true" t="shared" si="11" ref="B77:I77">+B74+B75+B76</f>
        <v>90.02625546972692</v>
      </c>
      <c r="C77" s="41">
        <f t="shared" si="11"/>
        <v>92.4476532709316</v>
      </c>
      <c r="D77" s="41">
        <f t="shared" si="11"/>
        <v>86.31825671963594</v>
      </c>
      <c r="E77" s="42">
        <f t="shared" si="11"/>
        <v>139.94667596643208</v>
      </c>
      <c r="F77" s="50">
        <f t="shared" si="11"/>
        <v>147.55607404</v>
      </c>
      <c r="G77" s="50">
        <f t="shared" si="11"/>
        <v>0</v>
      </c>
      <c r="H77" s="50">
        <f t="shared" si="11"/>
        <v>0</v>
      </c>
      <c r="I77" s="50">
        <f t="shared" si="11"/>
        <v>0</v>
      </c>
    </row>
    <row r="78" spans="1:9" ht="14.25">
      <c r="A78" s="43" t="str">
        <f>HLOOKUP(INDICE!$F$2,Nombres!$C$3:$D$636,47,FALSE)</f>
        <v>Income tax</v>
      </c>
      <c r="B78" s="44">
        <v>-27.87882222956032</v>
      </c>
      <c r="C78" s="44">
        <v>-31.748221967173993</v>
      </c>
      <c r="D78" s="44">
        <v>-28.715977082848415</v>
      </c>
      <c r="E78" s="45">
        <v>-39.19343545699958</v>
      </c>
      <c r="F78" s="44">
        <v>-37.168250099999995</v>
      </c>
      <c r="G78" s="44">
        <v>0</v>
      </c>
      <c r="H78" s="44">
        <v>0</v>
      </c>
      <c r="I78" s="44">
        <v>0</v>
      </c>
    </row>
    <row r="79" spans="1:9" ht="14.25">
      <c r="A79" s="90" t="str">
        <f>HLOOKUP(INDICE!$F$2,Nombres!$C$3:$D$636,48,FALSE)</f>
        <v>Profit/(loss) for the year</v>
      </c>
      <c r="B79" s="41">
        <f aca="true" t="shared" si="12" ref="B79:I79">+B77+B78</f>
        <v>62.1474332401666</v>
      </c>
      <c r="C79" s="41">
        <f t="shared" si="12"/>
        <v>60.699431303757606</v>
      </c>
      <c r="D79" s="41">
        <f t="shared" si="12"/>
        <v>57.60227963678753</v>
      </c>
      <c r="E79" s="42">
        <f t="shared" si="12"/>
        <v>100.7532405094325</v>
      </c>
      <c r="F79" s="50">
        <f t="shared" si="12"/>
        <v>110.38782394</v>
      </c>
      <c r="G79" s="50">
        <f t="shared" si="12"/>
        <v>0</v>
      </c>
      <c r="H79" s="50">
        <f t="shared" si="12"/>
        <v>0</v>
      </c>
      <c r="I79" s="50">
        <f t="shared" si="12"/>
        <v>0</v>
      </c>
    </row>
    <row r="80" spans="1:9" ht="14.25">
      <c r="A80" s="88" t="str">
        <f>HLOOKUP(INDICE!$F$2,Nombres!$C$3:$D$636,49,FALSE)</f>
        <v>Non-controlling interests</v>
      </c>
      <c r="B80" s="44">
        <v>-34.32265192982224</v>
      </c>
      <c r="C80" s="44">
        <v>-32.92534308921927</v>
      </c>
      <c r="D80" s="44">
        <v>-31.83105922406422</v>
      </c>
      <c r="E80" s="45">
        <v>-55.29019824005026</v>
      </c>
      <c r="F80" s="44">
        <v>-59.35333915000001</v>
      </c>
      <c r="G80" s="44">
        <v>0</v>
      </c>
      <c r="H80" s="44">
        <v>0</v>
      </c>
      <c r="I80" s="44">
        <v>0</v>
      </c>
    </row>
    <row r="81" spans="1:9" ht="14.25">
      <c r="A81" s="91" t="str">
        <f>HLOOKUP(INDICE!$F$2,Nombres!$C$3:$D$636,50,FALSE)</f>
        <v>Net attributable profit</v>
      </c>
      <c r="B81" s="47">
        <f aca="true" t="shared" si="13" ref="B81:I81">+B79+B80</f>
        <v>27.824781310344356</v>
      </c>
      <c r="C81" s="47">
        <f t="shared" si="13"/>
        <v>27.774088214538338</v>
      </c>
      <c r="D81" s="47">
        <f t="shared" si="13"/>
        <v>25.77122041272331</v>
      </c>
      <c r="E81" s="47">
        <f t="shared" si="13"/>
        <v>45.46304226938224</v>
      </c>
      <c r="F81" s="51">
        <f t="shared" si="13"/>
        <v>51.03448478999999</v>
      </c>
      <c r="G81" s="51">
        <f t="shared" si="13"/>
        <v>0</v>
      </c>
      <c r="H81" s="51">
        <f t="shared" si="13"/>
        <v>0</v>
      </c>
      <c r="I81" s="51">
        <f t="shared" si="13"/>
        <v>0</v>
      </c>
    </row>
    <row r="82" spans="1:9" ht="14.25">
      <c r="A82" s="92"/>
      <c r="B82" s="63">
        <v>4.973799150320701E-14</v>
      </c>
      <c r="C82" s="63">
        <v>0</v>
      </c>
      <c r="D82" s="63">
        <v>0</v>
      </c>
      <c r="E82" s="63">
        <v>0</v>
      </c>
      <c r="F82" s="63">
        <v>0</v>
      </c>
      <c r="G82" s="63">
        <v>0</v>
      </c>
      <c r="H82" s="63">
        <v>0</v>
      </c>
      <c r="I82" s="63">
        <v>0</v>
      </c>
    </row>
    <row r="83" spans="1:9" ht="14.25">
      <c r="A83" s="90"/>
      <c r="B83" s="41"/>
      <c r="C83" s="41"/>
      <c r="D83" s="41"/>
      <c r="E83" s="41"/>
      <c r="F83" s="50"/>
      <c r="G83" s="50"/>
      <c r="H83" s="50"/>
      <c r="I83" s="50"/>
    </row>
    <row r="84" spans="1:9" ht="16.5">
      <c r="A84" s="93" t="str">
        <f>HLOOKUP(INDICE!$F$2,Nombres!$C$3:$D$636,51,FALSE)</f>
        <v>Balance sheets</v>
      </c>
      <c r="B84" s="34"/>
      <c r="C84" s="34"/>
      <c r="D84" s="34"/>
      <c r="E84" s="34"/>
      <c r="F84" s="69"/>
      <c r="G84" s="69"/>
      <c r="H84" s="69"/>
      <c r="I84" s="69"/>
    </row>
    <row r="85" spans="1:9" ht="14.25">
      <c r="A85" s="84"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88" t="str">
        <f>HLOOKUP(INDICE!$F$2,Nombres!$C$3:$D$636,52,FALSE)</f>
        <v>Cash, cash balances at central banks and other demand deposits</v>
      </c>
      <c r="B87" s="44">
        <v>3272.672904624336</v>
      </c>
      <c r="C87" s="44">
        <v>2823.5203633377023</v>
      </c>
      <c r="D87" s="44">
        <v>3979.3129990606085</v>
      </c>
      <c r="E87" s="45">
        <v>3598.640119243781</v>
      </c>
      <c r="F87" s="44">
        <v>3470.1679999999997</v>
      </c>
      <c r="G87" s="44">
        <v>0</v>
      </c>
      <c r="H87" s="44">
        <v>0</v>
      </c>
      <c r="I87" s="44">
        <v>0</v>
      </c>
    </row>
    <row r="88" spans="1:9" ht="14.25">
      <c r="A88" s="88" t="str">
        <f>HLOOKUP(INDICE!$F$2,Nombres!$C$3:$D$636,53,FALSE)</f>
        <v>Financial assets designated at fair value </v>
      </c>
      <c r="B88" s="58">
        <v>2971.6525660370307</v>
      </c>
      <c r="C88" s="58">
        <v>3413.91778906722</v>
      </c>
      <c r="D88" s="58">
        <v>3229.843498205699</v>
      </c>
      <c r="E88" s="65">
        <v>2787.628731414685</v>
      </c>
      <c r="F88" s="44">
        <v>2913.6949999999997</v>
      </c>
      <c r="G88" s="44">
        <v>0</v>
      </c>
      <c r="H88" s="44">
        <v>0</v>
      </c>
      <c r="I88" s="44">
        <v>0</v>
      </c>
    </row>
    <row r="89" spans="1:9" ht="14.25">
      <c r="A89" s="43" t="str">
        <f>HLOOKUP(INDICE!$F$2,Nombres!$C$3:$D$636,54,FALSE)</f>
        <v>Financial assets at amortized cost</v>
      </c>
      <c r="B89" s="44">
        <v>18766.175302070467</v>
      </c>
      <c r="C89" s="44">
        <v>18863.707950753193</v>
      </c>
      <c r="D89" s="44">
        <v>18747.292808349375</v>
      </c>
      <c r="E89" s="45">
        <v>17607.784937809156</v>
      </c>
      <c r="F89" s="44">
        <v>17268.314000000002</v>
      </c>
      <c r="G89" s="44">
        <v>0</v>
      </c>
      <c r="H89" s="44">
        <v>0</v>
      </c>
      <c r="I89" s="44">
        <v>0</v>
      </c>
    </row>
    <row r="90" spans="1:9" ht="14.25">
      <c r="A90" s="88" t="str">
        <f>HLOOKUP(INDICE!$F$2,Nombres!$C$3:$D$636,55,FALSE)</f>
        <v>    of which loans and advances to customers</v>
      </c>
      <c r="B90" s="44">
        <v>16365.078511832538</v>
      </c>
      <c r="C90" s="44">
        <v>17249.69070935989</v>
      </c>
      <c r="D90" s="44">
        <v>16968.45407132583</v>
      </c>
      <c r="E90" s="45">
        <v>17115.245756113247</v>
      </c>
      <c r="F90" s="44">
        <v>16947.196</v>
      </c>
      <c r="G90" s="44">
        <v>0</v>
      </c>
      <c r="H90" s="44">
        <v>0</v>
      </c>
      <c r="I90" s="44">
        <v>0</v>
      </c>
    </row>
    <row r="91" spans="1:9" ht="14.25">
      <c r="A91" s="88"/>
      <c r="B91" s="44"/>
      <c r="C91" s="44"/>
      <c r="D91" s="44"/>
      <c r="E91" s="45"/>
      <c r="F91" s="44"/>
      <c r="G91" s="44"/>
      <c r="H91" s="44"/>
      <c r="I91" s="44"/>
    </row>
    <row r="92" spans="1:9" ht="14.25">
      <c r="A92" s="43" t="str">
        <f>HLOOKUP(INDICE!$F$2,Nombres!$C$3:$D$636,56,FALSE)</f>
        <v>Tangible assets</v>
      </c>
      <c r="B92" s="44">
        <v>281.04380016226</v>
      </c>
      <c r="C92" s="44">
        <v>277.47929425611034</v>
      </c>
      <c r="D92" s="44">
        <v>278.3088944822651</v>
      </c>
      <c r="E92" s="45">
        <v>295.5302900949391</v>
      </c>
      <c r="F92" s="44">
        <v>288.717</v>
      </c>
      <c r="G92" s="44">
        <v>0</v>
      </c>
      <c r="H92" s="44">
        <v>0</v>
      </c>
      <c r="I92" s="44">
        <v>0</v>
      </c>
    </row>
    <row r="93" spans="1:9" ht="14.25">
      <c r="A93" s="88" t="str">
        <f>HLOOKUP(INDICE!$F$2,Nombres!$C$3:$D$636,57,FALSE)</f>
        <v>Other assets</v>
      </c>
      <c r="B93" s="58">
        <f aca="true" t="shared" si="15" ref="B93:I93">+B94-B92-B89-B88-B87</f>
        <v>388.363060806721</v>
      </c>
      <c r="C93" s="58">
        <f t="shared" si="15"/>
        <v>394.7414439832555</v>
      </c>
      <c r="D93" s="58">
        <f t="shared" si="15"/>
        <v>411.66199807813973</v>
      </c>
      <c r="E93" s="65">
        <f t="shared" si="15"/>
        <v>443.8245460744597</v>
      </c>
      <c r="F93" s="44">
        <f t="shared" si="15"/>
        <v>443.0927348899986</v>
      </c>
      <c r="G93" s="44">
        <f t="shared" si="15"/>
        <v>0</v>
      </c>
      <c r="H93" s="44">
        <f t="shared" si="15"/>
        <v>0</v>
      </c>
      <c r="I93" s="44">
        <f t="shared" si="15"/>
        <v>0</v>
      </c>
    </row>
    <row r="94" spans="1:9" ht="14.25">
      <c r="A94" s="91" t="str">
        <f>HLOOKUP(INDICE!$F$2,Nombres!$C$3:$D$636,58,FALSE)</f>
        <v>Total assets / Liabilities and equity</v>
      </c>
      <c r="B94" s="47">
        <v>25679.907633700815</v>
      </c>
      <c r="C94" s="47">
        <v>25773.36684139748</v>
      </c>
      <c r="D94" s="47">
        <v>26646.42019817609</v>
      </c>
      <c r="E94" s="47">
        <v>24733.40862463702</v>
      </c>
      <c r="F94" s="51">
        <v>24383.98673489</v>
      </c>
      <c r="G94" s="51">
        <v>0</v>
      </c>
      <c r="H94" s="51">
        <v>0</v>
      </c>
      <c r="I94" s="51">
        <v>0</v>
      </c>
    </row>
    <row r="95" spans="1:9" ht="14.25">
      <c r="A95" s="88" t="str">
        <f>HLOOKUP(INDICE!$F$2,Nombres!$C$3:$D$636,59,FALSE)</f>
        <v>Financial liabilities held for trading and designated at fair value through profit or loss</v>
      </c>
      <c r="B95" s="58">
        <v>284.00257317437797</v>
      </c>
      <c r="C95" s="58">
        <v>419.1113931934688</v>
      </c>
      <c r="D95" s="58">
        <v>596.7162674989627</v>
      </c>
      <c r="E95" s="65">
        <v>387.9202821572537</v>
      </c>
      <c r="F95" s="44">
        <v>421.15200000000004</v>
      </c>
      <c r="G95" s="44">
        <v>0</v>
      </c>
      <c r="H95" s="44">
        <v>0</v>
      </c>
      <c r="I95" s="44">
        <v>0</v>
      </c>
    </row>
    <row r="96" spans="1:9" ht="14.25">
      <c r="A96" s="88" t="str">
        <f>HLOOKUP(INDICE!$F$2,Nombres!$C$3:$D$636,60,FALSE)</f>
        <v>Deposits from central banks and credit institutions</v>
      </c>
      <c r="B96" s="58">
        <v>4493.565274498237</v>
      </c>
      <c r="C96" s="58">
        <v>4846.65791026863</v>
      </c>
      <c r="D96" s="58">
        <v>4857.717246311591</v>
      </c>
      <c r="E96" s="65">
        <v>4517.868752519513</v>
      </c>
      <c r="F96" s="44">
        <v>4168.018</v>
      </c>
      <c r="G96" s="44">
        <v>0</v>
      </c>
      <c r="H96" s="44">
        <v>0</v>
      </c>
      <c r="I96" s="44">
        <v>0</v>
      </c>
    </row>
    <row r="97" spans="1:9" ht="14.25">
      <c r="A97" s="88" t="str">
        <f>HLOOKUP(INDICE!$F$2,Nombres!$C$3:$D$636,61,FALSE)</f>
        <v>Deposits from customers</v>
      </c>
      <c r="B97" s="58">
        <v>16273.883599985473</v>
      </c>
      <c r="C97" s="58">
        <v>15967.311023177372</v>
      </c>
      <c r="D97" s="58">
        <v>16534.781571086787</v>
      </c>
      <c r="E97" s="65">
        <v>15252.960658573542</v>
      </c>
      <c r="F97" s="44">
        <v>14966.210000000001</v>
      </c>
      <c r="G97" s="44">
        <v>0</v>
      </c>
      <c r="H97" s="44">
        <v>0</v>
      </c>
      <c r="I97" s="44">
        <v>0</v>
      </c>
    </row>
    <row r="98" spans="1:9" ht="14.25">
      <c r="A98" s="43" t="str">
        <f>HLOOKUP(INDICE!$F$2,Nombres!$C$3:$D$636,62,FALSE)</f>
        <v>Debt certificates</v>
      </c>
      <c r="B98" s="44">
        <v>1424.9803981949913</v>
      </c>
      <c r="C98" s="44">
        <v>1403.2586189632573</v>
      </c>
      <c r="D98" s="44">
        <v>1465.1525875162417</v>
      </c>
      <c r="E98" s="45">
        <v>1456.3958308010888</v>
      </c>
      <c r="F98" s="44">
        <v>1371.86706993</v>
      </c>
      <c r="G98" s="44">
        <v>0</v>
      </c>
      <c r="H98" s="44">
        <v>0</v>
      </c>
      <c r="I98" s="44">
        <v>0</v>
      </c>
    </row>
    <row r="99" spans="1:9" ht="14.25">
      <c r="A99" s="43"/>
      <c r="B99" s="44"/>
      <c r="C99" s="44"/>
      <c r="D99" s="44"/>
      <c r="E99" s="45"/>
      <c r="F99" s="44"/>
      <c r="G99" s="44"/>
      <c r="H99" s="44"/>
      <c r="I99" s="44"/>
    </row>
    <row r="100" spans="1:9" ht="14.25">
      <c r="A100" s="88" t="str">
        <f>HLOOKUP(INDICE!$F$2,Nombres!$C$3:$D$636,63,FALSE)</f>
        <v>Other liabilities</v>
      </c>
      <c r="B100" s="58">
        <f aca="true" t="shared" si="16" ref="B100:I100">+B94-B95-B96-B97-B98-B101</f>
        <v>1151.7831502841573</v>
      </c>
      <c r="C100" s="58">
        <f t="shared" si="16"/>
        <v>1049.6503227574403</v>
      </c>
      <c r="D100" s="58">
        <f t="shared" si="16"/>
        <v>1000.1196482671326</v>
      </c>
      <c r="E100" s="65">
        <f t="shared" si="16"/>
        <v>838.8316710562685</v>
      </c>
      <c r="F100" s="44">
        <f t="shared" si="16"/>
        <v>1103.4058635199976</v>
      </c>
      <c r="G100" s="44">
        <f t="shared" si="16"/>
        <v>0</v>
      </c>
      <c r="H100" s="44">
        <f t="shared" si="16"/>
        <v>0</v>
      </c>
      <c r="I100" s="44">
        <f t="shared" si="16"/>
        <v>0</v>
      </c>
    </row>
    <row r="101" spans="1:9" ht="14.25">
      <c r="A101" s="43" t="str">
        <f>HLOOKUP(INDICE!$F$2,Nombres!$C$3:$D$636,282,FALSE)</f>
        <v>Regulatory capital allocated</v>
      </c>
      <c r="B101" s="58">
        <v>2051.692637563581</v>
      </c>
      <c r="C101" s="58">
        <v>2087.377573037311</v>
      </c>
      <c r="D101" s="58">
        <v>2191.9328774953715</v>
      </c>
      <c r="E101" s="65">
        <v>2279.4314295293543</v>
      </c>
      <c r="F101" s="44">
        <v>2353.33380144</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Relevant business indicators</v>
      </c>
      <c r="B104" s="34"/>
      <c r="C104" s="34"/>
      <c r="D104" s="34"/>
      <c r="E104" s="34"/>
      <c r="F104" s="69"/>
      <c r="G104" s="69"/>
      <c r="H104" s="69"/>
      <c r="I104" s="69"/>
    </row>
    <row r="105" spans="1:9" ht="14.25">
      <c r="A105" s="84"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88" t="str">
        <f>HLOOKUP(INDICE!$F$2,Nombres!$C$3:$D$636,66,FALSE)</f>
        <v>Loans and advances to customers (gross) (*)</v>
      </c>
      <c r="B107" s="44">
        <v>17357.799924523937</v>
      </c>
      <c r="C107" s="44">
        <v>18264.595290208214</v>
      </c>
      <c r="D107" s="44">
        <v>17939.53752944943</v>
      </c>
      <c r="E107" s="45">
        <v>17992.188737466866</v>
      </c>
      <c r="F107" s="44">
        <v>17801.57115025</v>
      </c>
      <c r="G107" s="44">
        <v>0</v>
      </c>
      <c r="H107" s="44">
        <v>0</v>
      </c>
      <c r="I107" s="44">
        <v>0</v>
      </c>
    </row>
    <row r="108" spans="1:9" ht="14.25">
      <c r="A108" s="88" t="str">
        <f>HLOOKUP(INDICE!$F$2,Nombres!$C$3:$D$636,67,FALSE)</f>
        <v>Customer deposits under management (*)</v>
      </c>
      <c r="B108" s="44">
        <v>16273.883713922873</v>
      </c>
      <c r="C108" s="44">
        <v>15967.3091465515</v>
      </c>
      <c r="D108" s="44">
        <v>16534.781383611422</v>
      </c>
      <c r="E108" s="45">
        <v>15252.948347680654</v>
      </c>
      <c r="F108" s="44">
        <v>14961.13244227</v>
      </c>
      <c r="G108" s="44">
        <v>0</v>
      </c>
      <c r="H108" s="44">
        <v>0</v>
      </c>
      <c r="I108" s="44">
        <v>0</v>
      </c>
    </row>
    <row r="109" spans="1:9" ht="14.25">
      <c r="A109" s="43" t="str">
        <f>HLOOKUP(INDICE!$F$2,Nombres!$C$3:$D$636,68,FALSE)</f>
        <v>Investment funds and managed portfolios</v>
      </c>
      <c r="B109" s="44">
        <v>2599.253300302351</v>
      </c>
      <c r="C109" s="44">
        <v>2255.1877609456806</v>
      </c>
      <c r="D109" s="44">
        <v>1916.9263343192076</v>
      </c>
      <c r="E109" s="45">
        <v>1786.0992651539038</v>
      </c>
      <c r="F109" s="44">
        <v>1538.61888526</v>
      </c>
      <c r="G109" s="44">
        <v>0</v>
      </c>
      <c r="H109" s="44">
        <v>0</v>
      </c>
      <c r="I109" s="44">
        <v>0</v>
      </c>
    </row>
    <row r="110" spans="1:9" ht="14.25">
      <c r="A110" s="88" t="str">
        <f>HLOOKUP(INDICE!$F$2,Nombres!$C$3:$D$636,69,FALSE)</f>
        <v>Pension funds</v>
      </c>
      <c r="B110" s="44">
        <v>0</v>
      </c>
      <c r="C110" s="44">
        <v>0</v>
      </c>
      <c r="D110" s="44">
        <v>0</v>
      </c>
      <c r="E110" s="45">
        <v>0</v>
      </c>
      <c r="F110" s="44">
        <v>0</v>
      </c>
      <c r="G110" s="44">
        <v>0</v>
      </c>
      <c r="H110" s="44">
        <v>0</v>
      </c>
      <c r="I110" s="44">
        <v>0</v>
      </c>
    </row>
    <row r="111" spans="1:9" ht="14.25">
      <c r="A111" s="88" t="str">
        <f>HLOOKUP(INDICE!$F$2,Nombres!$C$3:$D$636,70,FALSE)</f>
        <v>Other off balance-sheet funds</v>
      </c>
      <c r="B111" s="44">
        <v>0</v>
      </c>
      <c r="C111" s="44">
        <v>0</v>
      </c>
      <c r="D111" s="44">
        <v>0</v>
      </c>
      <c r="E111" s="45">
        <v>0</v>
      </c>
      <c r="F111" s="44">
        <v>0</v>
      </c>
      <c r="G111" s="44">
        <v>0</v>
      </c>
      <c r="H111" s="44">
        <v>0</v>
      </c>
      <c r="I111" s="44">
        <v>0</v>
      </c>
    </row>
    <row r="112" spans="1:9" ht="14.25">
      <c r="A112" s="92" t="str">
        <f>HLOOKUP(INDICE!$F$2,Nombres!$C$3:$D$636,71,FALSE)</f>
        <v>(*) Excluding repos. </v>
      </c>
      <c r="B112" s="58"/>
      <c r="C112" s="58"/>
      <c r="D112" s="58"/>
      <c r="E112" s="58"/>
      <c r="F112" s="58"/>
      <c r="G112" s="58"/>
      <c r="H112" s="58"/>
      <c r="I112" s="58"/>
    </row>
    <row r="113" spans="1:9" ht="14.25">
      <c r="A113" s="9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93" t="str">
        <f>HLOOKUP(INDICE!$F$2,Nombres!$C$3:$D$636,31,FALSE)</f>
        <v>Income statement  </v>
      </c>
      <c r="B115" s="34"/>
      <c r="C115" s="34"/>
      <c r="D115" s="34"/>
      <c r="E115" s="34"/>
      <c r="F115" s="34"/>
      <c r="G115" s="34"/>
      <c r="H115" s="34"/>
      <c r="I115" s="34"/>
    </row>
    <row r="116" spans="1:9" ht="14.25">
      <c r="A116" s="84" t="str">
        <f>HLOOKUP(INDICE!$F$2,Nombres!$C$3:$D$636,79,FALSE)</f>
        <v>(Million Peruvian soles)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85" t="str">
        <f aca="true" t="shared" si="18" ref="B119:I119">+B$7</f>
        <v>1Q</v>
      </c>
      <c r="C119" s="85" t="str">
        <f t="shared" si="18"/>
        <v>2Q</v>
      </c>
      <c r="D119" s="85" t="str">
        <f t="shared" si="18"/>
        <v>3Q</v>
      </c>
      <c r="E119" s="86" t="str">
        <f t="shared" si="18"/>
        <v>4Q</v>
      </c>
      <c r="F119" s="85" t="str">
        <f t="shared" si="18"/>
        <v>1Q</v>
      </c>
      <c r="G119" s="85" t="str">
        <f t="shared" si="18"/>
        <v>2Q</v>
      </c>
      <c r="H119" s="85" t="str">
        <f t="shared" si="18"/>
        <v>3Q</v>
      </c>
      <c r="I119" s="85" t="str">
        <f t="shared" si="18"/>
        <v>4Q</v>
      </c>
    </row>
    <row r="120" spans="1:9" ht="14.25">
      <c r="A120" s="41" t="str">
        <f>HLOOKUP(INDICE!$F$2,Nombres!$C$3:$D$636,33,FALSE)</f>
        <v>Net interest income</v>
      </c>
      <c r="B120" s="41">
        <v>803.1604667218405</v>
      </c>
      <c r="C120" s="41">
        <v>813.2718225690252</v>
      </c>
      <c r="D120" s="41">
        <v>915.4370832077316</v>
      </c>
      <c r="E120" s="42">
        <v>956.9839314557855</v>
      </c>
      <c r="F120" s="50">
        <v>930.6625350120972</v>
      </c>
      <c r="G120" s="50">
        <v>0</v>
      </c>
      <c r="H120" s="50">
        <v>0</v>
      </c>
      <c r="I120" s="50">
        <v>0</v>
      </c>
    </row>
    <row r="121" spans="1:9" ht="14.25">
      <c r="A121" s="88" t="str">
        <f>HLOOKUP(INDICE!$F$2,Nombres!$C$3:$D$636,34,FALSE)</f>
        <v>Net fees and commissions</v>
      </c>
      <c r="B121" s="44">
        <v>242.16027570655672</v>
      </c>
      <c r="C121" s="44">
        <v>269.81298623253315</v>
      </c>
      <c r="D121" s="44">
        <v>279.40946197089863</v>
      </c>
      <c r="E121" s="45">
        <v>267.33222054816633</v>
      </c>
      <c r="F121" s="44">
        <v>270.89806771445194</v>
      </c>
      <c r="G121" s="44">
        <v>0</v>
      </c>
      <c r="H121" s="44">
        <v>0</v>
      </c>
      <c r="I121" s="44">
        <v>0</v>
      </c>
    </row>
    <row r="122" spans="1:9" ht="14.25">
      <c r="A122" s="88" t="str">
        <f>HLOOKUP(INDICE!$F$2,Nombres!$C$3:$D$636,35,FALSE)</f>
        <v>Net trading income</v>
      </c>
      <c r="B122" s="44">
        <v>149.38523154713724</v>
      </c>
      <c r="C122" s="44">
        <v>252.31571881774494</v>
      </c>
      <c r="D122" s="44">
        <v>111.91375150172959</v>
      </c>
      <c r="E122" s="45">
        <v>133.9604885139854</v>
      </c>
      <c r="F122" s="44">
        <v>141.61749554094038</v>
      </c>
      <c r="G122" s="44">
        <v>0</v>
      </c>
      <c r="H122" s="44">
        <v>0</v>
      </c>
      <c r="I122" s="44">
        <v>0</v>
      </c>
    </row>
    <row r="123" spans="1:9" ht="14.25">
      <c r="A123" s="88" t="str">
        <f>HLOOKUP(INDICE!$F$2,Nombres!$C$3:$D$636,36,FALSE)</f>
        <v>Other operating income and expenses</v>
      </c>
      <c r="B123" s="44">
        <v>-37.52031065399256</v>
      </c>
      <c r="C123" s="44">
        <v>-46.72880919000045</v>
      </c>
      <c r="D123" s="44">
        <v>-40.772527613937726</v>
      </c>
      <c r="E123" s="45">
        <v>-35.49611555836296</v>
      </c>
      <c r="F123" s="44">
        <v>-36.18086874900378</v>
      </c>
      <c r="G123" s="44">
        <v>0</v>
      </c>
      <c r="H123" s="44">
        <v>0</v>
      </c>
      <c r="I123" s="44">
        <v>0</v>
      </c>
    </row>
    <row r="124" spans="1:9" ht="14.25">
      <c r="A124" s="41" t="str">
        <f>HLOOKUP(INDICE!$F$2,Nombres!$C$3:$D$636,37,FALSE)</f>
        <v>Gross income</v>
      </c>
      <c r="B124" s="41">
        <f aca="true" t="shared" si="19" ref="B124:I124">+SUM(B120:B123)</f>
        <v>1157.185663321542</v>
      </c>
      <c r="C124" s="41">
        <f t="shared" si="19"/>
        <v>1288.6717184293027</v>
      </c>
      <c r="D124" s="41">
        <f t="shared" si="19"/>
        <v>1265.987769066422</v>
      </c>
      <c r="E124" s="42">
        <f t="shared" si="19"/>
        <v>1322.7805249595742</v>
      </c>
      <c r="F124" s="50">
        <f t="shared" si="19"/>
        <v>1306.9972295184857</v>
      </c>
      <c r="G124" s="50">
        <f t="shared" si="19"/>
        <v>0</v>
      </c>
      <c r="H124" s="50">
        <f t="shared" si="19"/>
        <v>0</v>
      </c>
      <c r="I124" s="50">
        <f t="shared" si="19"/>
        <v>0</v>
      </c>
    </row>
    <row r="125" spans="1:9" ht="14.25">
      <c r="A125" s="88" t="str">
        <f>HLOOKUP(INDICE!$F$2,Nombres!$C$3:$D$636,38,FALSE)</f>
        <v>Operating expenses</v>
      </c>
      <c r="B125" s="44">
        <v>-451.5859152328674</v>
      </c>
      <c r="C125" s="44">
        <v>-468.7464349844496</v>
      </c>
      <c r="D125" s="44">
        <v>-482.0580125332765</v>
      </c>
      <c r="E125" s="45">
        <v>-518.7922228479033</v>
      </c>
      <c r="F125" s="44">
        <v>-507.58865844017606</v>
      </c>
      <c r="G125" s="44">
        <v>0</v>
      </c>
      <c r="H125" s="44">
        <v>0</v>
      </c>
      <c r="I125" s="44">
        <v>0</v>
      </c>
    </row>
    <row r="126" spans="1:9" ht="14.25">
      <c r="A126" s="88" t="str">
        <f>HLOOKUP(INDICE!$F$2,Nombres!$C$3:$D$636,39,FALSE)</f>
        <v>  Administration expenses</v>
      </c>
      <c r="B126" s="44">
        <v>-385.74123229488043</v>
      </c>
      <c r="C126" s="44">
        <v>-404.2511354894474</v>
      </c>
      <c r="D126" s="44">
        <v>-417.7258812773735</v>
      </c>
      <c r="E126" s="45">
        <v>-455.80387998632415</v>
      </c>
      <c r="F126" s="44">
        <v>-437.24431466116874</v>
      </c>
      <c r="G126" s="44">
        <v>0</v>
      </c>
      <c r="H126" s="44">
        <v>0</v>
      </c>
      <c r="I126" s="44">
        <v>0</v>
      </c>
    </row>
    <row r="127" spans="1:9" ht="14.25">
      <c r="A127" s="89" t="str">
        <f>HLOOKUP(INDICE!$F$2,Nombres!$C$3:$D$636,40,FALSE)</f>
        <v>  Personnel expenses</v>
      </c>
      <c r="B127" s="44">
        <v>-210.3157415699583</v>
      </c>
      <c r="C127" s="44">
        <v>-217.5373675290062</v>
      </c>
      <c r="D127" s="44">
        <v>-231.3494415506703</v>
      </c>
      <c r="E127" s="45">
        <v>-269.2494459750598</v>
      </c>
      <c r="F127" s="44">
        <v>-228.58819528502391</v>
      </c>
      <c r="G127" s="44">
        <v>0</v>
      </c>
      <c r="H127" s="44">
        <v>0</v>
      </c>
      <c r="I127" s="44">
        <v>0</v>
      </c>
    </row>
    <row r="128" spans="1:9" ht="14.25">
      <c r="A128" s="89" t="str">
        <f>HLOOKUP(INDICE!$F$2,Nombres!$C$3:$D$636,41,FALSE)</f>
        <v>  General and administrative expenses</v>
      </c>
      <c r="B128" s="44">
        <v>-175.42549072492216</v>
      </c>
      <c r="C128" s="44">
        <v>-186.7137679604412</v>
      </c>
      <c r="D128" s="44">
        <v>-186.3764397267032</v>
      </c>
      <c r="E128" s="45">
        <v>-186.5544340112644</v>
      </c>
      <c r="F128" s="44">
        <v>-208.6561193761449</v>
      </c>
      <c r="G128" s="44">
        <v>0</v>
      </c>
      <c r="H128" s="44">
        <v>0</v>
      </c>
      <c r="I128" s="44">
        <v>0</v>
      </c>
    </row>
    <row r="129" spans="1:9" ht="14.25">
      <c r="A129" s="88" t="str">
        <f>HLOOKUP(INDICE!$F$2,Nombres!$C$3:$D$636,42,FALSE)</f>
        <v>  Depreciation</v>
      </c>
      <c r="B129" s="44">
        <v>-65.84468293798695</v>
      </c>
      <c r="C129" s="44">
        <v>-64.49529949500223</v>
      </c>
      <c r="D129" s="44">
        <v>-64.33213125590296</v>
      </c>
      <c r="E129" s="45">
        <v>-62.98834286157927</v>
      </c>
      <c r="F129" s="44">
        <v>-70.34434377900736</v>
      </c>
      <c r="G129" s="44">
        <v>0</v>
      </c>
      <c r="H129" s="44">
        <v>0</v>
      </c>
      <c r="I129" s="44">
        <v>0</v>
      </c>
    </row>
    <row r="130" spans="1:9" ht="14.25">
      <c r="A130" s="41" t="str">
        <f>HLOOKUP(INDICE!$F$2,Nombres!$C$3:$D$636,43,FALSE)</f>
        <v>Operating income</v>
      </c>
      <c r="B130" s="41">
        <f aca="true" t="shared" si="20" ref="B130:I130">+B124+B125</f>
        <v>705.5997480886747</v>
      </c>
      <c r="C130" s="41">
        <f t="shared" si="20"/>
        <v>819.9252834448531</v>
      </c>
      <c r="D130" s="41">
        <f t="shared" si="20"/>
        <v>783.9297565331456</v>
      </c>
      <c r="E130" s="42">
        <f t="shared" si="20"/>
        <v>803.9883021116709</v>
      </c>
      <c r="F130" s="50">
        <f t="shared" si="20"/>
        <v>799.4085710783097</v>
      </c>
      <c r="G130" s="50">
        <f t="shared" si="20"/>
        <v>0</v>
      </c>
      <c r="H130" s="50">
        <f t="shared" si="20"/>
        <v>0</v>
      </c>
      <c r="I130" s="50">
        <f t="shared" si="20"/>
        <v>0</v>
      </c>
    </row>
    <row r="131" spans="1:9" ht="14.25">
      <c r="A131" s="88" t="str">
        <f>HLOOKUP(INDICE!$F$2,Nombres!$C$3:$D$636,44,FALSE)</f>
        <v>Impaiment on financial assets not measured at fair value through profit or loss</v>
      </c>
      <c r="B131" s="44">
        <v>-292.76162931594195</v>
      </c>
      <c r="C131" s="44">
        <v>-369.952296597003</v>
      </c>
      <c r="D131" s="44">
        <v>-346.5694009224958</v>
      </c>
      <c r="E131" s="45">
        <v>-161.33222704870096</v>
      </c>
      <c r="F131" s="44">
        <v>-131.48033018101378</v>
      </c>
      <c r="G131" s="44">
        <v>0</v>
      </c>
      <c r="H131" s="44">
        <v>0</v>
      </c>
      <c r="I131" s="44">
        <v>0</v>
      </c>
    </row>
    <row r="132" spans="1:9" ht="14.25">
      <c r="A132" s="88" t="str">
        <f>HLOOKUP(INDICE!$F$2,Nombres!$C$3:$D$636,45,FALSE)</f>
        <v>Provisions or reversal of provisions and other results</v>
      </c>
      <c r="B132" s="44">
        <v>-28.866866489994273</v>
      </c>
      <c r="C132" s="44">
        <v>-55.67422353899872</v>
      </c>
      <c r="D132" s="44">
        <v>-69.20409992092185</v>
      </c>
      <c r="E132" s="45">
        <v>-45.76908755845022</v>
      </c>
      <c r="F132" s="44">
        <v>-38.58638684100403</v>
      </c>
      <c r="G132" s="44">
        <v>0</v>
      </c>
      <c r="H132" s="44">
        <v>0</v>
      </c>
      <c r="I132" s="44">
        <v>0</v>
      </c>
    </row>
    <row r="133" spans="1:9" ht="14.25">
      <c r="A133" s="90" t="str">
        <f>HLOOKUP(INDICE!$F$2,Nombres!$C$3:$D$636,46,FALSE)</f>
        <v>Profit/(loss) before tax</v>
      </c>
      <c r="B133" s="41">
        <f aca="true" t="shared" si="21" ref="B133:I133">+B130+B131+B132</f>
        <v>383.9712522827385</v>
      </c>
      <c r="C133" s="41">
        <f t="shared" si="21"/>
        <v>394.2987633088514</v>
      </c>
      <c r="D133" s="41">
        <f t="shared" si="21"/>
        <v>368.1562556897279</v>
      </c>
      <c r="E133" s="42">
        <f t="shared" si="21"/>
        <v>596.8869875045198</v>
      </c>
      <c r="F133" s="50">
        <f t="shared" si="21"/>
        <v>629.3418540562919</v>
      </c>
      <c r="G133" s="50">
        <f t="shared" si="21"/>
        <v>0</v>
      </c>
      <c r="H133" s="50">
        <f t="shared" si="21"/>
        <v>0</v>
      </c>
      <c r="I133" s="50">
        <f t="shared" si="21"/>
        <v>0</v>
      </c>
    </row>
    <row r="134" spans="1:9" ht="14.25">
      <c r="A134" s="43" t="str">
        <f>HLOOKUP(INDICE!$F$2,Nombres!$C$3:$D$636,47,FALSE)</f>
        <v>Income tax</v>
      </c>
      <c r="B134" s="44">
        <v>-118.90604832777684</v>
      </c>
      <c r="C134" s="44">
        <v>-135.40943675687387</v>
      </c>
      <c r="D134" s="44">
        <v>-122.47660000400083</v>
      </c>
      <c r="E134" s="45">
        <v>-167.16403914797274</v>
      </c>
      <c r="F134" s="44">
        <v>-158.5264150062769</v>
      </c>
      <c r="G134" s="44">
        <v>0</v>
      </c>
      <c r="H134" s="44">
        <v>0</v>
      </c>
      <c r="I134" s="44">
        <v>0</v>
      </c>
    </row>
    <row r="135" spans="1:9" ht="14.25">
      <c r="A135" s="90" t="str">
        <f>HLOOKUP(INDICE!$F$2,Nombres!$C$3:$D$636,48,FALSE)</f>
        <v>Profit/(loss) for the year</v>
      </c>
      <c r="B135" s="41">
        <f aca="true" t="shared" si="22" ref="B135:I135">+B133+B134</f>
        <v>265.06520395496165</v>
      </c>
      <c r="C135" s="41">
        <f t="shared" si="22"/>
        <v>258.88932655197755</v>
      </c>
      <c r="D135" s="41">
        <f t="shared" si="22"/>
        <v>245.67965568572708</v>
      </c>
      <c r="E135" s="42">
        <f t="shared" si="22"/>
        <v>429.722948356547</v>
      </c>
      <c r="F135" s="50">
        <f t="shared" si="22"/>
        <v>470.815439050015</v>
      </c>
      <c r="G135" s="50">
        <f t="shared" si="22"/>
        <v>0</v>
      </c>
      <c r="H135" s="50">
        <f t="shared" si="22"/>
        <v>0</v>
      </c>
      <c r="I135" s="50">
        <f t="shared" si="22"/>
        <v>0</v>
      </c>
    </row>
    <row r="136" spans="1:9" ht="14.25">
      <c r="A136" s="88" t="str">
        <f>HLOOKUP(INDICE!$F$2,Nombres!$C$3:$D$636,49,FALSE)</f>
        <v>Non-controlling interests</v>
      </c>
      <c r="B136" s="44">
        <v>-146.38964571385588</v>
      </c>
      <c r="C136" s="44">
        <v>-140.42997958587307</v>
      </c>
      <c r="D136" s="44">
        <v>-135.76274618974824</v>
      </c>
      <c r="E136" s="45">
        <v>-235.81839038425767</v>
      </c>
      <c r="F136" s="44">
        <v>-253.14810486870894</v>
      </c>
      <c r="G136" s="44">
        <v>0</v>
      </c>
      <c r="H136" s="44">
        <v>0</v>
      </c>
      <c r="I136" s="44">
        <v>0</v>
      </c>
    </row>
    <row r="137" spans="1:9" ht="14.25">
      <c r="A137" s="91" t="str">
        <f>HLOOKUP(INDICE!$F$2,Nombres!$C$3:$D$636,50,FALSE)</f>
        <v>Net attributable profit</v>
      </c>
      <c r="B137" s="47">
        <f aca="true" t="shared" si="23" ref="B137:I137">+B135+B136</f>
        <v>118.67555824110576</v>
      </c>
      <c r="C137" s="47">
        <f t="shared" si="23"/>
        <v>118.45934696610448</v>
      </c>
      <c r="D137" s="47">
        <f t="shared" si="23"/>
        <v>109.91690949597884</v>
      </c>
      <c r="E137" s="47">
        <f t="shared" si="23"/>
        <v>193.90455797228935</v>
      </c>
      <c r="F137" s="51">
        <f t="shared" si="23"/>
        <v>217.66733418130607</v>
      </c>
      <c r="G137" s="51">
        <f t="shared" si="23"/>
        <v>0</v>
      </c>
      <c r="H137" s="51">
        <f t="shared" si="23"/>
        <v>0</v>
      </c>
      <c r="I137" s="51">
        <f t="shared" si="23"/>
        <v>0</v>
      </c>
    </row>
    <row r="138" spans="1:9" ht="14.25">
      <c r="A138" s="92"/>
      <c r="B138" s="63">
        <v>1.7053025658242404E-13</v>
      </c>
      <c r="C138" s="63">
        <v>0</v>
      </c>
      <c r="D138" s="63">
        <v>-1.4210854715202004E-13</v>
      </c>
      <c r="E138" s="63">
        <v>0</v>
      </c>
      <c r="F138" s="63">
        <v>0</v>
      </c>
      <c r="G138" s="63">
        <v>0</v>
      </c>
      <c r="H138" s="63">
        <v>0</v>
      </c>
      <c r="I138" s="63">
        <v>0</v>
      </c>
    </row>
    <row r="139" spans="1:9" ht="14.25">
      <c r="A139" s="90"/>
      <c r="B139" s="41"/>
      <c r="C139" s="41"/>
      <c r="D139" s="41"/>
      <c r="E139" s="41"/>
      <c r="F139" s="50"/>
      <c r="G139" s="50"/>
      <c r="H139" s="50"/>
      <c r="I139" s="50"/>
    </row>
    <row r="140" spans="1:9" ht="16.5">
      <c r="A140" s="93" t="str">
        <f>HLOOKUP(INDICE!$F$2,Nombres!$C$3:$D$636,51,FALSE)</f>
        <v>Balance sheets</v>
      </c>
      <c r="B140" s="34"/>
      <c r="C140" s="34"/>
      <c r="D140" s="34"/>
      <c r="E140" s="34"/>
      <c r="F140" s="69"/>
      <c r="G140" s="69"/>
      <c r="H140" s="69"/>
      <c r="I140" s="69"/>
    </row>
    <row r="141" spans="1:9" ht="14.25">
      <c r="A141" s="84" t="str">
        <f>HLOOKUP(INDICE!$F$2,Nombres!$C$3:$D$636,79,FALSE)</f>
        <v>(Million Peruvian soles)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88" t="str">
        <f>HLOOKUP(INDICE!$F$2,Nombres!$C$3:$D$636,52,FALSE)</f>
        <v>Cash, cash balances at central banks and other demand deposits</v>
      </c>
      <c r="B143" s="44">
        <v>13478.40845017633</v>
      </c>
      <c r="C143" s="44">
        <v>11628.58673431168</v>
      </c>
      <c r="D143" s="44">
        <v>16388.685186548348</v>
      </c>
      <c r="E143" s="45">
        <v>14820.894970536818</v>
      </c>
      <c r="F143" s="44">
        <v>14291.78627312295</v>
      </c>
      <c r="G143" s="44">
        <v>0</v>
      </c>
      <c r="H143" s="44">
        <v>0</v>
      </c>
      <c r="I143" s="44">
        <v>0</v>
      </c>
    </row>
    <row r="144" spans="1:9" ht="14.25">
      <c r="A144" s="88" t="str">
        <f>HLOOKUP(INDICE!$F$2,Nombres!$C$3:$D$636,53,FALSE)</f>
        <v>Financial assets designated at fair value </v>
      </c>
      <c r="B144" s="58">
        <v>12238.664915294772</v>
      </c>
      <c r="C144" s="58">
        <v>14060.121410652497</v>
      </c>
      <c r="D144" s="58">
        <v>13302.016781894023</v>
      </c>
      <c r="E144" s="65">
        <v>11480.768089094112</v>
      </c>
      <c r="F144" s="44">
        <v>11999.96836034076</v>
      </c>
      <c r="G144" s="44">
        <v>0</v>
      </c>
      <c r="H144" s="44">
        <v>0</v>
      </c>
      <c r="I144" s="44">
        <v>0</v>
      </c>
    </row>
    <row r="145" spans="1:9" ht="14.25">
      <c r="A145" s="43" t="str">
        <f>HLOOKUP(INDICE!$F$2,Nombres!$C$3:$D$636,54,FALSE)</f>
        <v>Financial assets at amortized cost</v>
      </c>
      <c r="B145" s="44">
        <v>77287.94876246613</v>
      </c>
      <c r="C145" s="44">
        <v>77689.634147619</v>
      </c>
      <c r="D145" s="44">
        <v>77210.1817596682</v>
      </c>
      <c r="E145" s="45">
        <v>72517.15164057817</v>
      </c>
      <c r="F145" s="44">
        <v>71119.05042786886</v>
      </c>
      <c r="G145" s="44">
        <v>0</v>
      </c>
      <c r="H145" s="44">
        <v>0</v>
      </c>
      <c r="I145" s="44">
        <v>0</v>
      </c>
    </row>
    <row r="146" spans="1:9" ht="14.25">
      <c r="A146" s="88" t="str">
        <f>HLOOKUP(INDICE!$F$2,Nombres!$C$3:$D$636,55,FALSE)</f>
        <v>    of which loans and advances to customers</v>
      </c>
      <c r="B146" s="44">
        <v>67399.10126368164</v>
      </c>
      <c r="C146" s="44">
        <v>71042.35094544305</v>
      </c>
      <c r="D146" s="44">
        <v>69884.08600756266</v>
      </c>
      <c r="E146" s="45">
        <v>70488.64330440058</v>
      </c>
      <c r="F146" s="44">
        <v>69796.53525729133</v>
      </c>
      <c r="G146" s="44">
        <v>0</v>
      </c>
      <c r="H146" s="44">
        <v>0</v>
      </c>
      <c r="I146" s="44">
        <v>0</v>
      </c>
    </row>
    <row r="147" spans="1:9" ht="14.25">
      <c r="A147" s="88"/>
      <c r="B147" s="44"/>
      <c r="C147" s="44"/>
      <c r="D147" s="44"/>
      <c r="E147" s="45"/>
      <c r="F147" s="44"/>
      <c r="G147" s="44"/>
      <c r="H147" s="44"/>
      <c r="I147" s="44"/>
    </row>
    <row r="148" spans="1:9" ht="14.25">
      <c r="A148" s="43" t="str">
        <f>HLOOKUP(INDICE!$F$2,Nombres!$C$3:$D$636,56,FALSE)</f>
        <v>Tangible assets</v>
      </c>
      <c r="B148" s="44">
        <v>1157.4707406976545</v>
      </c>
      <c r="C148" s="44">
        <v>1142.790426493853</v>
      </c>
      <c r="D148" s="44">
        <v>1146.2071109668636</v>
      </c>
      <c r="E148" s="45">
        <v>1217.1329293771637</v>
      </c>
      <c r="F148" s="44">
        <v>1189.0725917065797</v>
      </c>
      <c r="G148" s="44">
        <v>0</v>
      </c>
      <c r="H148" s="44">
        <v>0</v>
      </c>
      <c r="I148" s="44">
        <v>0</v>
      </c>
    </row>
    <row r="149" spans="1:9" ht="14.25">
      <c r="A149" s="88" t="str">
        <f>HLOOKUP(INDICE!$F$2,Nombres!$C$3:$D$636,57,FALSE)</f>
        <v>Other assets</v>
      </c>
      <c r="B149" s="58">
        <f aca="true" t="shared" si="25" ref="B149:I149">+B150-B148-B145-B144-B143</f>
        <v>1599.462003403174</v>
      </c>
      <c r="C149" s="58">
        <f t="shared" si="25"/>
        <v>1625.7311895425883</v>
      </c>
      <c r="D149" s="58">
        <f t="shared" si="25"/>
        <v>1695.418000886275</v>
      </c>
      <c r="E149" s="65">
        <f t="shared" si="25"/>
        <v>1827.8785220951795</v>
      </c>
      <c r="F149" s="44">
        <f t="shared" si="25"/>
        <v>1824.864578954488</v>
      </c>
      <c r="G149" s="44">
        <f t="shared" si="25"/>
        <v>0</v>
      </c>
      <c r="H149" s="44">
        <f t="shared" si="25"/>
        <v>0</v>
      </c>
      <c r="I149" s="44">
        <f t="shared" si="25"/>
        <v>0</v>
      </c>
    </row>
    <row r="150" spans="1:9" ht="14.25">
      <c r="A150" s="91" t="str">
        <f>HLOOKUP(INDICE!$F$2,Nombres!$C$3:$D$636,58,FALSE)</f>
        <v>Total assets / Liabilities and equity</v>
      </c>
      <c r="B150" s="47">
        <v>105761.95487203806</v>
      </c>
      <c r="C150" s="47">
        <v>106146.86390861962</v>
      </c>
      <c r="D150" s="47">
        <v>109742.5088399637</v>
      </c>
      <c r="E150" s="47">
        <v>101863.82615168145</v>
      </c>
      <c r="F150" s="51">
        <v>100424.74223199364</v>
      </c>
      <c r="G150" s="51">
        <v>0</v>
      </c>
      <c r="H150" s="51">
        <v>0</v>
      </c>
      <c r="I150" s="51">
        <v>0</v>
      </c>
    </row>
    <row r="151" spans="1:9" ht="14.25">
      <c r="A151" s="88" t="str">
        <f>HLOOKUP(INDICE!$F$2,Nombres!$C$3:$D$636,59,FALSE)</f>
        <v>Financial liabilities held for trading and designated at fair value through profit or loss</v>
      </c>
      <c r="B151" s="58">
        <v>1169.6563615436403</v>
      </c>
      <c r="C151" s="58">
        <v>1726.0981186362885</v>
      </c>
      <c r="D151" s="58">
        <v>2457.558642921852</v>
      </c>
      <c r="E151" s="65">
        <v>1597.6384323759025</v>
      </c>
      <c r="F151" s="44">
        <v>1734.5022985913872</v>
      </c>
      <c r="G151" s="44">
        <v>0</v>
      </c>
      <c r="H151" s="44">
        <v>0</v>
      </c>
      <c r="I151" s="44">
        <v>0</v>
      </c>
    </row>
    <row r="152" spans="1:9" ht="14.25">
      <c r="A152" s="88" t="str">
        <f>HLOOKUP(INDICE!$F$2,Nombres!$C$3:$D$636,60,FALSE)</f>
        <v>Deposits from central banks and credit institutions</v>
      </c>
      <c r="B152" s="58">
        <v>18506.618269621486</v>
      </c>
      <c r="C152" s="58">
        <v>19960.8200503549</v>
      </c>
      <c r="D152" s="58">
        <v>20006.367605127074</v>
      </c>
      <c r="E152" s="65">
        <v>18606.711439051214</v>
      </c>
      <c r="F152" s="44">
        <v>17165.861260471935</v>
      </c>
      <c r="G152" s="44">
        <v>0</v>
      </c>
      <c r="H152" s="44">
        <v>0</v>
      </c>
      <c r="I152" s="44">
        <v>0</v>
      </c>
    </row>
    <row r="153" spans="1:9" ht="14.25">
      <c r="A153" s="88" t="str">
        <f>HLOOKUP(INDICE!$F$2,Nombres!$C$3:$D$636,61,FALSE)</f>
        <v>Deposits from customers</v>
      </c>
      <c r="B153" s="58">
        <v>67023.51766389208</v>
      </c>
      <c r="C153" s="58">
        <v>65760.9073969131</v>
      </c>
      <c r="D153" s="58">
        <v>68098.01839183131</v>
      </c>
      <c r="E153" s="65">
        <v>62818.876136453844</v>
      </c>
      <c r="F153" s="44">
        <v>61637.90186488822</v>
      </c>
      <c r="G153" s="44">
        <v>0</v>
      </c>
      <c r="H153" s="44">
        <v>0</v>
      </c>
      <c r="I153" s="44">
        <v>0</v>
      </c>
    </row>
    <row r="154" spans="1:9" ht="14.25">
      <c r="A154" s="43" t="str">
        <f>HLOOKUP(INDICE!$F$2,Nombres!$C$3:$D$636,62,FALSE)</f>
        <v>Debt certificates</v>
      </c>
      <c r="B154" s="44">
        <v>5868.74044553245</v>
      </c>
      <c r="C154" s="44">
        <v>5779.279927698184</v>
      </c>
      <c r="D154" s="44">
        <v>6034.188442258471</v>
      </c>
      <c r="E154" s="45">
        <v>5998.123993673071</v>
      </c>
      <c r="F154" s="44">
        <v>5649.994743359681</v>
      </c>
      <c r="G154" s="44">
        <v>0</v>
      </c>
      <c r="H154" s="44">
        <v>0</v>
      </c>
      <c r="I154" s="44">
        <v>0</v>
      </c>
    </row>
    <row r="155" spans="1:9" ht="14.25">
      <c r="A155" s="43"/>
      <c r="B155" s="44"/>
      <c r="C155" s="44"/>
      <c r="D155" s="44"/>
      <c r="E155" s="45"/>
      <c r="F155" s="44"/>
      <c r="G155" s="44"/>
      <c r="H155" s="44"/>
      <c r="I155" s="44"/>
    </row>
    <row r="156" spans="1:9" ht="15.75" customHeight="1">
      <c r="A156" s="88" t="str">
        <f>HLOOKUP(INDICE!$F$2,Nombres!$C$3:$D$636,63,FALSE)</f>
        <v>Other liabilities</v>
      </c>
      <c r="B156" s="58">
        <f aca="true" t="shared" si="26" ref="B156:I156">+B150-B151-B152-B153-B154-B157</f>
        <v>4743.585502732261</v>
      </c>
      <c r="C156" s="58">
        <f t="shared" si="26"/>
        <v>4322.954414415635</v>
      </c>
      <c r="D156" s="58">
        <f t="shared" si="26"/>
        <v>4118.963767916943</v>
      </c>
      <c r="E156" s="65">
        <f t="shared" si="26"/>
        <v>3454.7039111255563</v>
      </c>
      <c r="F156" s="44">
        <f t="shared" si="26"/>
        <v>4544.345050135451</v>
      </c>
      <c r="G156" s="44">
        <f t="shared" si="26"/>
        <v>0</v>
      </c>
      <c r="H156" s="44">
        <f t="shared" si="26"/>
        <v>0</v>
      </c>
      <c r="I156" s="44">
        <f t="shared" si="26"/>
        <v>0</v>
      </c>
    </row>
    <row r="157" spans="1:9" ht="15.75" customHeight="1">
      <c r="A157" s="43" t="str">
        <f>HLOOKUP(INDICE!$F$2,Nombres!$C$3:$D$636,282,FALSE)</f>
        <v>Regulatory capital allocated</v>
      </c>
      <c r="B157" s="58">
        <v>8449.836628716133</v>
      </c>
      <c r="C157" s="58">
        <v>8596.804000601509</v>
      </c>
      <c r="D157" s="58">
        <v>9027.41198990805</v>
      </c>
      <c r="E157" s="65">
        <v>9387.77223900187</v>
      </c>
      <c r="F157" s="44">
        <v>9692.137014546974</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3" t="str">
        <f>HLOOKUP(INDICE!$F$2,Nombres!$C$3:$D$636,65,FALSE)</f>
        <v>Relevant business indicators</v>
      </c>
      <c r="B160" s="34"/>
      <c r="C160" s="34"/>
      <c r="D160" s="34"/>
      <c r="E160" s="34"/>
      <c r="F160" s="69"/>
      <c r="G160" s="69"/>
      <c r="H160" s="69"/>
      <c r="I160" s="69"/>
    </row>
    <row r="161" spans="1:9" ht="14.25">
      <c r="A161" s="84" t="str">
        <f>HLOOKUP(INDICE!$F$2,Nombres!$C$3:$D$636,79,FALSE)</f>
        <v>(Million Peruvian soles)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88" t="str">
        <f>HLOOKUP(INDICE!$F$2,Nombres!$C$3:$D$636,66,FALSE)</f>
        <v>Loans and advances to customers (gross) (*)</v>
      </c>
      <c r="B163" s="44">
        <v>71487.59561292877</v>
      </c>
      <c r="C163" s="44">
        <v>75222.20602943253</v>
      </c>
      <c r="D163" s="44">
        <v>73883.46506842301</v>
      </c>
      <c r="E163" s="45">
        <v>74100.30754175772</v>
      </c>
      <c r="F163" s="44">
        <v>73315.25453671537</v>
      </c>
      <c r="G163" s="44">
        <v>0</v>
      </c>
      <c r="H163" s="44">
        <v>0</v>
      </c>
      <c r="I163" s="44">
        <v>0</v>
      </c>
    </row>
    <row r="164" spans="1:9" ht="14.25">
      <c r="A164" s="88" t="str">
        <f>HLOOKUP(INDICE!$F$2,Nombres!$C$3:$D$636,67,FALSE)</f>
        <v>Customer deposits under management (*)</v>
      </c>
      <c r="B164" s="44">
        <v>67023.51813313995</v>
      </c>
      <c r="C164" s="44">
        <v>65760.89966808388</v>
      </c>
      <c r="D164" s="44">
        <v>68098.01761971945</v>
      </c>
      <c r="E164" s="45">
        <v>62818.82543439849</v>
      </c>
      <c r="F164" s="44">
        <v>61616.99009062639</v>
      </c>
      <c r="G164" s="44">
        <v>0</v>
      </c>
      <c r="H164" s="44">
        <v>0</v>
      </c>
      <c r="I164" s="44">
        <v>0</v>
      </c>
    </row>
    <row r="165" spans="1:9" ht="14.25">
      <c r="A165" s="43" t="str">
        <f>HLOOKUP(INDICE!$F$2,Nombres!$C$3:$D$636,68,FALSE)</f>
        <v>Investment funds and managed portfolios</v>
      </c>
      <c r="B165" s="44">
        <v>10704.94933894574</v>
      </c>
      <c r="C165" s="44">
        <v>9287.925393006437</v>
      </c>
      <c r="D165" s="44">
        <v>7894.805517027171</v>
      </c>
      <c r="E165" s="45">
        <v>7355.998026655065</v>
      </c>
      <c r="F165" s="44">
        <v>6336.757258993399</v>
      </c>
      <c r="G165" s="44">
        <v>0</v>
      </c>
      <c r="H165" s="44">
        <v>0</v>
      </c>
      <c r="I165" s="44">
        <v>0</v>
      </c>
    </row>
    <row r="166" spans="1:9" ht="14.25">
      <c r="A166" s="88" t="str">
        <f>HLOOKUP(INDICE!$F$2,Nombres!$C$3:$D$636,69,FALSE)</f>
        <v>Pension funds</v>
      </c>
      <c r="B166" s="44">
        <v>0</v>
      </c>
      <c r="C166" s="44">
        <v>0</v>
      </c>
      <c r="D166" s="44">
        <v>0</v>
      </c>
      <c r="E166" s="45">
        <v>0</v>
      </c>
      <c r="F166" s="44">
        <v>0</v>
      </c>
      <c r="G166" s="44">
        <v>0</v>
      </c>
      <c r="H166" s="44">
        <v>0</v>
      </c>
      <c r="I166" s="44">
        <v>0</v>
      </c>
    </row>
    <row r="167" spans="1:15" ht="14.25">
      <c r="A167" s="88" t="str">
        <f>HLOOKUP(INDICE!$F$2,Nombres!$C$3:$D$636,70,FALSE)</f>
        <v>Other off balance-sheet funds</v>
      </c>
      <c r="B167" s="44">
        <v>0</v>
      </c>
      <c r="C167" s="44">
        <v>0</v>
      </c>
      <c r="D167" s="44">
        <v>0</v>
      </c>
      <c r="E167" s="45">
        <v>0</v>
      </c>
      <c r="F167" s="44">
        <v>0</v>
      </c>
      <c r="G167" s="44">
        <v>0</v>
      </c>
      <c r="H167" s="44">
        <v>0</v>
      </c>
      <c r="I167" s="44">
        <v>0</v>
      </c>
      <c r="N167" s="74"/>
      <c r="O167" s="74"/>
    </row>
    <row r="168" spans="1:15" ht="14.25">
      <c r="A168" s="92" t="str">
        <f>HLOOKUP(INDICE!$F$2,Nombres!$C$3:$D$636,71,FALSE)</f>
        <v>(*) Excluding repos. </v>
      </c>
      <c r="B168" s="58"/>
      <c r="C168" s="58"/>
      <c r="D168" s="58"/>
      <c r="E168" s="58"/>
      <c r="F168" s="44"/>
      <c r="G168" s="44"/>
      <c r="H168" s="44"/>
      <c r="I168" s="44"/>
      <c r="N168" s="74"/>
      <c r="O168" s="74"/>
    </row>
    <row r="169" spans="1:15" ht="14.25">
      <c r="A169" s="92">
        <f>HLOOKUP(INDICE!$F$2,Nombres!$C$3:$D$636,72,FALSE)</f>
        <v>0</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83" t="str">
        <f>HLOOKUP(INDICE!$F$2,Nombres!$C$3:$D$636,263,FALSE)</f>
        <v>Rest of Business</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4" ht="14.25">
      <c r="A8" s="41" t="str">
        <f>HLOOKUP(INDICE!$F$2,Nombres!$C$3:$D$636,33,FALSE)</f>
        <v>Net interest income</v>
      </c>
      <c r="B8" s="41">
        <v>72.87927522000001</v>
      </c>
      <c r="C8" s="41">
        <v>68.00738393</v>
      </c>
      <c r="D8" s="41">
        <v>69.94415282</v>
      </c>
      <c r="E8" s="42">
        <v>72.05649285999999</v>
      </c>
      <c r="F8" s="50">
        <v>75.16487686</v>
      </c>
      <c r="G8" s="242">
        <v>0</v>
      </c>
      <c r="H8" s="242">
        <v>0</v>
      </c>
      <c r="I8" s="242">
        <v>0</v>
      </c>
      <c r="J8" s="87"/>
      <c r="K8" s="87"/>
      <c r="L8" s="87"/>
      <c r="M8" s="87"/>
      <c r="N8" s="87"/>
    </row>
    <row r="9" spans="1:9" ht="14.25">
      <c r="A9" s="88" t="str">
        <f>HLOOKUP(INDICE!$F$2,Nombres!$C$3:$D$636,34,FALSE)</f>
        <v>Net fees and commissions</v>
      </c>
      <c r="B9" s="44">
        <v>71.18238968</v>
      </c>
      <c r="C9" s="44">
        <v>60.971991079999995</v>
      </c>
      <c r="D9" s="44">
        <v>52.03419697</v>
      </c>
      <c r="E9" s="45">
        <v>57.78572011000001</v>
      </c>
      <c r="F9" s="44">
        <v>56.092037250000004</v>
      </c>
      <c r="G9" s="44">
        <v>0</v>
      </c>
      <c r="H9" s="44">
        <v>0</v>
      </c>
      <c r="I9" s="44">
        <v>0</v>
      </c>
    </row>
    <row r="10" spans="1:9" ht="14.25">
      <c r="A10" s="88" t="str">
        <f>HLOOKUP(INDICE!$F$2,Nombres!$C$3:$D$636,35,FALSE)</f>
        <v>Net trading income</v>
      </c>
      <c r="B10" s="44">
        <v>78.43823870000001</v>
      </c>
      <c r="C10" s="44">
        <v>54.411176080000004</v>
      </c>
      <c r="D10" s="44">
        <v>62.875532129999996</v>
      </c>
      <c r="E10" s="45">
        <v>40.01881293000001</v>
      </c>
      <c r="F10" s="44">
        <v>68.10386955999999</v>
      </c>
      <c r="G10" s="44">
        <v>0</v>
      </c>
      <c r="H10" s="44">
        <v>0</v>
      </c>
      <c r="I10" s="44">
        <v>0</v>
      </c>
    </row>
    <row r="11" spans="1:9" ht="14.25">
      <c r="A11" s="88" t="str">
        <f>HLOOKUP(INDICE!$F$2,Nombres!$C$3:$D$636,36,FALSE)</f>
        <v>Other operating income and expenses</v>
      </c>
      <c r="B11" s="44">
        <v>8.416999220000001</v>
      </c>
      <c r="C11" s="44">
        <v>7.957013449999996</v>
      </c>
      <c r="D11" s="44">
        <v>-2.540170099999999</v>
      </c>
      <c r="E11" s="45">
        <v>1.7754720799999992</v>
      </c>
      <c r="F11" s="44">
        <v>2.5557426499999996</v>
      </c>
      <c r="G11" s="44">
        <v>0</v>
      </c>
      <c r="H11" s="44">
        <v>0</v>
      </c>
      <c r="I11" s="44">
        <v>0</v>
      </c>
    </row>
    <row r="12" spans="1:9" ht="14.25">
      <c r="A12" s="41" t="str">
        <f>HLOOKUP(INDICE!$F$2,Nombres!$C$3:$D$636,37,FALSE)</f>
        <v>Gross income</v>
      </c>
      <c r="B12" s="41">
        <f aca="true" t="shared" si="0" ref="B12:I12">+SUM(B8:B11)</f>
        <v>230.91690282000005</v>
      </c>
      <c r="C12" s="41">
        <f t="shared" si="0"/>
        <v>191.34756454000004</v>
      </c>
      <c r="D12" s="41">
        <f t="shared" si="0"/>
        <v>182.31371181999998</v>
      </c>
      <c r="E12" s="42">
        <f t="shared" si="0"/>
        <v>171.63649798</v>
      </c>
      <c r="F12" s="50">
        <f t="shared" si="0"/>
        <v>201.91652632000003</v>
      </c>
      <c r="G12" s="50">
        <f t="shared" si="0"/>
        <v>0</v>
      </c>
      <c r="H12" s="50">
        <f t="shared" si="0"/>
        <v>0</v>
      </c>
      <c r="I12" s="50">
        <f t="shared" si="0"/>
        <v>0</v>
      </c>
    </row>
    <row r="13" spans="1:9" ht="14.25">
      <c r="A13" s="88" t="str">
        <f>HLOOKUP(INDICE!$F$2,Nombres!$C$3:$D$636,38,FALSE)</f>
        <v>Operating expenses</v>
      </c>
      <c r="B13" s="44">
        <v>-115.42439358</v>
      </c>
      <c r="C13" s="44">
        <v>-112.56418681</v>
      </c>
      <c r="D13" s="44">
        <v>-98.97590073</v>
      </c>
      <c r="E13" s="45">
        <v>-125.99120153</v>
      </c>
      <c r="F13" s="44">
        <v>-114.80456537</v>
      </c>
      <c r="G13" s="44">
        <v>0</v>
      </c>
      <c r="H13" s="44">
        <v>0</v>
      </c>
      <c r="I13" s="44">
        <v>0</v>
      </c>
    </row>
    <row r="14" spans="1:9" ht="14.25">
      <c r="A14" s="88" t="str">
        <f>HLOOKUP(INDICE!$F$2,Nombres!$C$3:$D$636,39,FALSE)</f>
        <v>  Administration expenses</v>
      </c>
      <c r="B14" s="44">
        <v>-110.62947158</v>
      </c>
      <c r="C14" s="44">
        <v>-107.66153381</v>
      </c>
      <c r="D14" s="44">
        <v>-93.16451364</v>
      </c>
      <c r="E14" s="45">
        <v>-121.28923562</v>
      </c>
      <c r="F14" s="44">
        <v>-109.53490038</v>
      </c>
      <c r="G14" s="44">
        <v>0</v>
      </c>
      <c r="H14" s="44">
        <v>0</v>
      </c>
      <c r="I14" s="44">
        <v>0</v>
      </c>
    </row>
    <row r="15" spans="1:9" ht="14.25">
      <c r="A15" s="89" t="str">
        <f>HLOOKUP(INDICE!$F$2,Nombres!$C$3:$D$636,40,FALSE)</f>
        <v>  Personnel expenses</v>
      </c>
      <c r="B15" s="44">
        <v>-64.20751729</v>
      </c>
      <c r="C15" s="44">
        <v>-49.75614589</v>
      </c>
      <c r="D15" s="44">
        <v>-51.40792062</v>
      </c>
      <c r="E15" s="45">
        <v>-68.89956459</v>
      </c>
      <c r="F15" s="44">
        <v>-60.282898079999995</v>
      </c>
      <c r="G15" s="44">
        <v>0</v>
      </c>
      <c r="H15" s="44">
        <v>0</v>
      </c>
      <c r="I15" s="44">
        <v>0</v>
      </c>
    </row>
    <row r="16" spans="1:9" ht="14.25">
      <c r="A16" s="89" t="str">
        <f>HLOOKUP(INDICE!$F$2,Nombres!$C$3:$D$636,41,FALSE)</f>
        <v>  General and administrative expenses</v>
      </c>
      <c r="B16" s="44">
        <v>-46.42195429</v>
      </c>
      <c r="C16" s="44">
        <v>-57.905387919999995</v>
      </c>
      <c r="D16" s="44">
        <v>-41.75659302000001</v>
      </c>
      <c r="E16" s="45">
        <v>-52.38967103</v>
      </c>
      <c r="F16" s="44">
        <v>-49.2520023</v>
      </c>
      <c r="G16" s="44">
        <v>0</v>
      </c>
      <c r="H16" s="44">
        <v>0</v>
      </c>
      <c r="I16" s="44">
        <v>0</v>
      </c>
    </row>
    <row r="17" spans="1:9" ht="14.25">
      <c r="A17" s="88" t="str">
        <f>HLOOKUP(INDICE!$F$2,Nombres!$C$3:$D$636,42,FALSE)</f>
        <v>  Depreciation</v>
      </c>
      <c r="B17" s="44">
        <v>-4.794922000000001</v>
      </c>
      <c r="C17" s="44">
        <v>-4.902653</v>
      </c>
      <c r="D17" s="44">
        <v>-5.81138709</v>
      </c>
      <c r="E17" s="45">
        <v>-4.70196591</v>
      </c>
      <c r="F17" s="44">
        <v>-5.269664990000001</v>
      </c>
      <c r="G17" s="44">
        <v>0</v>
      </c>
      <c r="H17" s="44">
        <v>0</v>
      </c>
      <c r="I17" s="44">
        <v>0</v>
      </c>
    </row>
    <row r="18" spans="1:9" ht="14.25">
      <c r="A18" s="41" t="str">
        <f>HLOOKUP(INDICE!$F$2,Nombres!$C$3:$D$636,43,FALSE)</f>
        <v>Operating income</v>
      </c>
      <c r="B18" s="41">
        <f aca="true" t="shared" si="1" ref="B18:I18">+B12+B13</f>
        <v>115.49250924000005</v>
      </c>
      <c r="C18" s="41">
        <f t="shared" si="1"/>
        <v>78.78337773000004</v>
      </c>
      <c r="D18" s="41">
        <f t="shared" si="1"/>
        <v>83.33781108999997</v>
      </c>
      <c r="E18" s="42">
        <f t="shared" si="1"/>
        <v>45.645296450000004</v>
      </c>
      <c r="F18" s="50">
        <f t="shared" si="1"/>
        <v>87.11196095000003</v>
      </c>
      <c r="G18" s="50">
        <f t="shared" si="1"/>
        <v>0</v>
      </c>
      <c r="H18" s="50">
        <f t="shared" si="1"/>
        <v>0</v>
      </c>
      <c r="I18" s="50">
        <f t="shared" si="1"/>
        <v>0</v>
      </c>
    </row>
    <row r="19" spans="1:9" ht="14.25">
      <c r="A19" s="88" t="str">
        <f>HLOOKUP(INDICE!$F$2,Nombres!$C$3:$D$636,44,FALSE)</f>
        <v>Impaiment on financial assets not measured at fair value through profit or loss</v>
      </c>
      <c r="B19" s="44">
        <v>1.8090720000000005</v>
      </c>
      <c r="C19" s="44">
        <v>13.476409870000001</v>
      </c>
      <c r="D19" s="44">
        <v>4.39651757</v>
      </c>
      <c r="E19" s="45">
        <v>7.1554055399999985</v>
      </c>
      <c r="F19" s="44">
        <v>7.381874779999999</v>
      </c>
      <c r="G19" s="44">
        <v>0</v>
      </c>
      <c r="H19" s="44">
        <v>0</v>
      </c>
      <c r="I19" s="44">
        <v>0</v>
      </c>
    </row>
    <row r="20" spans="1:9" ht="14.25">
      <c r="A20" s="88" t="str">
        <f>HLOOKUP(INDICE!$F$2,Nombres!$C$3:$D$636,45,FALSE)</f>
        <v>Provisions or reversal of provisions and other results</v>
      </c>
      <c r="B20" s="44">
        <v>-12.414312000000002</v>
      </c>
      <c r="C20" s="44">
        <v>7.9530590000000005</v>
      </c>
      <c r="D20" s="44">
        <v>0.7069540000000012</v>
      </c>
      <c r="E20" s="45">
        <v>-0.11351500000000192</v>
      </c>
      <c r="F20" s="44">
        <v>9.783666000000004</v>
      </c>
      <c r="G20" s="44">
        <v>0</v>
      </c>
      <c r="H20" s="44">
        <v>0</v>
      </c>
      <c r="I20" s="44">
        <v>0</v>
      </c>
    </row>
    <row r="21" spans="1:9" ht="14.25">
      <c r="A21" s="90" t="str">
        <f>HLOOKUP(INDICE!$F$2,Nombres!$C$3:$D$636,46,FALSE)</f>
        <v>Profit/(loss) before tax</v>
      </c>
      <c r="B21" s="41">
        <f aca="true" t="shared" si="2" ref="B21:I21">+B18+B19+B20</f>
        <v>104.88726924000005</v>
      </c>
      <c r="C21" s="41">
        <f t="shared" si="2"/>
        <v>100.21284660000003</v>
      </c>
      <c r="D21" s="41">
        <f t="shared" si="2"/>
        <v>88.44128265999997</v>
      </c>
      <c r="E21" s="42">
        <f t="shared" si="2"/>
        <v>52.68718699</v>
      </c>
      <c r="F21" s="50">
        <f t="shared" si="2"/>
        <v>104.27750173000004</v>
      </c>
      <c r="G21" s="50">
        <f t="shared" si="2"/>
        <v>0</v>
      </c>
      <c r="H21" s="50">
        <f t="shared" si="2"/>
        <v>0</v>
      </c>
      <c r="I21" s="50">
        <f t="shared" si="2"/>
        <v>0</v>
      </c>
    </row>
    <row r="22" spans="1:9" ht="14.25">
      <c r="A22" s="43" t="str">
        <f>HLOOKUP(INDICE!$F$2,Nombres!$C$3:$D$636,47,FALSE)</f>
        <v>Income tax</v>
      </c>
      <c r="B22" s="44">
        <v>-20.967429600000003</v>
      </c>
      <c r="C22" s="44">
        <v>-24.65330062</v>
      </c>
      <c r="D22" s="44">
        <v>-19.0056717</v>
      </c>
      <c r="E22" s="45">
        <v>-5.287886920000002</v>
      </c>
      <c r="F22" s="44">
        <v>-23.03511865</v>
      </c>
      <c r="G22" s="44">
        <v>0</v>
      </c>
      <c r="H22" s="44">
        <v>0</v>
      </c>
      <c r="I22" s="44">
        <v>0</v>
      </c>
    </row>
    <row r="23" spans="1:9" ht="14.25">
      <c r="A23" s="90" t="str">
        <f>HLOOKUP(INDICE!$F$2,Nombres!$C$3:$D$636,48,FALSE)</f>
        <v>Profit/(loss) for the year</v>
      </c>
      <c r="B23" s="41">
        <f aca="true" t="shared" si="3" ref="B23:I23">+B21+B22</f>
        <v>83.91983964000005</v>
      </c>
      <c r="C23" s="41">
        <f t="shared" si="3"/>
        <v>75.55954598000004</v>
      </c>
      <c r="D23" s="41">
        <f t="shared" si="3"/>
        <v>69.43561095999996</v>
      </c>
      <c r="E23" s="42">
        <f t="shared" si="3"/>
        <v>47.399300069999995</v>
      </c>
      <c r="F23" s="50">
        <f t="shared" si="3"/>
        <v>81.24238308000004</v>
      </c>
      <c r="G23" s="50">
        <f t="shared" si="3"/>
        <v>0</v>
      </c>
      <c r="H23" s="50">
        <f t="shared" si="3"/>
        <v>0</v>
      </c>
      <c r="I23" s="50">
        <f t="shared" si="3"/>
        <v>0</v>
      </c>
    </row>
    <row r="24" spans="1:9" ht="14.25">
      <c r="A24" s="88" t="str">
        <f>HLOOKUP(INDICE!$F$2,Nombres!$C$3:$D$636,49,FALSE)</f>
        <v>Non-controlling interests</v>
      </c>
      <c r="B24" s="44">
        <v>0</v>
      </c>
      <c r="C24" s="44">
        <v>0</v>
      </c>
      <c r="D24" s="44">
        <v>0</v>
      </c>
      <c r="E24" s="45">
        <v>0</v>
      </c>
      <c r="F24" s="44">
        <v>0</v>
      </c>
      <c r="G24" s="44">
        <v>0</v>
      </c>
      <c r="H24" s="44">
        <v>0</v>
      </c>
      <c r="I24" s="44">
        <v>0</v>
      </c>
    </row>
    <row r="25" spans="1:9" ht="14.25">
      <c r="A25" s="91" t="str">
        <f>HLOOKUP(INDICE!$F$2,Nombres!$C$3:$D$636,50,FALSE)</f>
        <v>Net attributable profit</v>
      </c>
      <c r="B25" s="47">
        <f aca="true" t="shared" si="4" ref="B25:I25">+B23+B24</f>
        <v>83.91983964000005</v>
      </c>
      <c r="C25" s="47">
        <f t="shared" si="4"/>
        <v>75.55954598000004</v>
      </c>
      <c r="D25" s="47">
        <f t="shared" si="4"/>
        <v>69.43561095999996</v>
      </c>
      <c r="E25" s="47">
        <f t="shared" si="4"/>
        <v>47.399300069999995</v>
      </c>
      <c r="F25" s="51">
        <f t="shared" si="4"/>
        <v>81.24238308000004</v>
      </c>
      <c r="G25" s="51">
        <f t="shared" si="4"/>
        <v>0</v>
      </c>
      <c r="H25" s="51">
        <f t="shared" si="4"/>
        <v>0</v>
      </c>
      <c r="I25" s="51">
        <f t="shared" si="4"/>
        <v>0</v>
      </c>
    </row>
    <row r="26" spans="1:9" ht="23.25" customHeight="1">
      <c r="A26" s="9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93" t="str">
        <f>HLOOKUP(INDICE!$F$2,Nombres!$C$3:$D$636,51,FALSE)</f>
        <v>Balance sheets</v>
      </c>
      <c r="B28" s="34"/>
      <c r="C28" s="34"/>
      <c r="D28" s="34"/>
      <c r="E28" s="34"/>
      <c r="F28" s="34"/>
      <c r="G28" s="34"/>
      <c r="H28" s="34"/>
      <c r="I28" s="34"/>
    </row>
    <row r="29" spans="1:9" ht="14.25">
      <c r="A29" s="84"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88" t="str">
        <f>HLOOKUP(INDICE!$F$2,Nombres!$C$3:$D$636,52,FALSE)</f>
        <v>Cash, cash balances at central banks and other demand deposits</v>
      </c>
      <c r="B31" s="44">
        <v>5508.754560000003</v>
      </c>
      <c r="C31" s="44">
        <v>4012.909028</v>
      </c>
      <c r="D31" s="44">
        <v>4453.812191</v>
      </c>
      <c r="E31" s="45">
        <v>3970.3978829900007</v>
      </c>
      <c r="F31" s="44">
        <v>3831.999396</v>
      </c>
      <c r="G31" s="44">
        <v>0</v>
      </c>
      <c r="H31" s="44">
        <v>0</v>
      </c>
      <c r="I31" s="44">
        <v>0</v>
      </c>
    </row>
    <row r="32" spans="1:9" ht="14.25">
      <c r="A32" s="88" t="str">
        <f>HLOOKUP(INDICE!$F$2,Nombres!$C$3:$D$636,53,FALSE)</f>
        <v>Financial assets designated at fair value </v>
      </c>
      <c r="B32" s="58">
        <v>2159.45582639</v>
      </c>
      <c r="C32" s="58">
        <v>2444.56078539</v>
      </c>
      <c r="D32" s="58">
        <v>2552.7362243800003</v>
      </c>
      <c r="E32" s="65">
        <v>5681.96247239</v>
      </c>
      <c r="F32" s="44">
        <v>8584.09004439</v>
      </c>
      <c r="G32" s="44">
        <v>0</v>
      </c>
      <c r="H32" s="44">
        <v>0</v>
      </c>
      <c r="I32" s="44">
        <v>0</v>
      </c>
    </row>
    <row r="33" spans="1:9" ht="14.25">
      <c r="A33" s="43" t="str">
        <f>HLOOKUP(INDICE!$F$2,Nombres!$C$3:$D$636,54,FALSE)</f>
        <v>Financial assets at amortized cost</v>
      </c>
      <c r="B33" s="44">
        <v>27962.148812</v>
      </c>
      <c r="C33" s="44">
        <v>27467.525536999998</v>
      </c>
      <c r="D33" s="44">
        <v>28529.20180963</v>
      </c>
      <c r="E33" s="45">
        <v>30314.794124</v>
      </c>
      <c r="F33" s="44">
        <v>34731.94877</v>
      </c>
      <c r="G33" s="44">
        <v>0</v>
      </c>
      <c r="H33" s="44">
        <v>0</v>
      </c>
      <c r="I33" s="44">
        <v>0</v>
      </c>
    </row>
    <row r="34" spans="1:9" ht="14.25">
      <c r="A34" s="88" t="str">
        <f>HLOOKUP(INDICE!$F$2,Nombres!$C$3:$D$636,55,FALSE)</f>
        <v>    of which loans and advances to customers</v>
      </c>
      <c r="B34" s="44">
        <v>24462.093666000004</v>
      </c>
      <c r="C34" s="44">
        <v>24271.657212</v>
      </c>
      <c r="D34" s="44">
        <v>25017.218725630002</v>
      </c>
      <c r="E34" s="45">
        <v>26965.260049999997</v>
      </c>
      <c r="F34" s="44">
        <v>31494.501316</v>
      </c>
      <c r="G34" s="44">
        <v>0</v>
      </c>
      <c r="H34" s="44">
        <v>0</v>
      </c>
      <c r="I34" s="44">
        <v>0</v>
      </c>
    </row>
    <row r="35" spans="1:9" ht="14.25">
      <c r="A35" s="88"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44">
        <v>72.698882</v>
      </c>
      <c r="C36" s="44">
        <v>68.3416</v>
      </c>
      <c r="D36" s="44">
        <v>64.94780399</v>
      </c>
      <c r="E36" s="45">
        <v>69.841946</v>
      </c>
      <c r="F36" s="44">
        <v>79.43390499</v>
      </c>
      <c r="G36" s="44">
        <v>0</v>
      </c>
      <c r="H36" s="44">
        <v>0</v>
      </c>
      <c r="I36" s="44">
        <v>0</v>
      </c>
    </row>
    <row r="37" spans="1:9" ht="14.25">
      <c r="A37" s="88" t="str">
        <f>HLOOKUP(INDICE!$F$2,Nombres!$C$3:$D$636,57,FALSE)</f>
        <v>Other assets</v>
      </c>
      <c r="B37" s="58">
        <f>+B38-B36-B33-B32-B31-B35</f>
        <v>338.55237499998657</v>
      </c>
      <c r="C37" s="58">
        <f aca="true" t="shared" si="5" ref="C37:I37">+C38-C36-C33-C32-C31</f>
        <v>418.88084458999765</v>
      </c>
      <c r="D37" s="58">
        <f t="shared" si="5"/>
        <v>363.43964401000176</v>
      </c>
      <c r="E37" s="65">
        <f t="shared" si="5"/>
        <v>291.2442870000068</v>
      </c>
      <c r="F37" s="44">
        <f t="shared" si="5"/>
        <v>366.1890509899995</v>
      </c>
      <c r="G37" s="44">
        <f t="shared" si="5"/>
        <v>0</v>
      </c>
      <c r="H37" s="44">
        <f t="shared" si="5"/>
        <v>0</v>
      </c>
      <c r="I37" s="44">
        <f t="shared" si="5"/>
        <v>0</v>
      </c>
    </row>
    <row r="38" spans="1:9" ht="14.25">
      <c r="A38" s="91" t="str">
        <f>HLOOKUP(INDICE!$F$2,Nombres!$C$3:$D$636,58,FALSE)</f>
        <v>Total assets / Liabilities and equity</v>
      </c>
      <c r="B38" s="47">
        <v>36041.610455389986</v>
      </c>
      <c r="C38" s="47">
        <v>34412.217794979995</v>
      </c>
      <c r="D38" s="47">
        <v>35964.13767301</v>
      </c>
      <c r="E38" s="71">
        <v>40328.24071238001</v>
      </c>
      <c r="F38" s="47">
        <v>47593.66116637</v>
      </c>
      <c r="G38" s="47">
        <v>0</v>
      </c>
      <c r="H38" s="47">
        <v>0</v>
      </c>
      <c r="I38" s="47">
        <v>0</v>
      </c>
    </row>
    <row r="39" spans="1:9" ht="14.25">
      <c r="A39" s="88" t="str">
        <f>HLOOKUP(INDICE!$F$2,Nombres!$C$3:$D$636,59,FALSE)</f>
        <v>Financial liabilities held for trading and designated at fair value through profit or loss</v>
      </c>
      <c r="B39" s="58">
        <v>1508.9990369999998</v>
      </c>
      <c r="C39" s="58">
        <v>1803.7522860000001</v>
      </c>
      <c r="D39" s="58">
        <v>1904.733948</v>
      </c>
      <c r="E39" s="65">
        <v>5060.051628</v>
      </c>
      <c r="F39" s="44">
        <v>7913.3688489999995</v>
      </c>
      <c r="G39" s="44">
        <v>0</v>
      </c>
      <c r="H39" s="44">
        <v>0</v>
      </c>
      <c r="I39" s="44">
        <v>0</v>
      </c>
    </row>
    <row r="40" spans="1:9" ht="14.25">
      <c r="A40" s="88" t="str">
        <f>HLOOKUP(INDICE!$F$2,Nombres!$C$3:$D$636,60,FALSE)</f>
        <v>Deposits from central banks and credit institutions</v>
      </c>
      <c r="B40" s="58">
        <v>1552.9310349999998</v>
      </c>
      <c r="C40" s="58">
        <v>1478.405105</v>
      </c>
      <c r="D40" s="58">
        <v>1797.902211</v>
      </c>
      <c r="E40" s="65">
        <v>1709.0559929999997</v>
      </c>
      <c r="F40" s="44">
        <v>1842.218038</v>
      </c>
      <c r="G40" s="44">
        <v>0</v>
      </c>
      <c r="H40" s="44">
        <v>0</v>
      </c>
      <c r="I40" s="44">
        <v>0</v>
      </c>
    </row>
    <row r="41" spans="1:9" ht="15.75" customHeight="1">
      <c r="A41" s="88" t="str">
        <f>HLOOKUP(INDICE!$F$2,Nombres!$C$3:$D$636,61,FALSE)</f>
        <v>Deposits from customers</v>
      </c>
      <c r="B41" s="58">
        <v>6764.373215</v>
      </c>
      <c r="C41" s="58">
        <v>6873.259162</v>
      </c>
      <c r="D41" s="58">
        <v>7341.137872</v>
      </c>
      <c r="E41" s="65">
        <v>6265.901332</v>
      </c>
      <c r="F41" s="44">
        <v>6649.53784499</v>
      </c>
      <c r="G41" s="44">
        <v>0</v>
      </c>
      <c r="H41" s="44">
        <v>0</v>
      </c>
      <c r="I41" s="44">
        <v>0</v>
      </c>
    </row>
    <row r="42" spans="1:9" ht="14.25">
      <c r="A42" s="43" t="str">
        <f>HLOOKUP(INDICE!$F$2,Nombres!$C$3:$D$636,62,FALSE)</f>
        <v>Debt certificates</v>
      </c>
      <c r="B42" s="44">
        <v>1127.41828218</v>
      </c>
      <c r="C42" s="44">
        <v>1325.5407824000001</v>
      </c>
      <c r="D42" s="44">
        <v>1248.7509037999998</v>
      </c>
      <c r="E42" s="45">
        <v>1165.86687295</v>
      </c>
      <c r="F42" s="44">
        <v>1348.27974588</v>
      </c>
      <c r="G42" s="44">
        <v>0</v>
      </c>
      <c r="H42" s="44">
        <v>0</v>
      </c>
      <c r="I42" s="44">
        <v>0</v>
      </c>
    </row>
    <row r="43" spans="1:9" ht="14.25">
      <c r="A43" s="88" t="str">
        <f>HLOOKUP(INDICE!$F$2,Nombres!$C$3:$D$636,122,FALSE)</f>
        <v>Inter-area positions</v>
      </c>
      <c r="B43" s="44">
        <v>21514.959469459995</v>
      </c>
      <c r="C43" s="44">
        <v>18616.68675053999</v>
      </c>
      <c r="D43" s="44">
        <v>19531.007104660002</v>
      </c>
      <c r="E43" s="45">
        <v>22085.139969500007</v>
      </c>
      <c r="F43" s="44">
        <v>25226.0188573</v>
      </c>
      <c r="G43" s="44">
        <v>0</v>
      </c>
      <c r="H43" s="44">
        <v>0</v>
      </c>
      <c r="I43" s="44">
        <v>0</v>
      </c>
    </row>
    <row r="44" spans="1:9" ht="14.25">
      <c r="A44" s="43" t="str">
        <f>HLOOKUP(INDICE!$F$2,Nombres!$C$3:$D$636,63,FALSE)</f>
        <v>Other liabilities</v>
      </c>
      <c r="B44" s="58">
        <f aca="true" t="shared" si="6" ref="B44:I44">+B38-B39-B40-B41-B42-B45-B43</f>
        <v>574.1000383299906</v>
      </c>
      <c r="C44" s="58">
        <f t="shared" si="6"/>
        <v>865.5943011100026</v>
      </c>
      <c r="D44" s="58">
        <f t="shared" si="6"/>
        <v>833.5067807000014</v>
      </c>
      <c r="E44" s="65">
        <f t="shared" si="6"/>
        <v>754.9956385699988</v>
      </c>
      <c r="F44" s="58">
        <f t="shared" si="6"/>
        <v>897.6733432100009</v>
      </c>
      <c r="G44" s="58">
        <f t="shared" si="6"/>
        <v>0</v>
      </c>
      <c r="H44" s="58">
        <f t="shared" si="6"/>
        <v>0</v>
      </c>
      <c r="I44" s="58">
        <f t="shared" si="6"/>
        <v>0</v>
      </c>
    </row>
    <row r="45" spans="1:9" ht="14.25">
      <c r="A45" s="43" t="str">
        <f>HLOOKUP(INDICE!$F$2,Nombres!$C$3:$D$636,282,FALSE)</f>
        <v>Regulatory capital allocated</v>
      </c>
      <c r="B45" s="58">
        <v>2998.8293784200005</v>
      </c>
      <c r="C45" s="58">
        <v>3448.97940793</v>
      </c>
      <c r="D45" s="58">
        <v>3307.0988528499997</v>
      </c>
      <c r="E45" s="65">
        <v>3287.2292783599996</v>
      </c>
      <c r="F45" s="58">
        <v>3716.564487989999</v>
      </c>
      <c r="G45" s="58">
        <v>0</v>
      </c>
      <c r="H45" s="58">
        <v>0</v>
      </c>
      <c r="I45" s="58">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93" t="str">
        <f>HLOOKUP(INDICE!$F$2,Nombres!$C$3:$D$636,65,FALSE)</f>
        <v>Relevant business indicators</v>
      </c>
      <c r="B48" s="34"/>
      <c r="C48" s="34"/>
      <c r="D48" s="34"/>
      <c r="E48" s="34"/>
      <c r="F48" s="69"/>
      <c r="G48" s="69"/>
      <c r="H48" s="69"/>
      <c r="I48" s="69"/>
    </row>
    <row r="49" spans="1:9" ht="14.25">
      <c r="A49" s="84" t="str">
        <f>HLOOKUP(INDICE!$F$2,Nombres!$C$3:$D$636,32,FALSE)</f>
        <v>(Million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88" t="str">
        <f>HLOOKUP(INDICE!$F$2,Nombres!$C$3:$D$636,66,FALSE)</f>
        <v>Loans and advances to customers (gross) (*)</v>
      </c>
      <c r="B51" s="44">
        <v>24775.911675</v>
      </c>
      <c r="C51" s="44">
        <v>24568.571178</v>
      </c>
      <c r="D51" s="44">
        <v>25308.56451763</v>
      </c>
      <c r="E51" s="45">
        <v>27250.371290999996</v>
      </c>
      <c r="F51" s="44">
        <v>31768.864961999996</v>
      </c>
      <c r="G51" s="44">
        <v>0</v>
      </c>
      <c r="H51" s="44">
        <v>0</v>
      </c>
      <c r="I51" s="44">
        <v>0</v>
      </c>
    </row>
    <row r="52" spans="1:9" ht="14.25">
      <c r="A52" s="88" t="str">
        <f>HLOOKUP(INDICE!$F$2,Nombres!$C$3:$D$636,67,FALSE)</f>
        <v>Customer deposits under management (*)</v>
      </c>
      <c r="B52" s="44">
        <v>6764.373215</v>
      </c>
      <c r="C52" s="44">
        <v>6873.259162</v>
      </c>
      <c r="D52" s="44">
        <v>7341.137872</v>
      </c>
      <c r="E52" s="45">
        <v>6265.901332</v>
      </c>
      <c r="F52" s="44">
        <v>6649.53784499</v>
      </c>
      <c r="G52" s="44">
        <v>0</v>
      </c>
      <c r="H52" s="44">
        <v>0</v>
      </c>
      <c r="I52" s="44">
        <v>0</v>
      </c>
    </row>
    <row r="53" spans="1:9" ht="14.25">
      <c r="A53" s="43" t="str">
        <f>HLOOKUP(INDICE!$F$2,Nombres!$C$3:$D$636,68,FALSE)</f>
        <v>Investment funds and managed portfolios</v>
      </c>
      <c r="B53" s="44">
        <v>0</v>
      </c>
      <c r="C53" s="44">
        <v>0</v>
      </c>
      <c r="D53" s="44">
        <v>0</v>
      </c>
      <c r="E53" s="45">
        <v>0</v>
      </c>
      <c r="F53" s="44">
        <v>0</v>
      </c>
      <c r="G53" s="44">
        <v>0</v>
      </c>
      <c r="H53" s="44">
        <v>0</v>
      </c>
      <c r="I53" s="44">
        <v>0</v>
      </c>
    </row>
    <row r="54" spans="1:9" ht="14.25">
      <c r="A54" s="88" t="str">
        <f>HLOOKUP(INDICE!$F$2,Nombres!$C$3:$D$636,69,FALSE)</f>
        <v>Pension funds</v>
      </c>
      <c r="B54" s="44">
        <v>529.59826012</v>
      </c>
      <c r="C54" s="44">
        <v>549.65363599</v>
      </c>
      <c r="D54" s="44">
        <v>566.58063193</v>
      </c>
      <c r="E54" s="45">
        <v>597.24904247</v>
      </c>
      <c r="F54" s="44">
        <v>580.94406159</v>
      </c>
      <c r="G54" s="44">
        <v>0</v>
      </c>
      <c r="H54" s="44">
        <v>0</v>
      </c>
      <c r="I54" s="44">
        <v>0</v>
      </c>
    </row>
    <row r="55" spans="1:9" ht="14.25">
      <c r="A55" s="88" t="str">
        <f>HLOOKUP(INDICE!$F$2,Nombres!$C$3:$D$636,70,FALSE)</f>
        <v>Other off balance-sheet funds</v>
      </c>
      <c r="B55" s="44">
        <v>0</v>
      </c>
      <c r="C55" s="44">
        <v>0</v>
      </c>
      <c r="D55" s="44">
        <v>0</v>
      </c>
      <c r="E55" s="45">
        <v>0</v>
      </c>
      <c r="F55" s="44">
        <v>0</v>
      </c>
      <c r="G55" s="44">
        <v>0</v>
      </c>
      <c r="H55" s="44">
        <v>0</v>
      </c>
      <c r="I55" s="44">
        <v>0</v>
      </c>
    </row>
    <row r="56" spans="1:9" ht="14.25">
      <c r="A56" s="92" t="str">
        <f>HLOOKUP(INDICE!$F$2,Nombres!$C$3:$D$636,71,FALSE)</f>
        <v>(*) Excluding repos. </v>
      </c>
      <c r="B56" s="58"/>
      <c r="C56" s="58"/>
      <c r="D56" s="58"/>
      <c r="E56" s="58"/>
      <c r="F56" s="44"/>
      <c r="G56" s="44"/>
      <c r="H56" s="44"/>
      <c r="I56" s="44"/>
    </row>
    <row r="57" spans="1:9" ht="14.25">
      <c r="A57" s="92">
        <f>HLOOKUP(INDICE!$F$2,Nombres!$C$3:$D$636,72,FALSE)</f>
        <v>0</v>
      </c>
      <c r="B57" s="30"/>
      <c r="C57" s="30"/>
      <c r="D57" s="30"/>
      <c r="E57" s="30"/>
      <c r="F57" s="70"/>
      <c r="G57" s="70"/>
      <c r="H57" s="70"/>
      <c r="I57" s="70"/>
    </row>
    <row r="58" spans="1:9" ht="14.25">
      <c r="A58" s="62"/>
      <c r="B58" s="30"/>
      <c r="C58" s="30"/>
      <c r="D58" s="30"/>
      <c r="E58" s="30"/>
      <c r="F58" s="70"/>
      <c r="G58" s="70"/>
      <c r="H58" s="70"/>
      <c r="I58" s="70"/>
    </row>
    <row r="59" spans="1:9" ht="16.5">
      <c r="A59" s="93" t="str">
        <f>HLOOKUP(INDICE!$F$2,Nombres!$C$3:$D$636,31,FALSE)</f>
        <v>Income statement  </v>
      </c>
      <c r="B59" s="34"/>
      <c r="C59" s="34"/>
      <c r="D59" s="34"/>
      <c r="E59" s="34"/>
      <c r="F59" s="69"/>
      <c r="G59" s="69"/>
      <c r="H59" s="69"/>
      <c r="I59" s="69"/>
    </row>
    <row r="60" spans="1:9" ht="14.25">
      <c r="A60" s="84" t="str">
        <f>HLOOKUP(INDICE!$F$2,Nombres!$C$3:$D$636,73,FALSE)</f>
        <v>(Constant million euros)    </v>
      </c>
      <c r="B60" s="30"/>
      <c r="C60" s="36"/>
      <c r="D60" s="36"/>
      <c r="E60" s="36"/>
      <c r="F60" s="70"/>
      <c r="G60" s="70"/>
      <c r="H60" s="70"/>
      <c r="I60" s="7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85" t="str">
        <f aca="true" t="shared" si="8" ref="B63:I63">+B$7</f>
        <v>1Q</v>
      </c>
      <c r="C63" s="85" t="str">
        <f t="shared" si="8"/>
        <v>2Q</v>
      </c>
      <c r="D63" s="85" t="str">
        <f t="shared" si="8"/>
        <v>3Q</v>
      </c>
      <c r="E63" s="86" t="str">
        <f t="shared" si="8"/>
        <v>4Q</v>
      </c>
      <c r="F63" s="85" t="str">
        <f t="shared" si="8"/>
        <v>1Q</v>
      </c>
      <c r="G63" s="85" t="str">
        <f t="shared" si="8"/>
        <v>2Q</v>
      </c>
      <c r="H63" s="85" t="str">
        <f t="shared" si="8"/>
        <v>3Q</v>
      </c>
      <c r="I63" s="85" t="str">
        <f t="shared" si="8"/>
        <v>4Q</v>
      </c>
    </row>
    <row r="64" spans="1:9" ht="14.25">
      <c r="A64" s="41" t="str">
        <f>HLOOKUP(INDICE!$F$2,Nombres!$C$3:$D$636,33,FALSE)</f>
        <v>Net interest income</v>
      </c>
      <c r="B64" s="41">
        <v>73.96642813723028</v>
      </c>
      <c r="C64" s="41">
        <v>69.37898085647612</v>
      </c>
      <c r="D64" s="41">
        <v>69.77010727377538</v>
      </c>
      <c r="E64" s="42">
        <v>71.34930785084285</v>
      </c>
      <c r="F64" s="50">
        <v>75.16487686</v>
      </c>
      <c r="G64" s="50">
        <v>0</v>
      </c>
      <c r="H64" s="50">
        <v>0</v>
      </c>
      <c r="I64" s="50">
        <v>0</v>
      </c>
    </row>
    <row r="65" spans="1:9" ht="14.25">
      <c r="A65" s="88" t="str">
        <f>HLOOKUP(INDICE!$F$2,Nombres!$C$3:$D$636,34,FALSE)</f>
        <v>Net fees and commissions</v>
      </c>
      <c r="B65" s="44">
        <v>73.85448414242998</v>
      </c>
      <c r="C65" s="44">
        <v>63.41799958162339</v>
      </c>
      <c r="D65" s="44">
        <v>52.3925913939418</v>
      </c>
      <c r="E65" s="45">
        <v>57.375657661258906</v>
      </c>
      <c r="F65" s="44">
        <v>56.092037250000004</v>
      </c>
      <c r="G65" s="44">
        <v>0</v>
      </c>
      <c r="H65" s="44">
        <v>0</v>
      </c>
      <c r="I65" s="44">
        <v>0</v>
      </c>
    </row>
    <row r="66" spans="1:9" ht="14.25">
      <c r="A66" s="88" t="str">
        <f>HLOOKUP(INDICE!$F$2,Nombres!$C$3:$D$636,35,FALSE)</f>
        <v>Net trading income</v>
      </c>
      <c r="B66" s="44">
        <v>80.12633496779453</v>
      </c>
      <c r="C66" s="44">
        <v>56.281086951063756</v>
      </c>
      <c r="D66" s="44">
        <v>63.03712287622814</v>
      </c>
      <c r="E66" s="45">
        <v>38.622883671198515</v>
      </c>
      <c r="F66" s="44">
        <v>68.10386955999999</v>
      </c>
      <c r="G66" s="44">
        <v>0</v>
      </c>
      <c r="H66" s="44">
        <v>0</v>
      </c>
      <c r="I66" s="44">
        <v>0</v>
      </c>
    </row>
    <row r="67" spans="1:9" ht="14.25">
      <c r="A67" s="88" t="str">
        <f>HLOOKUP(INDICE!$F$2,Nombres!$C$3:$D$636,36,FALSE)</f>
        <v>Other operating income and expenses</v>
      </c>
      <c r="B67" s="44">
        <v>9.000443455275063</v>
      </c>
      <c r="C67" s="44">
        <v>8.129294539889205</v>
      </c>
      <c r="D67" s="44">
        <v>-2.8277542164292893</v>
      </c>
      <c r="E67" s="45">
        <v>1.487971404487411</v>
      </c>
      <c r="F67" s="44">
        <v>2.55574265</v>
      </c>
      <c r="G67" s="44">
        <v>0</v>
      </c>
      <c r="H67" s="44">
        <v>0</v>
      </c>
      <c r="I67" s="44">
        <v>0</v>
      </c>
    </row>
    <row r="68" spans="1:9" ht="14.25">
      <c r="A68" s="41" t="str">
        <f>HLOOKUP(INDICE!$F$2,Nombres!$C$3:$D$636,37,FALSE)</f>
        <v>Gross income</v>
      </c>
      <c r="B68" s="41">
        <f aca="true" t="shared" si="9" ref="B68:I68">+SUM(B64:B67)</f>
        <v>236.9476907027299</v>
      </c>
      <c r="C68" s="41">
        <f t="shared" si="9"/>
        <v>197.20736192905247</v>
      </c>
      <c r="D68" s="41">
        <f t="shared" si="9"/>
        <v>182.37206732751602</v>
      </c>
      <c r="E68" s="42">
        <f t="shared" si="9"/>
        <v>168.83582058778768</v>
      </c>
      <c r="F68" s="50">
        <f t="shared" si="9"/>
        <v>201.91652632000003</v>
      </c>
      <c r="G68" s="50">
        <f t="shared" si="9"/>
        <v>0</v>
      </c>
      <c r="H68" s="50">
        <f t="shared" si="9"/>
        <v>0</v>
      </c>
      <c r="I68" s="50">
        <f t="shared" si="9"/>
        <v>0</v>
      </c>
    </row>
    <row r="69" spans="1:9" ht="14.25">
      <c r="A69" s="88" t="str">
        <f>HLOOKUP(INDICE!$F$2,Nombres!$C$3:$D$636,38,FALSE)</f>
        <v>Operating expenses</v>
      </c>
      <c r="B69" s="44">
        <v>-119.16344339507114</v>
      </c>
      <c r="C69" s="44">
        <v>-116.28673032365481</v>
      </c>
      <c r="D69" s="44">
        <v>-99.23323541690836</v>
      </c>
      <c r="E69" s="45">
        <v>-125.31609796021365</v>
      </c>
      <c r="F69" s="44">
        <v>-114.80456536999998</v>
      </c>
      <c r="G69" s="44">
        <v>0</v>
      </c>
      <c r="H69" s="44">
        <v>0</v>
      </c>
      <c r="I69" s="44">
        <v>0</v>
      </c>
    </row>
    <row r="70" spans="1:9" ht="14.25">
      <c r="A70" s="88" t="str">
        <f>HLOOKUP(INDICE!$F$2,Nombres!$C$3:$D$636,39,FALSE)</f>
        <v>  Administration expenses</v>
      </c>
      <c r="B70" s="44">
        <v>-114.28339363356599</v>
      </c>
      <c r="C70" s="44">
        <v>-111.28286763225655</v>
      </c>
      <c r="D70" s="44">
        <v>-93.34259083159047</v>
      </c>
      <c r="E70" s="45">
        <v>-120.6504160897347</v>
      </c>
      <c r="F70" s="44">
        <v>-109.53490037999998</v>
      </c>
      <c r="G70" s="44">
        <v>0</v>
      </c>
      <c r="H70" s="44">
        <v>0</v>
      </c>
      <c r="I70" s="44">
        <v>0</v>
      </c>
    </row>
    <row r="71" spans="1:9" ht="14.25">
      <c r="A71" s="89" t="str">
        <f>HLOOKUP(INDICE!$F$2,Nombres!$C$3:$D$636,40,FALSE)</f>
        <v>  Personnel expenses</v>
      </c>
      <c r="B71" s="44">
        <v>-66.71623041756416</v>
      </c>
      <c r="C71" s="44">
        <v>-51.34474038114007</v>
      </c>
      <c r="D71" s="44">
        <v>-51.73195588650615</v>
      </c>
      <c r="E71" s="45">
        <v>-68.67652147750505</v>
      </c>
      <c r="F71" s="44">
        <v>-60.28289808</v>
      </c>
      <c r="G71" s="44">
        <v>0</v>
      </c>
      <c r="H71" s="44">
        <v>0</v>
      </c>
      <c r="I71" s="44">
        <v>0</v>
      </c>
    </row>
    <row r="72" spans="1:9" ht="14.25">
      <c r="A72" s="89" t="str">
        <f>HLOOKUP(INDICE!$F$2,Nombres!$C$3:$D$636,41,FALSE)</f>
        <v>  General and administrative expenses</v>
      </c>
      <c r="B72" s="44">
        <v>-47.56716321600183</v>
      </c>
      <c r="C72" s="44">
        <v>-59.93812725111649</v>
      </c>
      <c r="D72" s="44">
        <v>-41.61063494508433</v>
      </c>
      <c r="E72" s="45">
        <v>-51.97389461222966</v>
      </c>
      <c r="F72" s="44">
        <v>-49.252002299999994</v>
      </c>
      <c r="G72" s="44">
        <v>0</v>
      </c>
      <c r="H72" s="44">
        <v>0</v>
      </c>
      <c r="I72" s="44">
        <v>0</v>
      </c>
    </row>
    <row r="73" spans="1:9" ht="14.25">
      <c r="A73" s="88" t="str">
        <f>HLOOKUP(INDICE!$F$2,Nombres!$C$3:$D$636,42,FALSE)</f>
        <v>  Depreciation</v>
      </c>
      <c r="B73" s="44">
        <v>-4.880049761505139</v>
      </c>
      <c r="C73" s="44">
        <v>-5.003862691398234</v>
      </c>
      <c r="D73" s="44">
        <v>-5.890644585317877</v>
      </c>
      <c r="E73" s="45">
        <v>-4.665681870478961</v>
      </c>
      <c r="F73" s="44">
        <v>-5.26966499</v>
      </c>
      <c r="G73" s="44">
        <v>0</v>
      </c>
      <c r="H73" s="44">
        <v>0</v>
      </c>
      <c r="I73" s="44">
        <v>0</v>
      </c>
    </row>
    <row r="74" spans="1:9" ht="14.25">
      <c r="A74" s="41" t="str">
        <f>HLOOKUP(INDICE!$F$2,Nombres!$C$3:$D$636,43,FALSE)</f>
        <v>Operating income</v>
      </c>
      <c r="B74" s="41">
        <f aca="true" t="shared" si="10" ref="B74:I74">+B68+B69</f>
        <v>117.78424730765875</v>
      </c>
      <c r="C74" s="41">
        <f t="shared" si="10"/>
        <v>80.92063160539766</v>
      </c>
      <c r="D74" s="41">
        <f t="shared" si="10"/>
        <v>83.13883191060766</v>
      </c>
      <c r="E74" s="42">
        <f t="shared" si="10"/>
        <v>43.519722627574026</v>
      </c>
      <c r="F74" s="50">
        <f t="shared" si="10"/>
        <v>87.11196095000005</v>
      </c>
      <c r="G74" s="50">
        <f t="shared" si="10"/>
        <v>0</v>
      </c>
      <c r="H74" s="50">
        <f t="shared" si="10"/>
        <v>0</v>
      </c>
      <c r="I74" s="50">
        <f t="shared" si="10"/>
        <v>0</v>
      </c>
    </row>
    <row r="75" spans="1:9" ht="14.25">
      <c r="A75" s="88" t="str">
        <f>HLOOKUP(INDICE!$F$2,Nombres!$C$3:$D$636,44,FALSE)</f>
        <v>Impaiment on financial assets not measured at fair value through profit or loss</v>
      </c>
      <c r="B75" s="44">
        <v>2.3504862847434946</v>
      </c>
      <c r="C75" s="44">
        <v>14.229931085353583</v>
      </c>
      <c r="D75" s="44">
        <v>3.644840546388428</v>
      </c>
      <c r="E75" s="45">
        <v>6.928378017680316</v>
      </c>
      <c r="F75" s="44">
        <v>7.3818747799999995</v>
      </c>
      <c r="G75" s="44">
        <v>0</v>
      </c>
      <c r="H75" s="44">
        <v>0</v>
      </c>
      <c r="I75" s="44">
        <v>0</v>
      </c>
    </row>
    <row r="76" spans="1:9" ht="14.25">
      <c r="A76" s="88" t="str">
        <f>HLOOKUP(INDICE!$F$2,Nombres!$C$3:$D$636,45,FALSE)</f>
        <v>Provisions or reversal of provisions and other results</v>
      </c>
      <c r="B76" s="44">
        <v>-12.74279996756993</v>
      </c>
      <c r="C76" s="44">
        <v>8.499231195026564</v>
      </c>
      <c r="D76" s="44">
        <v>0.4195957502019945</v>
      </c>
      <c r="E76" s="45">
        <v>-0.04915807354302315</v>
      </c>
      <c r="F76" s="44">
        <v>9.783666</v>
      </c>
      <c r="G76" s="44">
        <v>0</v>
      </c>
      <c r="H76" s="44">
        <v>0</v>
      </c>
      <c r="I76" s="44">
        <v>0</v>
      </c>
    </row>
    <row r="77" spans="1:9" ht="14.25">
      <c r="A77" s="90" t="str">
        <f>HLOOKUP(INDICE!$F$2,Nombres!$C$3:$D$636,46,FALSE)</f>
        <v>Profit/(loss) before tax</v>
      </c>
      <c r="B77" s="41">
        <f aca="true" t="shared" si="11" ref="B77:I77">+B74+B75+B76</f>
        <v>107.39193362483232</v>
      </c>
      <c r="C77" s="41">
        <f t="shared" si="11"/>
        <v>103.64979388577781</v>
      </c>
      <c r="D77" s="41">
        <f t="shared" si="11"/>
        <v>87.20326820719808</v>
      </c>
      <c r="E77" s="42">
        <f t="shared" si="11"/>
        <v>50.398942571711316</v>
      </c>
      <c r="F77" s="50">
        <f t="shared" si="11"/>
        <v>104.27750173000005</v>
      </c>
      <c r="G77" s="50">
        <f t="shared" si="11"/>
        <v>0</v>
      </c>
      <c r="H77" s="50">
        <f t="shared" si="11"/>
        <v>0</v>
      </c>
      <c r="I77" s="50">
        <f t="shared" si="11"/>
        <v>0</v>
      </c>
    </row>
    <row r="78" spans="1:9" ht="14.25">
      <c r="A78" s="43" t="str">
        <f>HLOOKUP(INDICE!$F$2,Nombres!$C$3:$D$636,47,FALSE)</f>
        <v>Income tax</v>
      </c>
      <c r="B78" s="44">
        <v>-21.524178222797637</v>
      </c>
      <c r="C78" s="44">
        <v>-25.37441008076129</v>
      </c>
      <c r="D78" s="44">
        <v>-18.709208929391664</v>
      </c>
      <c r="E78" s="45">
        <v>-4.626880338451555</v>
      </c>
      <c r="F78" s="44">
        <v>-23.03511865</v>
      </c>
      <c r="G78" s="44">
        <v>0</v>
      </c>
      <c r="H78" s="44">
        <v>0</v>
      </c>
      <c r="I78" s="44">
        <v>0</v>
      </c>
    </row>
    <row r="79" spans="1:9" ht="14.25">
      <c r="A79" s="90" t="str">
        <f>HLOOKUP(INDICE!$F$2,Nombres!$C$3:$D$636,48,FALSE)</f>
        <v>Profit/(loss) for the year</v>
      </c>
      <c r="B79" s="41">
        <f aca="true" t="shared" si="12" ref="B79:I79">+B77+B78</f>
        <v>85.86775540203467</v>
      </c>
      <c r="C79" s="41">
        <f t="shared" si="12"/>
        <v>78.27538380501652</v>
      </c>
      <c r="D79" s="41">
        <f t="shared" si="12"/>
        <v>68.49405927780641</v>
      </c>
      <c r="E79" s="42">
        <f t="shared" si="12"/>
        <v>45.77206223325976</v>
      </c>
      <c r="F79" s="50">
        <f t="shared" si="12"/>
        <v>81.24238308000005</v>
      </c>
      <c r="G79" s="50">
        <f t="shared" si="12"/>
        <v>0</v>
      </c>
      <c r="H79" s="50">
        <f t="shared" si="12"/>
        <v>0</v>
      </c>
      <c r="I79" s="50">
        <f t="shared" si="12"/>
        <v>0</v>
      </c>
    </row>
    <row r="80" spans="1:9" ht="14.25">
      <c r="A80" s="88" t="str">
        <f>HLOOKUP(INDICE!$F$2,Nombres!$C$3:$D$636,49,FALSE)</f>
        <v>Non-controlling interests</v>
      </c>
      <c r="B80" s="44">
        <v>0</v>
      </c>
      <c r="C80" s="44">
        <v>0</v>
      </c>
      <c r="D80" s="44">
        <v>0</v>
      </c>
      <c r="E80" s="45">
        <v>0</v>
      </c>
      <c r="F80" s="44">
        <v>0</v>
      </c>
      <c r="G80" s="44">
        <v>0</v>
      </c>
      <c r="H80" s="44">
        <v>0</v>
      </c>
      <c r="I80" s="44">
        <v>0</v>
      </c>
    </row>
    <row r="81" spans="1:9" ht="14.25">
      <c r="A81" s="91" t="str">
        <f>HLOOKUP(INDICE!$F$2,Nombres!$C$3:$D$636,50,FALSE)</f>
        <v>Net attributable profit</v>
      </c>
      <c r="B81" s="47">
        <f aca="true" t="shared" si="13" ref="B81:I81">+B79+B80</f>
        <v>85.86775540203467</v>
      </c>
      <c r="C81" s="47">
        <f t="shared" si="13"/>
        <v>78.27538380501652</v>
      </c>
      <c r="D81" s="47">
        <f t="shared" si="13"/>
        <v>68.49405927780641</v>
      </c>
      <c r="E81" s="47">
        <f t="shared" si="13"/>
        <v>45.77206223325976</v>
      </c>
      <c r="F81" s="51">
        <f t="shared" si="13"/>
        <v>81.24238308000005</v>
      </c>
      <c r="G81" s="51">
        <f t="shared" si="13"/>
        <v>0</v>
      </c>
      <c r="H81" s="51">
        <f t="shared" si="13"/>
        <v>0</v>
      </c>
      <c r="I81" s="51">
        <f t="shared" si="13"/>
        <v>0</v>
      </c>
    </row>
    <row r="82" spans="1:9" ht="14.25">
      <c r="A82" s="9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93" t="str">
        <f>HLOOKUP(INDICE!$F$2,Nombres!$C$3:$D$636,51,FALSE)</f>
        <v>Balance sheets</v>
      </c>
      <c r="B84" s="34"/>
      <c r="C84" s="34"/>
      <c r="D84" s="34"/>
      <c r="E84" s="34"/>
      <c r="F84" s="69"/>
      <c r="G84" s="69"/>
      <c r="H84" s="69"/>
      <c r="I84" s="69"/>
    </row>
    <row r="85" spans="1:9" ht="14.25">
      <c r="A85" s="84"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88" t="str">
        <f>HLOOKUP(INDICE!$F$2,Nombres!$C$3:$D$636,52,FALSE)</f>
        <v>Cash, cash balances at central banks and other demand deposits</v>
      </c>
      <c r="B87" s="44">
        <v>5814.532449948531</v>
      </c>
      <c r="C87" s="44">
        <v>4284.9738357369715</v>
      </c>
      <c r="D87" s="44">
        <v>4640.5556232854315</v>
      </c>
      <c r="E87" s="45">
        <v>4046.5070021268675</v>
      </c>
      <c r="F87" s="44">
        <v>3831.999396</v>
      </c>
      <c r="G87" s="44">
        <v>0</v>
      </c>
      <c r="H87" s="44">
        <v>0</v>
      </c>
      <c r="I87" s="44">
        <v>0</v>
      </c>
    </row>
    <row r="88" spans="1:9" ht="14.25">
      <c r="A88" s="88" t="str">
        <f>HLOOKUP(INDICE!$F$2,Nombres!$C$3:$D$636,53,FALSE)</f>
        <v>Financial assets designated at fair value </v>
      </c>
      <c r="B88" s="58">
        <v>2252.9623130707564</v>
      </c>
      <c r="C88" s="58">
        <v>2582.1853552398684</v>
      </c>
      <c r="D88" s="58">
        <v>2642.6159432835098</v>
      </c>
      <c r="E88" s="65">
        <v>5787.153856099211</v>
      </c>
      <c r="F88" s="44">
        <v>8584.09004439</v>
      </c>
      <c r="G88" s="44">
        <v>0</v>
      </c>
      <c r="H88" s="44">
        <v>0</v>
      </c>
      <c r="I88" s="44">
        <v>0</v>
      </c>
    </row>
    <row r="89" spans="1:9" ht="14.25">
      <c r="A89" s="43" t="str">
        <f>HLOOKUP(INDICE!$F$2,Nombres!$C$3:$D$636,54,FALSE)</f>
        <v>Financial assets at amortized cost</v>
      </c>
      <c r="B89" s="44">
        <v>28307.307404526982</v>
      </c>
      <c r="C89" s="44">
        <v>27859.902993133466</v>
      </c>
      <c r="D89" s="44">
        <v>28774.926287350172</v>
      </c>
      <c r="E89" s="45">
        <v>30455.259738620574</v>
      </c>
      <c r="F89" s="44">
        <v>34731.94877</v>
      </c>
      <c r="G89" s="44">
        <v>0</v>
      </c>
      <c r="H89" s="44">
        <v>0</v>
      </c>
      <c r="I89" s="44">
        <v>0</v>
      </c>
    </row>
    <row r="90" spans="1:9" ht="14.25">
      <c r="A90" s="88" t="str">
        <f>HLOOKUP(INDICE!$F$2,Nombres!$C$3:$D$636,55,FALSE)</f>
        <v>    of which loans and advances to customers</v>
      </c>
      <c r="B90" s="44">
        <v>24756.08332579564</v>
      </c>
      <c r="C90" s="44">
        <v>24613.026996873155</v>
      </c>
      <c r="D90" s="44">
        <v>25219.329848509387</v>
      </c>
      <c r="E90" s="45">
        <v>27097.107218278034</v>
      </c>
      <c r="F90" s="44">
        <v>31494.501316</v>
      </c>
      <c r="G90" s="44">
        <v>0</v>
      </c>
      <c r="H90" s="44">
        <v>0</v>
      </c>
      <c r="I90" s="44">
        <v>0</v>
      </c>
    </row>
    <row r="91" spans="1:9" ht="14.25">
      <c r="A91" s="88"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73.54226390303467</v>
      </c>
      <c r="C92" s="44">
        <v>69.21405885452171</v>
      </c>
      <c r="D92" s="44">
        <v>65.4832399993208</v>
      </c>
      <c r="E92" s="45">
        <v>70.02668120665305</v>
      </c>
      <c r="F92" s="44">
        <v>79.43390499</v>
      </c>
      <c r="G92" s="44">
        <v>0</v>
      </c>
      <c r="H92" s="44">
        <v>0</v>
      </c>
      <c r="I92" s="44">
        <v>0</v>
      </c>
    </row>
    <row r="93" spans="1:9" ht="14.25">
      <c r="A93" s="88" t="str">
        <f>HLOOKUP(INDICE!$F$2,Nombres!$C$3:$D$636,57,FALSE)</f>
        <v>Other assets</v>
      </c>
      <c r="B93" s="58">
        <f>+B94-B92-B89-B88-B87-B91</f>
        <v>346.8783753813723</v>
      </c>
      <c r="C93" s="58">
        <f aca="true" t="shared" si="15" ref="C93:I93">+C94-C92-C89-C88-C87</f>
        <v>430.97640141707234</v>
      </c>
      <c r="D93" s="58">
        <f t="shared" si="15"/>
        <v>371.10974522467495</v>
      </c>
      <c r="E93" s="65">
        <f t="shared" si="15"/>
        <v>293.43502599933254</v>
      </c>
      <c r="F93" s="44">
        <f t="shared" si="15"/>
        <v>366.1890509899995</v>
      </c>
      <c r="G93" s="44">
        <f t="shared" si="15"/>
        <v>0</v>
      </c>
      <c r="H93" s="44">
        <f t="shared" si="15"/>
        <v>0</v>
      </c>
      <c r="I93" s="44">
        <f t="shared" si="15"/>
        <v>0</v>
      </c>
    </row>
    <row r="94" spans="1:9" ht="14.25">
      <c r="A94" s="91" t="str">
        <f>HLOOKUP(INDICE!$F$2,Nombres!$C$3:$D$636,58,FALSE)</f>
        <v>Total assets / Liabilities and equity</v>
      </c>
      <c r="B94" s="47">
        <v>36795.22280683068</v>
      </c>
      <c r="C94" s="47">
        <v>35227.2526443819</v>
      </c>
      <c r="D94" s="47">
        <v>36494.690839143106</v>
      </c>
      <c r="E94" s="71">
        <v>40652.38230405264</v>
      </c>
      <c r="F94" s="51">
        <v>47593.66116637</v>
      </c>
      <c r="G94" s="51">
        <v>0</v>
      </c>
      <c r="H94" s="51">
        <v>0</v>
      </c>
      <c r="I94" s="51">
        <v>0</v>
      </c>
    </row>
    <row r="95" spans="1:9" ht="14.25">
      <c r="A95" s="88" t="str">
        <f>HLOOKUP(INDICE!$F$2,Nombres!$C$3:$D$636,59,FALSE)</f>
        <v>Financial liabilities held for trading and designated at fair value through profit or loss</v>
      </c>
      <c r="B95" s="58">
        <v>1592.1076427749244</v>
      </c>
      <c r="C95" s="58">
        <v>1927.951313343594</v>
      </c>
      <c r="D95" s="58">
        <v>1985.42563718126</v>
      </c>
      <c r="E95" s="65">
        <v>5161.770726142457</v>
      </c>
      <c r="F95" s="44">
        <v>7913.3688489999995</v>
      </c>
      <c r="G95" s="44">
        <v>0</v>
      </c>
      <c r="H95" s="44">
        <v>0</v>
      </c>
      <c r="I95" s="44">
        <v>0</v>
      </c>
    </row>
    <row r="96" spans="1:9" ht="14.25">
      <c r="A96" s="88" t="str">
        <f>HLOOKUP(INDICE!$F$2,Nombres!$C$3:$D$636,60,FALSE)</f>
        <v>Deposits from central banks and credit institutions</v>
      </c>
      <c r="B96" s="58">
        <v>1604.045950692971</v>
      </c>
      <c r="C96" s="58">
        <v>1535.5978031104726</v>
      </c>
      <c r="D96" s="58">
        <v>1842.583552261224</v>
      </c>
      <c r="E96" s="65">
        <v>1728.414180600002</v>
      </c>
      <c r="F96" s="44">
        <v>1842.218038</v>
      </c>
      <c r="G96" s="44">
        <v>0</v>
      </c>
      <c r="H96" s="44">
        <v>0</v>
      </c>
      <c r="I96" s="44">
        <v>0</v>
      </c>
    </row>
    <row r="97" spans="1:9" ht="14.25">
      <c r="A97" s="88" t="str">
        <f>HLOOKUP(INDICE!$F$2,Nombres!$C$3:$D$636,61,FALSE)</f>
        <v>Deposits from customers</v>
      </c>
      <c r="B97" s="58">
        <v>6989.777253901661</v>
      </c>
      <c r="C97" s="58">
        <v>7100.65159699839</v>
      </c>
      <c r="D97" s="58">
        <v>7503.703559791578</v>
      </c>
      <c r="E97" s="65">
        <v>6311.619777419152</v>
      </c>
      <c r="F97" s="44">
        <v>6649.53784499</v>
      </c>
      <c r="G97" s="44">
        <v>0</v>
      </c>
      <c r="H97" s="44">
        <v>0</v>
      </c>
      <c r="I97" s="44">
        <v>0</v>
      </c>
    </row>
    <row r="98" spans="1:9" ht="14.25">
      <c r="A98" s="43" t="str">
        <f>HLOOKUP(INDICE!$F$2,Nombres!$C$3:$D$636,62,FALSE)</f>
        <v>Debt certificates</v>
      </c>
      <c r="B98" s="44">
        <v>1143.0820739833514</v>
      </c>
      <c r="C98" s="44">
        <v>1346.915985396885</v>
      </c>
      <c r="D98" s="44">
        <v>1262.440659311534</v>
      </c>
      <c r="E98" s="45">
        <v>1172.6545267830409</v>
      </c>
      <c r="F98" s="44">
        <v>1348.27974588</v>
      </c>
      <c r="G98" s="44">
        <v>0</v>
      </c>
      <c r="H98" s="44">
        <v>0</v>
      </c>
      <c r="I98" s="44">
        <v>0</v>
      </c>
    </row>
    <row r="99" spans="1:9" ht="14.25">
      <c r="A99" s="88" t="str">
        <f>HLOOKUP(INDICE!$F$2,Nombres!$C$3:$D$636,122,FALSE)</f>
        <v>Inter-area positions</v>
      </c>
      <c r="B99" s="44">
        <v>21832.741451655857</v>
      </c>
      <c r="C99" s="44">
        <v>18917.25234394609</v>
      </c>
      <c r="D99" s="44">
        <v>19705.11513791095</v>
      </c>
      <c r="E99" s="45">
        <v>22210.58862303164</v>
      </c>
      <c r="F99" s="44">
        <v>25226.0188573</v>
      </c>
      <c r="G99" s="44">
        <v>0</v>
      </c>
      <c r="H99" s="44">
        <v>0</v>
      </c>
      <c r="I99" s="44">
        <v>0</v>
      </c>
    </row>
    <row r="100" spans="1:9" ht="14.25">
      <c r="A100" s="43" t="str">
        <f>HLOOKUP(INDICE!$F$2,Nombres!$C$3:$D$636,63,FALSE)</f>
        <v>Other liabilities</v>
      </c>
      <c r="B100" s="58">
        <f aca="true" t="shared" si="16" ref="B100:I100">+B94-B95-B96-B97-B98-B101-B99</f>
        <v>585.5762744362146</v>
      </c>
      <c r="C100" s="58">
        <f t="shared" si="16"/>
        <v>891.808897506653</v>
      </c>
      <c r="D100" s="58">
        <f t="shared" si="16"/>
        <v>847.9769838363936</v>
      </c>
      <c r="E100" s="65">
        <f t="shared" si="16"/>
        <v>760.4067215655305</v>
      </c>
      <c r="F100" s="58">
        <f t="shared" si="16"/>
        <v>897.6733432100009</v>
      </c>
      <c r="G100" s="58">
        <f t="shared" si="16"/>
        <v>0</v>
      </c>
      <c r="H100" s="58">
        <f t="shared" si="16"/>
        <v>0</v>
      </c>
      <c r="I100" s="58">
        <f t="shared" si="16"/>
        <v>0</v>
      </c>
    </row>
    <row r="101" spans="1:9" ht="14.25">
      <c r="A101" s="43" t="str">
        <f>HLOOKUP(INDICE!$F$2,Nombres!$C$3:$D$636,282,FALSE)</f>
        <v>Regulatory capital allocated</v>
      </c>
      <c r="B101" s="58">
        <v>3047.8921593857067</v>
      </c>
      <c r="C101" s="58">
        <v>3507.074704079818</v>
      </c>
      <c r="D101" s="58">
        <v>3347.445308850163</v>
      </c>
      <c r="E101" s="65">
        <v>3306.9277485108137</v>
      </c>
      <c r="F101" s="58">
        <v>3716.564487989999</v>
      </c>
      <c r="G101" s="58">
        <v>0</v>
      </c>
      <c r="H101" s="58">
        <v>0</v>
      </c>
      <c r="I101" s="58">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93" t="str">
        <f>HLOOKUP(INDICE!$F$2,Nombres!$C$3:$D$636,65,FALSE)</f>
        <v>Relevant business indicators</v>
      </c>
      <c r="B104" s="34"/>
      <c r="C104" s="34"/>
      <c r="D104" s="34"/>
      <c r="E104" s="34"/>
      <c r="F104" s="69"/>
      <c r="G104" s="69"/>
      <c r="H104" s="69"/>
      <c r="I104" s="69"/>
    </row>
    <row r="105" spans="1:9" ht="14.25">
      <c r="A105" s="84"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88" t="str">
        <f>HLOOKUP(INDICE!$F$2,Nombres!$C$3:$D$636,66,FALSE)</f>
        <v>Loans and advances to customers (gross) (*)</v>
      </c>
      <c r="B107" s="44">
        <v>25071.04601403246</v>
      </c>
      <c r="C107" s="44">
        <v>24910.57104652102</v>
      </c>
      <c r="D107" s="44">
        <v>25511.024760927372</v>
      </c>
      <c r="E107" s="45">
        <v>27382.377605258123</v>
      </c>
      <c r="F107" s="44">
        <v>31768.864961999996</v>
      </c>
      <c r="G107" s="44">
        <v>0</v>
      </c>
      <c r="H107" s="44">
        <v>0</v>
      </c>
      <c r="I107" s="44">
        <v>0</v>
      </c>
    </row>
    <row r="108" spans="1:9" ht="14.25">
      <c r="A108" s="88" t="str">
        <f>HLOOKUP(INDICE!$F$2,Nombres!$C$3:$D$636,67,FALSE)</f>
        <v>Customer deposits under management (*)</v>
      </c>
      <c r="B108" s="44">
        <v>6989.777253901662</v>
      </c>
      <c r="C108" s="44">
        <v>7100.65159699839</v>
      </c>
      <c r="D108" s="44">
        <v>7503.703559791578</v>
      </c>
      <c r="E108" s="45">
        <v>6311.619777419151</v>
      </c>
      <c r="F108" s="44">
        <v>6649.53784499</v>
      </c>
      <c r="G108" s="44">
        <v>0</v>
      </c>
      <c r="H108" s="44">
        <v>0</v>
      </c>
      <c r="I108" s="44">
        <v>0</v>
      </c>
    </row>
    <row r="109" spans="1:9" ht="14.25">
      <c r="A109" s="43" t="str">
        <f>HLOOKUP(INDICE!$F$2,Nombres!$C$3:$D$636,68,FALSE)</f>
        <v>Investment funds and managed portfolios</v>
      </c>
      <c r="B109" s="44">
        <v>0</v>
      </c>
      <c r="C109" s="44">
        <v>0</v>
      </c>
      <c r="D109" s="44">
        <v>0</v>
      </c>
      <c r="E109" s="45">
        <v>0</v>
      </c>
      <c r="F109" s="44">
        <v>0</v>
      </c>
      <c r="G109" s="44">
        <v>0</v>
      </c>
      <c r="H109" s="44">
        <v>0</v>
      </c>
      <c r="I109" s="44">
        <v>0</v>
      </c>
    </row>
    <row r="110" spans="1:9" ht="14.25">
      <c r="A110" s="88" t="str">
        <f>HLOOKUP(INDICE!$F$2,Nombres!$C$3:$D$636,69,FALSE)</f>
        <v>Pension funds</v>
      </c>
      <c r="B110" s="44">
        <v>529.59826012</v>
      </c>
      <c r="C110" s="44">
        <v>549.65363599</v>
      </c>
      <c r="D110" s="44">
        <v>566.58063193</v>
      </c>
      <c r="E110" s="45">
        <v>597.24904247</v>
      </c>
      <c r="F110" s="44">
        <v>580.94406159</v>
      </c>
      <c r="G110" s="44">
        <v>0</v>
      </c>
      <c r="H110" s="44">
        <v>0</v>
      </c>
      <c r="I110" s="44">
        <v>0</v>
      </c>
    </row>
    <row r="111" spans="1:9" ht="14.25">
      <c r="A111" s="88" t="str">
        <f>HLOOKUP(INDICE!$F$2,Nombres!$C$3:$D$636,70,FALSE)</f>
        <v>Other off balance-sheet funds</v>
      </c>
      <c r="B111" s="44">
        <v>0</v>
      </c>
      <c r="C111" s="44">
        <v>0</v>
      </c>
      <c r="D111" s="44">
        <v>0</v>
      </c>
      <c r="E111" s="45">
        <v>0</v>
      </c>
      <c r="F111" s="44">
        <v>0</v>
      </c>
      <c r="G111" s="44">
        <v>0</v>
      </c>
      <c r="H111" s="44">
        <v>0</v>
      </c>
      <c r="I111" s="44">
        <v>0</v>
      </c>
    </row>
    <row r="112" spans="1:9" ht="14.25">
      <c r="A112" s="92" t="str">
        <f>HLOOKUP(INDICE!$F$2,Nombres!$C$3:$D$636,71,FALSE)</f>
        <v>(*) Excluding repos. </v>
      </c>
      <c r="B112" s="58"/>
      <c r="C112" s="58"/>
      <c r="D112" s="58"/>
      <c r="E112" s="58"/>
      <c r="F112" s="58"/>
      <c r="G112" s="58"/>
      <c r="H112" s="58"/>
      <c r="I112" s="58"/>
    </row>
    <row r="113" spans="1:9" ht="14.25">
      <c r="A113" s="9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392</v>
      </c>
    </row>
  </sheetData>
  <sheetProtection/>
  <mergeCells count="4">
    <mergeCell ref="B6:E6"/>
    <mergeCell ref="B62:E62"/>
    <mergeCell ref="F6:I6"/>
    <mergeCell ref="F62:I62"/>
  </mergeCells>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7"/>
  <sheetViews>
    <sheetView showGridLines="0" zoomScalePageLayoutView="0" workbookViewId="0" topLeftCell="A1">
      <selection activeCell="G1" sqref="G1:I16384"/>
    </sheetView>
  </sheetViews>
  <sheetFormatPr defaultColWidth="11.421875" defaultRowHeight="15"/>
  <cols>
    <col min="1" max="1" width="96.7109375" style="31" customWidth="1"/>
    <col min="2" max="2" width="10.421875" style="31" customWidth="1"/>
    <col min="3" max="6" width="11.421875" style="31" customWidth="1"/>
    <col min="7" max="9" width="0" style="31" hidden="1" customWidth="1"/>
    <col min="10" max="16384" width="11.421875" style="31" customWidth="1"/>
  </cols>
  <sheetData>
    <row r="1" spans="1:9" ht="16.5">
      <c r="A1" s="83" t="str">
        <f>HLOOKUP(INDICE!$F$2,Nombres!$C$3:$D$636,19,FALSE)</f>
        <v>Corporate Center </v>
      </c>
      <c r="B1" s="30"/>
      <c r="C1" s="30"/>
      <c r="D1" s="30"/>
      <c r="E1" s="30"/>
      <c r="F1" s="30"/>
      <c r="G1" s="30"/>
      <c r="H1" s="30"/>
      <c r="I1" s="30"/>
    </row>
    <row r="2" spans="1:9" ht="19.5">
      <c r="A2" s="32"/>
      <c r="B2" s="30"/>
      <c r="C2" s="30"/>
      <c r="D2" s="30"/>
      <c r="E2" s="30"/>
      <c r="F2" s="30"/>
      <c r="G2" s="30"/>
      <c r="H2" s="30"/>
      <c r="I2" s="30"/>
    </row>
    <row r="3" spans="1:9" ht="16.5">
      <c r="A3" s="93" t="str">
        <f>HLOOKUP(INDICE!$F$2,Nombres!$C$3:$D$636,31,FALSE)</f>
        <v>Income statement  </v>
      </c>
      <c r="B3" s="34"/>
      <c r="C3" s="34"/>
      <c r="D3" s="34"/>
      <c r="E3" s="34"/>
      <c r="F3" s="34"/>
      <c r="G3" s="34"/>
      <c r="H3" s="34"/>
      <c r="I3" s="34"/>
    </row>
    <row r="4" spans="1:9" ht="14.25">
      <c r="A4" s="84"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85" t="str">
        <f>+España!B7</f>
        <v>1Q</v>
      </c>
      <c r="C7" s="85" t="str">
        <f>+España!C7</f>
        <v>2Q</v>
      </c>
      <c r="D7" s="85" t="str">
        <f>+España!D7</f>
        <v>3Q</v>
      </c>
      <c r="E7" s="86" t="str">
        <f>+España!E7</f>
        <v>4Q</v>
      </c>
      <c r="F7" s="85" t="str">
        <f>+España!F7</f>
        <v>1Q</v>
      </c>
      <c r="G7" s="85" t="str">
        <f>+España!G7</f>
        <v>2Q</v>
      </c>
      <c r="H7" s="85" t="str">
        <f>+España!H7</f>
        <v>3Q</v>
      </c>
      <c r="I7" s="85" t="str">
        <f>+España!I7</f>
        <v>4Q</v>
      </c>
    </row>
    <row r="8" spans="1:15" ht="14.25">
      <c r="A8" s="41" t="str">
        <f>HLOOKUP(INDICE!$F$2,Nombres!$C$3:$D$636,33,FALSE)</f>
        <v>Net interest income</v>
      </c>
      <c r="B8" s="41">
        <v>-43.849252549999974</v>
      </c>
      <c r="C8" s="41">
        <v>-38.10383747000003</v>
      </c>
      <c r="D8" s="41">
        <v>-46.348549700000014</v>
      </c>
      <c r="E8" s="42">
        <v>-34.929972419999906</v>
      </c>
      <c r="F8" s="50">
        <v>-37.45303362999999</v>
      </c>
      <c r="G8" s="50">
        <v>0</v>
      </c>
      <c r="H8" s="242">
        <v>0</v>
      </c>
      <c r="I8" s="242">
        <v>0</v>
      </c>
      <c r="J8" s="87"/>
      <c r="K8" s="87"/>
      <c r="L8" s="87"/>
      <c r="M8" s="87"/>
      <c r="N8" s="87"/>
      <c r="O8" s="87"/>
    </row>
    <row r="9" spans="1:9" ht="14.25">
      <c r="A9" s="88" t="str">
        <f>HLOOKUP(INDICE!$F$2,Nombres!$C$3:$D$636,34,FALSE)</f>
        <v>Net fees and commissions</v>
      </c>
      <c r="B9" s="44">
        <v>-2.8977995999999986</v>
      </c>
      <c r="C9" s="44">
        <v>-19.979545090000002</v>
      </c>
      <c r="D9" s="44">
        <v>-6.33287841999999</v>
      </c>
      <c r="E9" s="45">
        <v>-6.527499109999997</v>
      </c>
      <c r="F9" s="44">
        <v>-4.109733000000002</v>
      </c>
      <c r="G9" s="44">
        <v>0</v>
      </c>
      <c r="H9" s="44">
        <v>0</v>
      </c>
      <c r="I9" s="44">
        <v>0</v>
      </c>
    </row>
    <row r="10" spans="1:9" ht="14.25">
      <c r="A10" s="88" t="str">
        <f>HLOOKUP(INDICE!$F$2,Nombres!$C$3:$D$636,35,FALSE)</f>
        <v>Net trading income</v>
      </c>
      <c r="B10" s="44">
        <v>46.397079110000014</v>
      </c>
      <c r="C10" s="44">
        <v>121.14912621</v>
      </c>
      <c r="D10" s="44">
        <v>100.69057498999999</v>
      </c>
      <c r="E10" s="45">
        <v>-2.4766653099999587</v>
      </c>
      <c r="F10" s="44">
        <v>-38.32611692999999</v>
      </c>
      <c r="G10" s="44">
        <v>0</v>
      </c>
      <c r="H10" s="44">
        <v>0</v>
      </c>
      <c r="I10" s="44">
        <v>0</v>
      </c>
    </row>
    <row r="11" spans="1:9" ht="14.25">
      <c r="A11" s="88" t="str">
        <f>HLOOKUP(INDICE!$F$2,Nombres!$C$3:$D$636,36,FALSE)</f>
        <v>Other operating income and expenses</v>
      </c>
      <c r="B11" s="44">
        <v>-17.859285009999983</v>
      </c>
      <c r="C11" s="44">
        <v>101.63862162000021</v>
      </c>
      <c r="D11" s="44">
        <v>11.070859999999929</v>
      </c>
      <c r="E11" s="45">
        <v>50.84682551999986</v>
      </c>
      <c r="F11" s="44">
        <v>0.7529770800000088</v>
      </c>
      <c r="G11" s="44">
        <v>0</v>
      </c>
      <c r="H11" s="44">
        <v>0</v>
      </c>
      <c r="I11" s="44">
        <v>0</v>
      </c>
    </row>
    <row r="12" spans="1:9" ht="14.25">
      <c r="A12" s="41" t="str">
        <f>HLOOKUP(INDICE!$F$2,Nombres!$C$3:$D$636,37,FALSE)</f>
        <v>Gross income</v>
      </c>
      <c r="B12" s="41">
        <f aca="true" t="shared" si="0" ref="B12:I12">+SUM(B8:B11)</f>
        <v>-18.209258049999942</v>
      </c>
      <c r="C12" s="41">
        <f t="shared" si="0"/>
        <v>164.70436527000018</v>
      </c>
      <c r="D12" s="41">
        <f t="shared" si="0"/>
        <v>59.080006869999906</v>
      </c>
      <c r="E12" s="42">
        <f t="shared" si="0"/>
        <v>6.912688679999995</v>
      </c>
      <c r="F12" s="50">
        <f t="shared" si="0"/>
        <v>-79.13590647999997</v>
      </c>
      <c r="G12" s="50">
        <f t="shared" si="0"/>
        <v>0</v>
      </c>
      <c r="H12" s="50">
        <f t="shared" si="0"/>
        <v>0</v>
      </c>
      <c r="I12" s="50">
        <f t="shared" si="0"/>
        <v>0</v>
      </c>
    </row>
    <row r="13" spans="1:9" ht="14.25">
      <c r="A13" s="88" t="str">
        <f>HLOOKUP(INDICE!$F$2,Nombres!$C$3:$D$636,38,FALSE)</f>
        <v>Operating expenses</v>
      </c>
      <c r="B13" s="44">
        <v>-196.92836287999995</v>
      </c>
      <c r="C13" s="44">
        <v>-196.09666847000005</v>
      </c>
      <c r="D13" s="44">
        <v>-210.61973142</v>
      </c>
      <c r="E13" s="45">
        <v>-215.89150475999998</v>
      </c>
      <c r="F13" s="44">
        <v>-187.23582509000005</v>
      </c>
      <c r="G13" s="44">
        <v>0</v>
      </c>
      <c r="H13" s="44">
        <v>0</v>
      </c>
      <c r="I13" s="44">
        <v>0</v>
      </c>
    </row>
    <row r="14" spans="1:9" ht="14.25">
      <c r="A14" s="88" t="str">
        <f>HLOOKUP(INDICE!$F$2,Nombres!$C$3:$D$636,39,FALSE)</f>
        <v>  Administration expenses</v>
      </c>
      <c r="B14" s="44">
        <v>-149.86428952</v>
      </c>
      <c r="C14" s="44">
        <v>-148.47024711000006</v>
      </c>
      <c r="D14" s="44">
        <v>-161.37574508</v>
      </c>
      <c r="E14" s="45">
        <v>-166.27213930999994</v>
      </c>
      <c r="F14" s="44">
        <v>-139.01582173000003</v>
      </c>
      <c r="G14" s="44">
        <v>0</v>
      </c>
      <c r="H14" s="44">
        <v>0</v>
      </c>
      <c r="I14" s="44">
        <v>0</v>
      </c>
    </row>
    <row r="15" spans="1:9" ht="14.25">
      <c r="A15" s="89" t="str">
        <f>HLOOKUP(INDICE!$F$2,Nombres!$C$3:$D$636,40,FALSE)</f>
        <v>  Personnel expenses</v>
      </c>
      <c r="B15" s="44">
        <v>-129.45738859</v>
      </c>
      <c r="C15" s="44">
        <v>-138.08783414</v>
      </c>
      <c r="D15" s="44">
        <v>-141.70301091</v>
      </c>
      <c r="E15" s="45">
        <v>-148.67481270000002</v>
      </c>
      <c r="F15" s="44">
        <v>-131.46988281</v>
      </c>
      <c r="G15" s="44">
        <v>0</v>
      </c>
      <c r="H15" s="44">
        <v>0</v>
      </c>
      <c r="I15" s="44">
        <v>0</v>
      </c>
    </row>
    <row r="16" spans="1:9" ht="14.25">
      <c r="A16" s="89" t="str">
        <f>HLOOKUP(INDICE!$F$2,Nombres!$C$3:$D$636,41,FALSE)</f>
        <v>  General and administrative expenses</v>
      </c>
      <c r="B16" s="44">
        <v>-20.406900929999978</v>
      </c>
      <c r="C16" s="44">
        <v>-10.382412970000042</v>
      </c>
      <c r="D16" s="44">
        <v>-19.672734170000005</v>
      </c>
      <c r="E16" s="45">
        <v>-17.59732660999998</v>
      </c>
      <c r="F16" s="44">
        <v>-7.545938920000017</v>
      </c>
      <c r="G16" s="44">
        <v>0</v>
      </c>
      <c r="H16" s="44">
        <v>0</v>
      </c>
      <c r="I16" s="44">
        <v>0</v>
      </c>
    </row>
    <row r="17" spans="1:9" ht="14.25">
      <c r="A17" s="88" t="str">
        <f>HLOOKUP(INDICE!$F$2,Nombres!$C$3:$D$636,42,FALSE)</f>
        <v>  Depreciation</v>
      </c>
      <c r="B17" s="44">
        <v>-47.064073359999995</v>
      </c>
      <c r="C17" s="44">
        <v>-47.62642136</v>
      </c>
      <c r="D17" s="44">
        <v>-49.24398634</v>
      </c>
      <c r="E17" s="45">
        <v>-49.619365450000004</v>
      </c>
      <c r="F17" s="44">
        <v>-48.22000335999999</v>
      </c>
      <c r="G17" s="44">
        <v>0</v>
      </c>
      <c r="H17" s="44">
        <v>0</v>
      </c>
      <c r="I17" s="44">
        <v>0</v>
      </c>
    </row>
    <row r="18" spans="1:9" ht="14.25">
      <c r="A18" s="41" t="str">
        <f>HLOOKUP(INDICE!$F$2,Nombres!$C$3:$D$636,43,FALSE)</f>
        <v>Operating income</v>
      </c>
      <c r="B18" s="41">
        <f aca="true" t="shared" si="1" ref="B18:I18">+B12+B13</f>
        <v>-215.13762092999988</v>
      </c>
      <c r="C18" s="41">
        <f t="shared" si="1"/>
        <v>-31.392303199999873</v>
      </c>
      <c r="D18" s="41">
        <f t="shared" si="1"/>
        <v>-151.53972455000007</v>
      </c>
      <c r="E18" s="42">
        <f t="shared" si="1"/>
        <v>-208.97881607999997</v>
      </c>
      <c r="F18" s="50">
        <f t="shared" si="1"/>
        <v>-266.37173157</v>
      </c>
      <c r="G18" s="50">
        <f t="shared" si="1"/>
        <v>0</v>
      </c>
      <c r="H18" s="50">
        <f t="shared" si="1"/>
        <v>0</v>
      </c>
      <c r="I18" s="50">
        <f t="shared" si="1"/>
        <v>0</v>
      </c>
    </row>
    <row r="19" spans="1:9" ht="14.25">
      <c r="A19" s="88" t="str">
        <f>HLOOKUP(INDICE!$F$2,Nombres!$C$3:$D$636,44,FALSE)</f>
        <v>Impaiment on financial assets not measured at fair value through profit or loss</v>
      </c>
      <c r="B19" s="44">
        <v>-0.0005037100000000374</v>
      </c>
      <c r="C19" s="44">
        <v>0.21530097000000006</v>
      </c>
      <c r="D19" s="44">
        <v>-1.9158636999999998</v>
      </c>
      <c r="E19" s="45">
        <v>0.08115558999999997</v>
      </c>
      <c r="F19" s="44">
        <v>0.74507893</v>
      </c>
      <c r="G19" s="44">
        <v>0</v>
      </c>
      <c r="H19" s="44">
        <v>0</v>
      </c>
      <c r="I19" s="44">
        <v>0</v>
      </c>
    </row>
    <row r="20" spans="1:9" ht="14.25">
      <c r="A20" s="88" t="str">
        <f>HLOOKUP(INDICE!$F$2,Nombres!$C$3:$D$636,45,FALSE)</f>
        <v>Provisions or reversal of provisions and other results</v>
      </c>
      <c r="B20" s="44">
        <v>8.92527120999998</v>
      </c>
      <c r="C20" s="44">
        <v>-27.99695481000005</v>
      </c>
      <c r="D20" s="44">
        <v>5.617522000000079</v>
      </c>
      <c r="E20" s="45">
        <v>45.00950525999991</v>
      </c>
      <c r="F20" s="44">
        <v>10.601688679999999</v>
      </c>
      <c r="G20" s="44">
        <v>0</v>
      </c>
      <c r="H20" s="44">
        <v>0</v>
      </c>
      <c r="I20" s="44">
        <v>0</v>
      </c>
    </row>
    <row r="21" spans="1:9" ht="14.25">
      <c r="A21" s="90" t="str">
        <f>HLOOKUP(INDICE!$F$2,Nombres!$C$3:$D$636,46,FALSE)</f>
        <v>Profit/(loss) before tax</v>
      </c>
      <c r="B21" s="41">
        <f aca="true" t="shared" si="2" ref="B21:I21">+B18+B19+B20</f>
        <v>-206.2128534299999</v>
      </c>
      <c r="C21" s="41">
        <f t="shared" si="2"/>
        <v>-59.17395703999992</v>
      </c>
      <c r="D21" s="41">
        <f t="shared" si="2"/>
        <v>-147.83806625</v>
      </c>
      <c r="E21" s="42">
        <f t="shared" si="2"/>
        <v>-163.88815523000005</v>
      </c>
      <c r="F21" s="50">
        <f t="shared" si="2"/>
        <v>-255.02496396000004</v>
      </c>
      <c r="G21" s="50">
        <f t="shared" si="2"/>
        <v>0</v>
      </c>
      <c r="H21" s="50">
        <f t="shared" si="2"/>
        <v>0</v>
      </c>
      <c r="I21" s="50">
        <f t="shared" si="2"/>
        <v>0</v>
      </c>
    </row>
    <row r="22" spans="1:9" ht="14.25">
      <c r="A22" s="43" t="str">
        <f>HLOOKUP(INDICE!$F$2,Nombres!$C$3:$D$636,47,FALSE)</f>
        <v>Income tax</v>
      </c>
      <c r="B22" s="44">
        <v>6.297463619999993</v>
      </c>
      <c r="C22" s="44">
        <v>-6.61688129000008</v>
      </c>
      <c r="D22" s="44">
        <v>27.57428082999996</v>
      </c>
      <c r="E22" s="45">
        <v>48.55661930000005</v>
      </c>
      <c r="F22" s="44">
        <v>45.859160960000004</v>
      </c>
      <c r="G22" s="44">
        <v>0</v>
      </c>
      <c r="H22" s="44">
        <v>0</v>
      </c>
      <c r="I22" s="44">
        <v>0</v>
      </c>
    </row>
    <row r="23" spans="1:9" ht="14.25">
      <c r="A23" s="41" t="str">
        <f>HLOOKUP(INDICE!$F$2,Nombres!$C$3:$D$636,48,FALSE)</f>
        <v>Profit/(loss) for the year</v>
      </c>
      <c r="B23" s="41">
        <f aca="true" t="shared" si="3" ref="B23:I23">+B21+B22</f>
        <v>-199.9153898099999</v>
      </c>
      <c r="C23" s="41">
        <f t="shared" si="3"/>
        <v>-65.79083833</v>
      </c>
      <c r="D23" s="41">
        <f t="shared" si="3"/>
        <v>-120.26378542000003</v>
      </c>
      <c r="E23" s="42">
        <f t="shared" si="3"/>
        <v>-115.33153593</v>
      </c>
      <c r="F23" s="50">
        <f t="shared" si="3"/>
        <v>-209.16580300000004</v>
      </c>
      <c r="G23" s="50">
        <f t="shared" si="3"/>
        <v>0</v>
      </c>
      <c r="H23" s="50">
        <f t="shared" si="3"/>
        <v>0</v>
      </c>
      <c r="I23" s="50">
        <f t="shared" si="3"/>
        <v>0</v>
      </c>
    </row>
    <row r="24" spans="1:9" ht="14.25">
      <c r="A24" s="43" t="str">
        <f>HLOOKUP(INDICE!$F$2,Nombres!$C$3:$D$636,49,FALSE)</f>
        <v>Non-controlling interests</v>
      </c>
      <c r="B24" s="44">
        <v>-0.6575781699999999</v>
      </c>
      <c r="C24" s="44">
        <v>-4.24266055</v>
      </c>
      <c r="D24" s="44">
        <v>-10.528699010000002</v>
      </c>
      <c r="E24" s="45">
        <v>-4.820760240000003</v>
      </c>
      <c r="F24" s="44">
        <v>-6.266600769999999</v>
      </c>
      <c r="G24" s="44">
        <v>0</v>
      </c>
      <c r="H24" s="44">
        <v>0</v>
      </c>
      <c r="I24" s="44">
        <v>0</v>
      </c>
    </row>
    <row r="25" spans="1:9" ht="14.25">
      <c r="A25" s="47" t="str">
        <f>HLOOKUP(INDICE!$F$2,Nombres!$C$3:$D$636,305,FALSE)</f>
        <v>Net attributable profit excluding non recurring impacts</v>
      </c>
      <c r="B25" s="47">
        <f aca="true" t="shared" si="4" ref="B25:I25">+B23+B24</f>
        <v>-200.5729679799999</v>
      </c>
      <c r="C25" s="47">
        <f t="shared" si="4"/>
        <v>-70.03349888</v>
      </c>
      <c r="D25" s="47">
        <f t="shared" si="4"/>
        <v>-130.79248443000003</v>
      </c>
      <c r="E25" s="47">
        <f t="shared" si="4"/>
        <v>-120.15229617</v>
      </c>
      <c r="F25" s="47">
        <f t="shared" si="4"/>
        <v>-215.43240377000004</v>
      </c>
      <c r="G25" s="47">
        <f t="shared" si="4"/>
        <v>0</v>
      </c>
      <c r="H25" s="47">
        <f t="shared" si="4"/>
        <v>0</v>
      </c>
      <c r="I25" s="47">
        <f t="shared" si="4"/>
        <v>0</v>
      </c>
    </row>
    <row r="26" spans="1:9" ht="14.25">
      <c r="A26" s="41" t="str">
        <f>HLOOKUP(INDICE!$F$2,Nombres!$C$3:$D$636,311,FALSE)</f>
        <v>Corporate &amp; discontinued operations</v>
      </c>
      <c r="B26" s="201">
        <f>+B27++B28</f>
        <v>177.04100000000003</v>
      </c>
      <c r="C26" s="201">
        <f aca="true" t="shared" si="5" ref="C26:I26">+C27++C28</f>
        <v>-593.0077980200002</v>
      </c>
      <c r="D26" s="201">
        <f t="shared" si="5"/>
        <v>0</v>
      </c>
      <c r="E26" s="42">
        <f t="shared" si="5"/>
        <v>-9.999999184273634E-07</v>
      </c>
      <c r="F26" s="201">
        <f t="shared" si="5"/>
        <v>0</v>
      </c>
      <c r="G26" s="201">
        <f t="shared" si="5"/>
        <v>0</v>
      </c>
      <c r="H26" s="201">
        <f t="shared" si="5"/>
        <v>0</v>
      </c>
      <c r="I26" s="201">
        <f t="shared" si="5"/>
        <v>0</v>
      </c>
    </row>
    <row r="27" spans="1:9" ht="14.25">
      <c r="A27" s="43" t="str">
        <f>HLOOKUP(INDICE!$F$2,Nombres!$C$3:$D$636,306,FALSE)</f>
        <v>Profit/(loss) after tax form discontinued operations (1)</v>
      </c>
      <c r="B27" s="44">
        <v>177.04100000000003</v>
      </c>
      <c r="C27" s="44">
        <v>102.65999999999976</v>
      </c>
      <c r="D27" s="44">
        <v>0</v>
      </c>
      <c r="E27" s="45">
        <v>-9.999999184273634E-07</v>
      </c>
      <c r="F27" s="44">
        <v>0</v>
      </c>
      <c r="G27" s="44">
        <v>0</v>
      </c>
      <c r="H27" s="44">
        <v>0</v>
      </c>
      <c r="I27" s="44">
        <v>0</v>
      </c>
    </row>
    <row r="28" spans="1:9" ht="14.25">
      <c r="A28" s="43" t="str">
        <f>HLOOKUP(INDICE!$F$2,Nombres!$C$3:$D$636,308,FALSE)</f>
        <v>Net cost related to the reestructuring process.</v>
      </c>
      <c r="B28" s="44">
        <v>0</v>
      </c>
      <c r="C28" s="44">
        <v>-695.66779802</v>
      </c>
      <c r="D28" s="44">
        <v>0</v>
      </c>
      <c r="E28" s="45">
        <v>0</v>
      </c>
      <c r="F28" s="44">
        <v>0</v>
      </c>
      <c r="G28" s="44">
        <v>0</v>
      </c>
      <c r="H28" s="44">
        <v>0</v>
      </c>
      <c r="I28" s="44">
        <v>0</v>
      </c>
    </row>
    <row r="29" spans="1:9" ht="14.25">
      <c r="A29" s="47" t="str">
        <f>HLOOKUP(INDICE!$F$2,Nombres!$C$3:$D$636,50,FALSE)</f>
        <v>Net attributable profit</v>
      </c>
      <c r="B29" s="47">
        <f aca="true" t="shared" si="6" ref="B29:I29">+B25+B26</f>
        <v>-23.531967979999877</v>
      </c>
      <c r="C29" s="47">
        <f t="shared" si="6"/>
        <v>-663.0412969000002</v>
      </c>
      <c r="D29" s="47">
        <f t="shared" si="6"/>
        <v>-130.79248443000003</v>
      </c>
      <c r="E29" s="47">
        <f t="shared" si="6"/>
        <v>-120.15229716999991</v>
      </c>
      <c r="F29" s="47">
        <f t="shared" si="6"/>
        <v>-215.43240377000004</v>
      </c>
      <c r="G29" s="47">
        <f t="shared" si="6"/>
        <v>0</v>
      </c>
      <c r="H29" s="47">
        <f t="shared" si="6"/>
        <v>0</v>
      </c>
      <c r="I29" s="47">
        <f t="shared" si="6"/>
        <v>0</v>
      </c>
    </row>
    <row r="30" spans="1:9" ht="14.25">
      <c r="A30" s="278" t="s">
        <v>5</v>
      </c>
      <c r="B30" s="44"/>
      <c r="C30" s="44"/>
      <c r="D30" s="44"/>
      <c r="E30" s="44"/>
      <c r="F30" s="44"/>
      <c r="G30" s="44"/>
      <c r="H30" s="44"/>
      <c r="I30" s="44"/>
    </row>
    <row r="31" spans="1:9" ht="14.25">
      <c r="A31" s="300" t="str">
        <f>HLOOKUP(INDICE!$F$2,Nombres!$C$3:$D$636,312,FALSE)</f>
        <v>(1) Includes the profit generated by BBVA USA and the rest of the US companies sold to PNC on 1st ofJjune of 2021.</v>
      </c>
      <c r="B31" s="300"/>
      <c r="C31" s="300"/>
      <c r="D31" s="300"/>
      <c r="E31" s="300"/>
      <c r="F31" s="300"/>
      <c r="G31" s="300"/>
      <c r="H31" s="300"/>
      <c r="I31" s="300"/>
    </row>
    <row r="32" spans="1:9" ht="14.25" customHeight="1">
      <c r="A32" s="300"/>
      <c r="B32" s="300"/>
      <c r="C32" s="300"/>
      <c r="D32" s="300"/>
      <c r="E32" s="300"/>
      <c r="F32" s="300"/>
      <c r="G32" s="300"/>
      <c r="H32" s="300"/>
      <c r="I32" s="300"/>
    </row>
    <row r="33" spans="1:9" ht="14.25" customHeight="1">
      <c r="A33" s="41"/>
      <c r="B33" s="63">
        <v>0</v>
      </c>
      <c r="C33" s="63">
        <v>3.552713678800501E-13</v>
      </c>
      <c r="D33" s="63">
        <v>0</v>
      </c>
      <c r="E33" s="63">
        <v>0</v>
      </c>
      <c r="F33" s="63">
        <v>0</v>
      </c>
      <c r="G33" s="63">
        <v>0</v>
      </c>
      <c r="H33" s="63">
        <v>0</v>
      </c>
      <c r="I33" s="63">
        <v>0</v>
      </c>
    </row>
    <row r="34" spans="1:9" ht="14.25">
      <c r="A34" s="41"/>
      <c r="B34" s="41"/>
      <c r="C34" s="41"/>
      <c r="D34" s="41"/>
      <c r="E34" s="41"/>
      <c r="F34" s="41"/>
      <c r="G34" s="41"/>
      <c r="H34" s="41"/>
      <c r="I34" s="41"/>
    </row>
    <row r="35" spans="1:9" ht="16.5">
      <c r="A35" s="93" t="str">
        <f>HLOOKUP(INDICE!$F$2,Nombres!$C$3:$D$636,51,FALSE)</f>
        <v>Balance sheets</v>
      </c>
      <c r="B35" s="34"/>
      <c r="C35" s="34"/>
      <c r="D35" s="34"/>
      <c r="E35" s="34"/>
      <c r="F35" s="81"/>
      <c r="G35" s="81"/>
      <c r="H35" s="81"/>
      <c r="I35" s="81"/>
    </row>
    <row r="36" spans="1:9" ht="14.25">
      <c r="A36" s="84" t="str">
        <f>HLOOKUP(INDICE!$F$2,Nombres!$C$3:$D$636,32,FALSE)</f>
        <v>(Million euros)</v>
      </c>
      <c r="B36" s="30"/>
      <c r="C36" s="52"/>
      <c r="D36" s="52"/>
      <c r="E36" s="52"/>
      <c r="F36" s="79"/>
      <c r="G36" s="77"/>
      <c r="H36" s="77"/>
      <c r="I36" s="77"/>
    </row>
    <row r="37" spans="1:9" ht="14.25">
      <c r="A37" s="30"/>
      <c r="B37" s="53">
        <f>+España!B30</f>
        <v>44286</v>
      </c>
      <c r="C37" s="53">
        <f>+España!C30</f>
        <v>44377</v>
      </c>
      <c r="D37" s="53">
        <f>+España!D30</f>
        <v>44469</v>
      </c>
      <c r="E37" s="68">
        <f>+España!E30</f>
        <v>44561</v>
      </c>
      <c r="F37" s="53">
        <f>+España!F30</f>
        <v>44651</v>
      </c>
      <c r="G37" s="53">
        <f>+España!G30</f>
        <v>44742</v>
      </c>
      <c r="H37" s="53">
        <f>+España!H30</f>
        <v>44834</v>
      </c>
      <c r="I37" s="53">
        <f>+España!I30</f>
        <v>44926</v>
      </c>
    </row>
    <row r="38" spans="1:9" ht="14.25">
      <c r="A38" s="88" t="str">
        <f>HLOOKUP(INDICE!$F$2,Nombres!$C$3:$D$636,52,FALSE)</f>
        <v>Cash, cash balances at central banks and other demand deposits</v>
      </c>
      <c r="B38" s="44">
        <v>923.0540970000001</v>
      </c>
      <c r="C38" s="44">
        <v>10200.758577</v>
      </c>
      <c r="D38" s="44">
        <v>10188.903583</v>
      </c>
      <c r="E38" s="45">
        <v>9609.331895000001</v>
      </c>
      <c r="F38" s="44">
        <v>8607.665282</v>
      </c>
      <c r="G38" s="44">
        <v>0</v>
      </c>
      <c r="H38" s="44">
        <v>0</v>
      </c>
      <c r="I38" s="44">
        <v>0</v>
      </c>
    </row>
    <row r="39" spans="1:9" ht="14.25">
      <c r="A39" s="88" t="str">
        <f>HLOOKUP(INDICE!$F$2,Nombres!$C$3:$D$636,53,FALSE)</f>
        <v>Financial assets designated at fair value </v>
      </c>
      <c r="B39" s="58">
        <v>1679.5687306799998</v>
      </c>
      <c r="C39" s="58">
        <v>1902.8554403500002</v>
      </c>
      <c r="D39" s="58">
        <v>2057.83634224</v>
      </c>
      <c r="E39" s="65">
        <v>2098.75175648</v>
      </c>
      <c r="F39" s="58">
        <v>2680.3512664500004</v>
      </c>
      <c r="G39" s="58">
        <v>0</v>
      </c>
      <c r="H39" s="58">
        <v>0</v>
      </c>
      <c r="I39" s="58">
        <v>0</v>
      </c>
    </row>
    <row r="40" spans="1:9" ht="14.25">
      <c r="A40" s="43" t="str">
        <f>HLOOKUP(INDICE!$F$2,Nombres!$C$3:$D$636,54,FALSE)</f>
        <v>Financial assets at amortized cost</v>
      </c>
      <c r="B40" s="44">
        <v>1782.386904</v>
      </c>
      <c r="C40" s="44">
        <v>1659.8399540000003</v>
      </c>
      <c r="D40" s="44">
        <v>1576.592776</v>
      </c>
      <c r="E40" s="45">
        <v>2175.279227</v>
      </c>
      <c r="F40" s="44">
        <v>1331.3924880000002</v>
      </c>
      <c r="G40" s="44">
        <v>0</v>
      </c>
      <c r="H40" s="44">
        <v>0</v>
      </c>
      <c r="I40" s="44">
        <v>0</v>
      </c>
    </row>
    <row r="41" spans="1:9" ht="14.25">
      <c r="A41" s="88" t="str">
        <f>HLOOKUP(INDICE!$F$2,Nombres!$C$3:$D$636,55,FALSE)</f>
        <v>    of which loans and advances to customers</v>
      </c>
      <c r="B41" s="44">
        <v>668.745147</v>
      </c>
      <c r="C41" s="44">
        <v>574.594015</v>
      </c>
      <c r="D41" s="44">
        <v>170.45725200000007</v>
      </c>
      <c r="E41" s="45">
        <v>1005.9331770000002</v>
      </c>
      <c r="F41" s="44">
        <v>500.6690739999999</v>
      </c>
      <c r="G41" s="44">
        <v>0</v>
      </c>
      <c r="H41" s="44">
        <v>0</v>
      </c>
      <c r="I41" s="44">
        <v>0</v>
      </c>
    </row>
    <row r="42" spans="1:9" ht="14.25">
      <c r="A42" s="88" t="str">
        <f>HLOOKUP(INDICE!$F$2,Nombres!$C$3:$D$636,121,FALSE)</f>
        <v>Inter-area positions</v>
      </c>
      <c r="B42" s="44">
        <v>-3.3190022804774344E-05</v>
      </c>
      <c r="C42" s="44">
        <v>-8.197998977266252E-05</v>
      </c>
      <c r="D42" s="44">
        <v>-7.164000999182463E-05</v>
      </c>
      <c r="E42" s="45">
        <v>0.00043695000204024836</v>
      </c>
      <c r="F42" s="44">
        <v>-1.998705556616187E-08</v>
      </c>
      <c r="G42" s="44">
        <v>0</v>
      </c>
      <c r="H42" s="44">
        <v>0</v>
      </c>
      <c r="I42" s="44">
        <v>0</v>
      </c>
    </row>
    <row r="43" spans="1:9" ht="14.25">
      <c r="A43" s="43" t="str">
        <f>HLOOKUP(INDICE!$F$2,Nombres!$C$3:$D$636,56,FALSE)</f>
        <v>Tangible assets</v>
      </c>
      <c r="B43" s="44">
        <v>2038.8515439999999</v>
      </c>
      <c r="C43" s="44">
        <v>2019.6463440000002</v>
      </c>
      <c r="D43" s="44">
        <v>1988.1729079999998</v>
      </c>
      <c r="E43" s="45">
        <v>1963.5125279999997</v>
      </c>
      <c r="F43" s="44">
        <v>1914.4294419999999</v>
      </c>
      <c r="G43" s="44">
        <v>0</v>
      </c>
      <c r="H43" s="44">
        <v>0</v>
      </c>
      <c r="I43" s="44">
        <v>0</v>
      </c>
    </row>
    <row r="44" spans="1:9" ht="15.75" customHeight="1">
      <c r="A44" s="88" t="str">
        <f>HLOOKUP(INDICE!$F$2,Nombres!$C$3:$D$636,57,FALSE)</f>
        <v>Other assets</v>
      </c>
      <c r="B44" s="44">
        <v>102929.1403548</v>
      </c>
      <c r="C44" s="44">
        <v>15358.58276591</v>
      </c>
      <c r="D44" s="44">
        <v>15307.8097385</v>
      </c>
      <c r="E44" s="45">
        <v>14987.669017239996</v>
      </c>
      <c r="F44" s="44">
        <v>14769.27883025</v>
      </c>
      <c r="G44" s="44">
        <v>0</v>
      </c>
      <c r="H44" s="44">
        <v>0</v>
      </c>
      <c r="I44" s="44">
        <v>0</v>
      </c>
    </row>
    <row r="45" spans="1:9" ht="14.25">
      <c r="A45" s="91" t="str">
        <f>HLOOKUP(INDICE!$F$2,Nombres!$C$3:$D$636,58,FALSE)</f>
        <v>Total assets / Liabilities and equity</v>
      </c>
      <c r="B45" s="51">
        <f aca="true" t="shared" si="7" ref="B45:I45">+B38+B39+B40+B42+B43+B44</f>
        <v>109353.00159728997</v>
      </c>
      <c r="C45" s="51">
        <f t="shared" si="7"/>
        <v>31141.682999280012</v>
      </c>
      <c r="D45" s="51">
        <f t="shared" si="7"/>
        <v>31119.315276099987</v>
      </c>
      <c r="E45" s="80">
        <f t="shared" si="7"/>
        <v>30834.54486067</v>
      </c>
      <c r="F45" s="51">
        <f t="shared" si="7"/>
        <v>29303.11730868001</v>
      </c>
      <c r="G45" s="51">
        <f t="shared" si="7"/>
        <v>0</v>
      </c>
      <c r="H45" s="51">
        <f t="shared" si="7"/>
        <v>0</v>
      </c>
      <c r="I45" s="51">
        <f t="shared" si="7"/>
        <v>0</v>
      </c>
    </row>
    <row r="46" spans="1:9" ht="14.25">
      <c r="A46" s="88" t="str">
        <f>HLOOKUP(INDICE!$F$2,Nombres!$C$3:$D$636,59,FALSE)</f>
        <v>Financial liabilities held for trading and designated at fair value through profit or loss</v>
      </c>
      <c r="B46" s="44">
        <v>60.11018</v>
      </c>
      <c r="C46" s="44">
        <v>7.505911</v>
      </c>
      <c r="D46" s="44">
        <v>8.221091999999999</v>
      </c>
      <c r="E46" s="45">
        <v>83.911289</v>
      </c>
      <c r="F46" s="44">
        <v>136.73259699999997</v>
      </c>
      <c r="G46" s="44">
        <v>0</v>
      </c>
      <c r="H46" s="44">
        <v>0</v>
      </c>
      <c r="I46" s="44">
        <v>0</v>
      </c>
    </row>
    <row r="47" spans="1:9" ht="14.25">
      <c r="A47" s="88" t="str">
        <f>HLOOKUP(INDICE!$F$2,Nombres!$C$3:$D$636,60,FALSE)</f>
        <v>Deposits from central banks and credit institutions</v>
      </c>
      <c r="B47" s="44">
        <v>858.9708349999999</v>
      </c>
      <c r="C47" s="44">
        <v>829.7628249999999</v>
      </c>
      <c r="D47" s="44">
        <v>846.6208490000001</v>
      </c>
      <c r="E47" s="45">
        <v>825.2378679999999</v>
      </c>
      <c r="F47" s="44">
        <v>762.66485</v>
      </c>
      <c r="G47" s="44">
        <v>0</v>
      </c>
      <c r="H47" s="44">
        <v>0</v>
      </c>
      <c r="I47" s="44">
        <v>0</v>
      </c>
    </row>
    <row r="48" spans="1:9" ht="14.25">
      <c r="A48" s="88" t="str">
        <f>HLOOKUP(INDICE!$F$2,Nombres!$C$3:$D$636,61,FALSE)</f>
        <v>Deposits from customers</v>
      </c>
      <c r="B48" s="44">
        <v>176.72810500000003</v>
      </c>
      <c r="C48" s="44">
        <v>172.892991</v>
      </c>
      <c r="D48" s="44">
        <v>179.817772</v>
      </c>
      <c r="E48" s="45">
        <v>175.186462</v>
      </c>
      <c r="F48" s="44">
        <v>181.94271200000003</v>
      </c>
      <c r="G48" s="44">
        <v>0</v>
      </c>
      <c r="H48" s="44">
        <v>0</v>
      </c>
      <c r="I48" s="44">
        <v>0</v>
      </c>
    </row>
    <row r="49" spans="1:9" ht="14.25">
      <c r="A49" s="43" t="str">
        <f>HLOOKUP(INDICE!$F$2,Nombres!$C$3:$D$636,62,FALSE)</f>
        <v>Debt certificates</v>
      </c>
      <c r="B49" s="44">
        <v>3383.1166194999996</v>
      </c>
      <c r="C49" s="44">
        <v>1882.2815563500014</v>
      </c>
      <c r="D49" s="44">
        <v>1602.5345271900005</v>
      </c>
      <c r="E49" s="45">
        <v>1556.3347012199997</v>
      </c>
      <c r="F49" s="44">
        <v>946.7578466500006</v>
      </c>
      <c r="G49" s="44">
        <v>0</v>
      </c>
      <c r="H49" s="44">
        <v>0</v>
      </c>
      <c r="I49" s="44">
        <v>0</v>
      </c>
    </row>
    <row r="50" spans="1:9" ht="14.25">
      <c r="A50" s="88" t="str">
        <f>HLOOKUP(INDICE!$F$2,Nombres!$C$3:$D$636,122,FALSE)</f>
        <v>Inter-area positions</v>
      </c>
      <c r="B50" s="44">
        <v>495.9309749699896</v>
      </c>
      <c r="C50" s="44">
        <v>6842.252097389999</v>
      </c>
      <c r="D50" s="44">
        <v>7279.647209580005</v>
      </c>
      <c r="E50" s="45">
        <v>7758.0316279200015</v>
      </c>
      <c r="F50" s="44">
        <v>9620.769197000001</v>
      </c>
      <c r="G50" s="44">
        <v>0</v>
      </c>
      <c r="H50" s="44">
        <v>0</v>
      </c>
      <c r="I50" s="44">
        <v>0</v>
      </c>
    </row>
    <row r="51" spans="1:9" ht="14.25">
      <c r="A51" s="43" t="str">
        <f>HLOOKUP(INDICE!$F$2,Nombres!$C$3:$D$636,63,FALSE)</f>
        <v>Other liabilities</v>
      </c>
      <c r="B51" s="44">
        <f aca="true" t="shared" si="8" ref="B51:I51">+B45-B46-B47-B48-B49-B50-B53-B52</f>
        <v>87417.90448341999</v>
      </c>
      <c r="C51" s="44">
        <f t="shared" si="8"/>
        <v>5871.239806230009</v>
      </c>
      <c r="D51" s="44">
        <f t="shared" si="8"/>
        <v>6101.589289949992</v>
      </c>
      <c r="E51" s="45">
        <f t="shared" si="8"/>
        <v>6932.245405690006</v>
      </c>
      <c r="F51" s="44">
        <f t="shared" si="8"/>
        <v>7297.246586260011</v>
      </c>
      <c r="G51" s="44">
        <f t="shared" si="8"/>
        <v>0</v>
      </c>
      <c r="H51" s="44">
        <f t="shared" si="8"/>
        <v>0</v>
      </c>
      <c r="I51" s="44">
        <f t="shared" si="8"/>
        <v>0</v>
      </c>
    </row>
    <row r="52" spans="1:9" ht="14.25">
      <c r="A52" s="43" t="str">
        <f>HLOOKUP(INDICE!$F$2,Nombres!$C$3:$D$636,282,FALSE)</f>
        <v>Regulatory capital allocated</v>
      </c>
      <c r="B52" s="44">
        <f>-España!B45-Mexico!B45-Turquia!B45-AdS!B45-'Resto de Negocios'!B45</f>
        <v>-33751.051601600004</v>
      </c>
      <c r="C52" s="44">
        <f>-España!C45-Mexico!C45-Turquia!C45-AdS!C45-'Resto de Negocios'!C45</f>
        <v>-34408.42119170001</v>
      </c>
      <c r="D52" s="44">
        <f>-España!D45-Mexico!D45-Turquia!D45-AdS!D45-'Resto de Negocios'!D45</f>
        <v>-35466.03845661</v>
      </c>
      <c r="E52" s="45">
        <f>-España!E45-Mexico!E45-Turquia!E45-AdS!E45-'Resto de Negocios'!E45</f>
        <v>-35256.52048911</v>
      </c>
      <c r="F52" s="44">
        <f>-España!F45-Mexico!F45-Turquia!F45-AdS!F45-'Resto de Negocios'!F45</f>
        <v>-37900.644049639996</v>
      </c>
      <c r="G52" s="44">
        <f>-España!G45-Mexico!G45-Turquia!G45-AdS!G45-'Resto de Negocios'!G45</f>
        <v>0</v>
      </c>
      <c r="H52" s="44">
        <f>-España!H45-Mexico!H45-Turquia!H45-AdS!H45-'Resto de Negocios'!H45</f>
        <v>0</v>
      </c>
      <c r="I52" s="44">
        <f>-España!I45-Mexico!I45-Turquia!I45-AdS!I45-'Resto de Negocios'!I45</f>
        <v>0</v>
      </c>
    </row>
    <row r="53" spans="1:9" ht="14.25">
      <c r="A53" s="88" t="str">
        <f>HLOOKUP(INDICE!$F$2,Nombres!$C$3:$D$636,150,FALSE)</f>
        <v>Total equity</v>
      </c>
      <c r="B53" s="44">
        <v>50711.292001</v>
      </c>
      <c r="C53" s="44">
        <v>49944.16900401001</v>
      </c>
      <c r="D53" s="44">
        <v>50566.92299298999</v>
      </c>
      <c r="E53" s="45">
        <v>48760.11799594999</v>
      </c>
      <c r="F53" s="44">
        <v>48257.64756940999</v>
      </c>
      <c r="G53" s="44">
        <v>0</v>
      </c>
      <c r="H53" s="44">
        <v>0</v>
      </c>
      <c r="I53" s="44">
        <v>0</v>
      </c>
    </row>
    <row r="54" spans="1:9" ht="14.25">
      <c r="A54" s="43"/>
      <c r="B54" s="58"/>
      <c r="C54" s="58"/>
      <c r="D54" s="58"/>
      <c r="E54" s="58"/>
      <c r="F54" s="58"/>
      <c r="G54" s="58"/>
      <c r="H54" s="58"/>
      <c r="I54" s="58"/>
    </row>
    <row r="55" spans="1:9" ht="14.25">
      <c r="A55" s="43"/>
      <c r="B55" s="58"/>
      <c r="C55" s="58"/>
      <c r="D55" s="58"/>
      <c r="E55" s="58"/>
      <c r="F55" s="58"/>
      <c r="G55" s="58"/>
      <c r="H55" s="58"/>
      <c r="I55" s="58"/>
    </row>
    <row r="56" spans="1:9" ht="14.25">
      <c r="A56" s="43"/>
      <c r="B56" s="58"/>
      <c r="C56" s="58"/>
      <c r="D56" s="58"/>
      <c r="E56" s="58"/>
      <c r="F56" s="44"/>
      <c r="G56" s="44"/>
      <c r="H56" s="44"/>
      <c r="I56" s="44"/>
    </row>
    <row r="57" spans="1:9" ht="14.25">
      <c r="A57" s="43"/>
      <c r="B57" s="30"/>
      <c r="C57" s="279"/>
      <c r="D57" s="30"/>
      <c r="E57" s="30"/>
      <c r="F57" s="70"/>
      <c r="G57" s="44"/>
      <c r="H57" s="44"/>
      <c r="I57" s="44"/>
    </row>
    <row r="58" spans="1:9" ht="14.25">
      <c r="A58" s="43"/>
      <c r="B58" s="30"/>
      <c r="C58" s="53"/>
      <c r="D58" s="53"/>
      <c r="E58" s="53"/>
      <c r="F58" s="53"/>
      <c r="G58" s="53"/>
      <c r="H58" s="53"/>
      <c r="I58" s="53"/>
    </row>
    <row r="59" spans="1:9" ht="14.25">
      <c r="A59" s="43"/>
      <c r="B59" s="44"/>
      <c r="C59" s="44"/>
      <c r="D59" s="44"/>
      <c r="E59" s="44"/>
      <c r="F59" s="44"/>
      <c r="G59" s="44"/>
      <c r="H59" s="44"/>
      <c r="I59" s="44"/>
    </row>
    <row r="60" spans="1:9" ht="14.25">
      <c r="A60" s="41"/>
      <c r="B60" s="44"/>
      <c r="C60" s="44"/>
      <c r="D60" s="44"/>
      <c r="E60" s="44"/>
      <c r="F60" s="44"/>
      <c r="G60" s="44"/>
      <c r="H60" s="44"/>
      <c r="I60" s="44"/>
    </row>
    <row r="61" spans="1:9" ht="14.25">
      <c r="A61" s="43"/>
      <c r="B61" s="44"/>
      <c r="C61" s="44"/>
      <c r="D61" s="44"/>
      <c r="E61" s="44"/>
      <c r="F61" s="44"/>
      <c r="G61" s="44"/>
      <c r="H61" s="44"/>
      <c r="I61" s="44"/>
    </row>
    <row r="62" spans="1:9" ht="14.25">
      <c r="A62" s="43"/>
      <c r="B62" s="44"/>
      <c r="D62" s="44"/>
      <c r="E62" s="44"/>
      <c r="F62" s="44"/>
      <c r="G62" s="44"/>
      <c r="H62" s="44"/>
      <c r="I62" s="44"/>
    </row>
    <row r="63" spans="1:9" ht="14.25">
      <c r="A63" s="43"/>
      <c r="B63" s="44"/>
      <c r="D63" s="44"/>
      <c r="E63" s="44"/>
      <c r="F63" s="44"/>
      <c r="G63" s="44"/>
      <c r="H63" s="44"/>
      <c r="I63" s="44"/>
    </row>
    <row r="64" spans="1:9" ht="14.25">
      <c r="A64" s="62"/>
      <c r="B64" s="58"/>
      <c r="D64" s="58"/>
      <c r="E64" s="58"/>
      <c r="F64" s="44"/>
      <c r="G64" s="44"/>
      <c r="H64" s="44"/>
      <c r="I64" s="44"/>
    </row>
    <row r="65" spans="1:9" ht="14.25">
      <c r="A65" s="62"/>
      <c r="B65" s="58"/>
      <c r="D65" s="30"/>
      <c r="E65" s="30"/>
      <c r="F65" s="70"/>
      <c r="G65" s="70"/>
      <c r="H65" s="70"/>
      <c r="I65" s="70"/>
    </row>
    <row r="66" spans="1:9" ht="14.25">
      <c r="A66" s="62"/>
      <c r="B66" s="58"/>
      <c r="D66" s="30"/>
      <c r="E66" s="30"/>
      <c r="F66" s="70"/>
      <c r="G66" s="70"/>
      <c r="H66" s="70"/>
      <c r="I66" s="70"/>
    </row>
    <row r="67" spans="2:9" ht="14.25">
      <c r="B67" s="54"/>
      <c r="C67" s="54"/>
      <c r="D67" s="54"/>
      <c r="E67" s="74"/>
      <c r="F67" s="94"/>
      <c r="G67" s="82"/>
      <c r="H67" s="82"/>
      <c r="I67" s="82"/>
    </row>
    <row r="68" spans="2:9" ht="14.25">
      <c r="B68" s="54"/>
      <c r="F68" s="82"/>
      <c r="G68" s="82"/>
      <c r="H68" s="82"/>
      <c r="I68" s="82"/>
    </row>
    <row r="69" spans="2:9" ht="14.25">
      <c r="B69" s="54"/>
      <c r="F69" s="82"/>
      <c r="G69" s="82"/>
      <c r="H69" s="82"/>
      <c r="I69" s="82"/>
    </row>
    <row r="70" spans="2:9" ht="14.25">
      <c r="B70" s="54"/>
      <c r="F70" s="82"/>
      <c r="G70" s="82"/>
      <c r="H70" s="82"/>
      <c r="I70" s="82"/>
    </row>
    <row r="71" spans="2:9" ht="14.25">
      <c r="B71" s="54"/>
      <c r="F71" s="82"/>
      <c r="G71" s="82"/>
      <c r="H71" s="82"/>
      <c r="I71" s="82"/>
    </row>
    <row r="72" spans="2:9" ht="14.25">
      <c r="B72" s="54"/>
      <c r="F72" s="82"/>
      <c r="G72" s="82"/>
      <c r="H72" s="82"/>
      <c r="I72" s="82"/>
    </row>
    <row r="73" spans="2:9" ht="14.25">
      <c r="B73" s="54"/>
      <c r="F73" s="82"/>
      <c r="G73" s="82"/>
      <c r="H73" s="82"/>
      <c r="I73" s="82"/>
    </row>
    <row r="74" spans="2:9" ht="14.25">
      <c r="B74" s="54"/>
      <c r="F74" s="82"/>
      <c r="G74" s="82"/>
      <c r="H74" s="82"/>
      <c r="I74" s="82"/>
    </row>
    <row r="75" spans="6:9" ht="14.25">
      <c r="F75" s="82"/>
      <c r="G75" s="82"/>
      <c r="H75" s="82"/>
      <c r="I75" s="82"/>
    </row>
    <row r="76" spans="6:9" ht="14.25">
      <c r="F76" s="82"/>
      <c r="G76" s="82"/>
      <c r="H76" s="82"/>
      <c r="I76" s="82"/>
    </row>
    <row r="77" spans="6:9" ht="14.25">
      <c r="F77" s="82"/>
      <c r="G77" s="82"/>
      <c r="H77" s="82"/>
      <c r="I77" s="82"/>
    </row>
    <row r="78" spans="6:9" ht="14.25">
      <c r="F78" s="82"/>
      <c r="G78" s="82"/>
      <c r="H78" s="82"/>
      <c r="I78" s="82"/>
    </row>
    <row r="79" spans="6:9" ht="14.25">
      <c r="F79" s="82"/>
      <c r="G79" s="82"/>
      <c r="H79" s="82"/>
      <c r="I79" s="82"/>
    </row>
    <row r="80" spans="6:9" ht="14.25">
      <c r="F80" s="82"/>
      <c r="G80" s="82"/>
      <c r="H80" s="82"/>
      <c r="I80" s="82"/>
    </row>
    <row r="81" spans="6:9" ht="14.25">
      <c r="F81" s="82"/>
      <c r="G81" s="82"/>
      <c r="H81" s="82"/>
      <c r="I81" s="82"/>
    </row>
    <row r="82" spans="6:9" ht="14.25">
      <c r="F82" s="82"/>
      <c r="G82" s="82"/>
      <c r="H82" s="82"/>
      <c r="I82" s="82"/>
    </row>
    <row r="83" spans="6:9" ht="14.25">
      <c r="F83" s="82"/>
      <c r="G83" s="82"/>
      <c r="H83" s="82"/>
      <c r="I83" s="82"/>
    </row>
    <row r="84" spans="6:9" ht="14.25">
      <c r="F84" s="82"/>
      <c r="G84" s="82"/>
      <c r="H84" s="82"/>
      <c r="I84" s="82"/>
    </row>
    <row r="85" spans="6:9" ht="14.25">
      <c r="F85" s="82"/>
      <c r="G85" s="82"/>
      <c r="H85" s="82"/>
      <c r="I85" s="82"/>
    </row>
    <row r="86" spans="6:9" ht="14.25">
      <c r="F86" s="82"/>
      <c r="G86" s="82"/>
      <c r="H86" s="82"/>
      <c r="I86" s="82"/>
    </row>
    <row r="87" spans="6:9" ht="14.25">
      <c r="F87" s="82"/>
      <c r="G87" s="82"/>
      <c r="H87" s="82"/>
      <c r="I87" s="82"/>
    </row>
    <row r="88" spans="6:9" ht="14.25">
      <c r="F88" s="82"/>
      <c r="G88" s="82"/>
      <c r="H88" s="82"/>
      <c r="I88" s="82"/>
    </row>
    <row r="89" spans="6:9" ht="14.25">
      <c r="F89" s="82"/>
      <c r="G89" s="82"/>
      <c r="H89" s="82"/>
      <c r="I89" s="82"/>
    </row>
    <row r="90" spans="6:9" ht="14.25">
      <c r="F90" s="82"/>
      <c r="G90" s="82"/>
      <c r="H90" s="82"/>
      <c r="I90" s="82"/>
    </row>
    <row r="91" spans="6:9" ht="14.25">
      <c r="F91" s="82"/>
      <c r="G91" s="82"/>
      <c r="H91" s="82"/>
      <c r="I91" s="82"/>
    </row>
    <row r="92" spans="6:9" ht="14.25">
      <c r="F92" s="82"/>
      <c r="G92" s="82"/>
      <c r="H92" s="82"/>
      <c r="I92" s="82"/>
    </row>
    <row r="93" spans="6:9" ht="14.25">
      <c r="F93" s="82"/>
      <c r="G93" s="82"/>
      <c r="H93" s="82"/>
      <c r="I93" s="82"/>
    </row>
    <row r="94" spans="6:9" ht="14.25">
      <c r="F94" s="82"/>
      <c r="G94" s="82"/>
      <c r="H94" s="82"/>
      <c r="I94" s="82"/>
    </row>
    <row r="95" spans="6:9" ht="14.25">
      <c r="F95" s="82"/>
      <c r="G95" s="82"/>
      <c r="H95" s="82"/>
      <c r="I95" s="82"/>
    </row>
    <row r="96" spans="6:9" ht="14.25">
      <c r="F96" s="82"/>
      <c r="G96" s="82"/>
      <c r="H96" s="82"/>
      <c r="I96" s="82"/>
    </row>
    <row r="97" spans="6:9" ht="14.25">
      <c r="F97" s="82"/>
      <c r="G97" s="82"/>
      <c r="H97" s="82"/>
      <c r="I97" s="82"/>
    </row>
    <row r="98" spans="6:9" ht="14.25">
      <c r="F98" s="82"/>
      <c r="G98" s="82"/>
      <c r="H98" s="82"/>
      <c r="I98" s="82"/>
    </row>
    <row r="99" spans="6:9" ht="14.25">
      <c r="F99" s="82"/>
      <c r="G99" s="82"/>
      <c r="H99" s="82"/>
      <c r="I99" s="82"/>
    </row>
    <row r="100" spans="6:9" ht="14.25">
      <c r="F100" s="82"/>
      <c r="G100" s="82"/>
      <c r="H100" s="82"/>
      <c r="I100" s="82"/>
    </row>
    <row r="101" spans="6:9" ht="14.25">
      <c r="F101" s="82"/>
      <c r="G101" s="82"/>
      <c r="H101" s="82"/>
      <c r="I101" s="82"/>
    </row>
    <row r="102" spans="6:9" ht="14.25">
      <c r="F102" s="82"/>
      <c r="G102" s="82"/>
      <c r="H102" s="82"/>
      <c r="I102" s="82"/>
    </row>
    <row r="103" spans="6:9" ht="14.25">
      <c r="F103" s="82"/>
      <c r="G103" s="82"/>
      <c r="H103" s="82"/>
      <c r="I103" s="82"/>
    </row>
    <row r="104" spans="6:9" ht="14.25">
      <c r="F104" s="82"/>
      <c r="G104" s="82"/>
      <c r="H104" s="82"/>
      <c r="I104" s="82"/>
    </row>
    <row r="105" spans="6:9" ht="14.25">
      <c r="F105" s="82"/>
      <c r="G105" s="82"/>
      <c r="H105" s="82"/>
      <c r="I105" s="82"/>
    </row>
    <row r="106" spans="6:9" ht="14.25">
      <c r="F106" s="82"/>
      <c r="G106" s="82"/>
      <c r="H106" s="82"/>
      <c r="I106" s="82"/>
    </row>
    <row r="107" spans="6:9" ht="14.25">
      <c r="F107" s="82"/>
      <c r="G107" s="82"/>
      <c r="H107" s="82"/>
      <c r="I107" s="82"/>
    </row>
    <row r="108" spans="6:9" ht="14.25">
      <c r="F108" s="82"/>
      <c r="G108" s="82"/>
      <c r="H108" s="82"/>
      <c r="I108" s="82"/>
    </row>
    <row r="109" spans="6:9" ht="14.25">
      <c r="F109" s="82"/>
      <c r="G109" s="82"/>
      <c r="H109" s="82"/>
      <c r="I109" s="82"/>
    </row>
    <row r="110" spans="6:9" ht="14.25">
      <c r="F110" s="82"/>
      <c r="G110" s="82"/>
      <c r="H110" s="82"/>
      <c r="I110" s="82"/>
    </row>
    <row r="111" spans="6:9" ht="14.25">
      <c r="F111" s="82"/>
      <c r="G111" s="82"/>
      <c r="H111" s="82"/>
      <c r="I111" s="82"/>
    </row>
    <row r="112" spans="6:9" ht="14.25">
      <c r="F112" s="82"/>
      <c r="G112" s="82"/>
      <c r="H112" s="82"/>
      <c r="I112"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67" spans="6:9" ht="14.25">
      <c r="F167" s="82"/>
      <c r="G167" s="82"/>
      <c r="H167" s="82"/>
      <c r="I167" s="82"/>
    </row>
  </sheetData>
  <sheetProtection/>
  <mergeCells count="4">
    <mergeCell ref="B6:E6"/>
    <mergeCell ref="F6:I6"/>
    <mergeCell ref="A32:I32"/>
    <mergeCell ref="A31:I31"/>
  </mergeCells>
  <conditionalFormatting sqref="B33:I33">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HLOOKUP(INDICE!$F$2,Nombres!$C$3:$D$636,280,FALSE)</f>
        <v>Corporate &amp; Investment Banking (*)</v>
      </c>
      <c r="B1" s="30"/>
      <c r="C1" s="30"/>
      <c r="D1" s="30"/>
      <c r="E1" s="30"/>
      <c r="F1" s="30"/>
      <c r="G1" s="30"/>
      <c r="H1" s="30"/>
      <c r="I1" s="30"/>
    </row>
    <row r="2" spans="1:9" ht="14.25">
      <c r="A2" s="300" t="str">
        <f>HLOOKUP(INDICE!$F$2,Nombres!$C$3:$D$636,281,FALSE)</f>
        <v>(*) Excludes  the CIB Business sold to PNC.</v>
      </c>
      <c r="B2" s="300"/>
      <c r="C2" s="300"/>
      <c r="D2" s="300"/>
      <c r="E2" s="300"/>
      <c r="F2" s="300"/>
      <c r="G2" s="300"/>
      <c r="H2" s="300"/>
      <c r="I2" s="30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381.30943282</v>
      </c>
      <c r="C8" s="41">
        <v>370.53462382999993</v>
      </c>
      <c r="D8" s="41">
        <v>403.90839172000005</v>
      </c>
      <c r="E8" s="42">
        <v>419.9916559100001</v>
      </c>
      <c r="F8" s="50">
        <v>465.50252501</v>
      </c>
      <c r="G8" s="50">
        <v>0</v>
      </c>
      <c r="H8" s="50">
        <v>0</v>
      </c>
      <c r="I8" s="50">
        <v>0</v>
      </c>
    </row>
    <row r="9" spans="1:9" ht="14.25">
      <c r="A9" s="43" t="str">
        <f>HLOOKUP(INDICE!$F$2,Nombres!$C$3:$D$636,34,FALSE)</f>
        <v>Net fees and commissions</v>
      </c>
      <c r="B9" s="44">
        <v>192.20489363000002</v>
      </c>
      <c r="C9" s="44">
        <v>194.29421501000002</v>
      </c>
      <c r="D9" s="44">
        <v>196.41632854000005</v>
      </c>
      <c r="E9" s="45">
        <v>210.80869652</v>
      </c>
      <c r="F9" s="44">
        <v>198.3596695</v>
      </c>
      <c r="G9" s="44">
        <v>0</v>
      </c>
      <c r="H9" s="44">
        <v>0</v>
      </c>
      <c r="I9" s="44">
        <v>0</v>
      </c>
    </row>
    <row r="10" spans="1:9" ht="14.25">
      <c r="A10" s="43" t="str">
        <f>HLOOKUP(INDICE!$F$2,Nombres!$C$3:$D$636,35,FALSE)</f>
        <v>Net trading income</v>
      </c>
      <c r="B10" s="44">
        <v>272.72820229999996</v>
      </c>
      <c r="C10" s="44">
        <v>227.23399016999997</v>
      </c>
      <c r="D10" s="44">
        <v>135.55511246000003</v>
      </c>
      <c r="E10" s="45">
        <v>269.87177841000005</v>
      </c>
      <c r="F10" s="44">
        <v>363.04476009</v>
      </c>
      <c r="G10" s="44">
        <v>0</v>
      </c>
      <c r="H10" s="44">
        <v>0</v>
      </c>
      <c r="I10" s="44">
        <v>0</v>
      </c>
    </row>
    <row r="11" spans="1:9" ht="14.25">
      <c r="A11" s="43" t="str">
        <f>HLOOKUP(INDICE!$F$2,Nombres!$C$3:$D$636,36,FALSE)</f>
        <v>Other operating income and expenses</v>
      </c>
      <c r="B11" s="44">
        <v>-10.85766648</v>
      </c>
      <c r="C11" s="44">
        <v>-6.87800135</v>
      </c>
      <c r="D11" s="44">
        <v>-10.40183264</v>
      </c>
      <c r="E11" s="45">
        <v>-11.782524420000001</v>
      </c>
      <c r="F11" s="44">
        <v>-7.927589340000001</v>
      </c>
      <c r="G11" s="44">
        <v>0</v>
      </c>
      <c r="H11" s="44">
        <v>0</v>
      </c>
      <c r="I11" s="44">
        <v>0</v>
      </c>
    </row>
    <row r="12" spans="1:9" ht="14.25">
      <c r="A12" s="41" t="str">
        <f>HLOOKUP(INDICE!$F$2,Nombres!$C$3:$D$636,37,FALSE)</f>
        <v>Gross income</v>
      </c>
      <c r="B12" s="41">
        <f>+SUM(B8:B11)</f>
        <v>835.38486227</v>
      </c>
      <c r="C12" s="41">
        <f aca="true" t="shared" si="0" ref="C12:I12">+SUM(C8:C11)</f>
        <v>785.1848276599999</v>
      </c>
      <c r="D12" s="41">
        <f t="shared" si="0"/>
        <v>725.4780000800001</v>
      </c>
      <c r="E12" s="42">
        <f t="shared" si="0"/>
        <v>888.8896064200002</v>
      </c>
      <c r="F12" s="50">
        <f t="shared" si="0"/>
        <v>1018.97936526</v>
      </c>
      <c r="G12" s="50">
        <f t="shared" si="0"/>
        <v>0</v>
      </c>
      <c r="H12" s="50">
        <f t="shared" si="0"/>
        <v>0</v>
      </c>
      <c r="I12" s="50">
        <f t="shared" si="0"/>
        <v>0</v>
      </c>
    </row>
    <row r="13" spans="1:9" ht="14.25">
      <c r="A13" s="43" t="str">
        <f>HLOOKUP(INDICE!$F$2,Nombres!$C$3:$D$636,38,FALSE)</f>
        <v>Operating expenses</v>
      </c>
      <c r="B13" s="44">
        <v>-234.50765034</v>
      </c>
      <c r="C13" s="44">
        <v>-237.98023368</v>
      </c>
      <c r="D13" s="44">
        <v>-238.12408507000004</v>
      </c>
      <c r="E13" s="45">
        <v>-288.07963643</v>
      </c>
      <c r="F13" s="44">
        <v>-258.70686229</v>
      </c>
      <c r="G13" s="44">
        <v>0</v>
      </c>
      <c r="H13" s="44">
        <v>0</v>
      </c>
      <c r="I13" s="44">
        <v>0</v>
      </c>
    </row>
    <row r="14" spans="1:9" ht="14.25">
      <c r="A14" s="43" t="str">
        <f>HLOOKUP(INDICE!$F$2,Nombres!$C$3:$D$636,39,FALSE)</f>
        <v>  Administration expenses</v>
      </c>
      <c r="B14" s="44">
        <v>-207.50125348</v>
      </c>
      <c r="C14" s="44">
        <v>-210.90075214</v>
      </c>
      <c r="D14" s="44">
        <v>-210.81253869000005</v>
      </c>
      <c r="E14" s="45">
        <v>-261.98104011</v>
      </c>
      <c r="F14" s="44">
        <v>-233.16514754</v>
      </c>
      <c r="G14" s="44">
        <v>0</v>
      </c>
      <c r="H14" s="44">
        <v>0</v>
      </c>
      <c r="I14" s="44">
        <v>0</v>
      </c>
    </row>
    <row r="15" spans="1:9" ht="14.25">
      <c r="A15" s="46" t="str">
        <f>HLOOKUP(INDICE!$F$2,Nombres!$C$3:$D$636,40,FALSE)</f>
        <v>  Personnel expenses</v>
      </c>
      <c r="B15" s="44">
        <v>-106.11608858</v>
      </c>
      <c r="C15" s="44">
        <v>-106.18785743000001</v>
      </c>
      <c r="D15" s="44">
        <v>-111.42252795000002</v>
      </c>
      <c r="E15" s="45">
        <v>-150.41261318</v>
      </c>
      <c r="F15" s="44">
        <v>-118.98804152</v>
      </c>
      <c r="G15" s="44">
        <v>0</v>
      </c>
      <c r="H15" s="44">
        <v>0</v>
      </c>
      <c r="I15" s="44">
        <v>0</v>
      </c>
    </row>
    <row r="16" spans="1:9" ht="14.25">
      <c r="A16" s="46" t="str">
        <f>HLOOKUP(INDICE!$F$2,Nombres!$C$3:$D$636,41,FALSE)</f>
        <v>  General and administrative expenses</v>
      </c>
      <c r="B16" s="44">
        <v>-101.38516489999998</v>
      </c>
      <c r="C16" s="44">
        <v>-104.71289471</v>
      </c>
      <c r="D16" s="44">
        <v>-99.39001074000004</v>
      </c>
      <c r="E16" s="45">
        <v>-111.56842692999999</v>
      </c>
      <c r="F16" s="44">
        <v>-114.17710602000001</v>
      </c>
      <c r="G16" s="44">
        <v>0</v>
      </c>
      <c r="H16" s="44">
        <v>0</v>
      </c>
      <c r="I16" s="44">
        <v>0</v>
      </c>
    </row>
    <row r="17" spans="1:9" ht="14.25">
      <c r="A17" s="43" t="str">
        <f>HLOOKUP(INDICE!$F$2,Nombres!$C$3:$D$636,42,FALSE)</f>
        <v>  Depreciation</v>
      </c>
      <c r="B17" s="44">
        <v>-27.006396860000002</v>
      </c>
      <c r="C17" s="44">
        <v>-27.079481539999996</v>
      </c>
      <c r="D17" s="44">
        <v>-27.31154638</v>
      </c>
      <c r="E17" s="45">
        <v>-26.098596319999995</v>
      </c>
      <c r="F17" s="44">
        <v>-25.54171475</v>
      </c>
      <c r="G17" s="44">
        <v>0</v>
      </c>
      <c r="H17" s="44">
        <v>0</v>
      </c>
      <c r="I17" s="44">
        <v>0</v>
      </c>
    </row>
    <row r="18" spans="1:9" ht="14.25">
      <c r="A18" s="41" t="str">
        <f>HLOOKUP(INDICE!$F$2,Nombres!$C$3:$D$636,43,FALSE)</f>
        <v>Operating income</v>
      </c>
      <c r="B18" s="41">
        <f>+B12+B13</f>
        <v>600.8772119299999</v>
      </c>
      <c r="C18" s="41">
        <f aca="true" t="shared" si="1" ref="C18:I18">+C12+C13</f>
        <v>547.2045939799999</v>
      </c>
      <c r="D18" s="41">
        <f t="shared" si="1"/>
        <v>487.3539150100001</v>
      </c>
      <c r="E18" s="42">
        <f t="shared" si="1"/>
        <v>600.8099699900001</v>
      </c>
      <c r="F18" s="50">
        <f t="shared" si="1"/>
        <v>760.27250297</v>
      </c>
      <c r="G18" s="50">
        <f t="shared" si="1"/>
        <v>0</v>
      </c>
      <c r="H18" s="50">
        <f t="shared" si="1"/>
        <v>0</v>
      </c>
      <c r="I18" s="50">
        <f t="shared" si="1"/>
        <v>0</v>
      </c>
    </row>
    <row r="19" spans="1:9" ht="14.25">
      <c r="A19" s="43" t="str">
        <f>HLOOKUP(INDICE!$F$2,Nombres!$C$3:$D$636,44,FALSE)</f>
        <v>Impaiment on financial assets not measured at fair value through profit or loss</v>
      </c>
      <c r="B19" s="44">
        <v>-42.86934394000001</v>
      </c>
      <c r="C19" s="44">
        <v>-10.941993759999987</v>
      </c>
      <c r="D19" s="44">
        <v>40.84088840999997</v>
      </c>
      <c r="E19" s="45">
        <v>-55.69445961999998</v>
      </c>
      <c r="F19" s="44">
        <v>-20.77906424999999</v>
      </c>
      <c r="G19" s="44">
        <v>0</v>
      </c>
      <c r="H19" s="44">
        <v>0</v>
      </c>
      <c r="I19" s="44">
        <v>0</v>
      </c>
    </row>
    <row r="20" spans="1:9" ht="14.25">
      <c r="A20" s="43" t="str">
        <f>HLOOKUP(INDICE!$F$2,Nombres!$C$3:$D$636,45,FALSE)</f>
        <v>Provisions or reversal of provisions and other results</v>
      </c>
      <c r="B20" s="44">
        <v>-22.131654360000002</v>
      </c>
      <c r="C20" s="44">
        <v>5.6919044700000025</v>
      </c>
      <c r="D20" s="44">
        <v>16.4108476</v>
      </c>
      <c r="E20" s="45">
        <v>-11.680644600000004</v>
      </c>
      <c r="F20" s="44">
        <v>18.65117579</v>
      </c>
      <c r="G20" s="44">
        <v>0</v>
      </c>
      <c r="H20" s="44">
        <v>0</v>
      </c>
      <c r="I20" s="44">
        <v>0</v>
      </c>
    </row>
    <row r="21" spans="1:9" ht="14.25">
      <c r="A21" s="41" t="str">
        <f>HLOOKUP(INDICE!$F$2,Nombres!$C$3:$D$636,46,FALSE)</f>
        <v>Profit/(loss) before tax</v>
      </c>
      <c r="B21" s="41">
        <f>+B18+B19+B20</f>
        <v>535.8762136299999</v>
      </c>
      <c r="C21" s="41">
        <f aca="true" t="shared" si="2" ref="C21:I21">+C18+C19+C20</f>
        <v>541.95450469</v>
      </c>
      <c r="D21" s="41">
        <f t="shared" si="2"/>
        <v>544.6056510200001</v>
      </c>
      <c r="E21" s="42">
        <f t="shared" si="2"/>
        <v>533.4348657700001</v>
      </c>
      <c r="F21" s="50">
        <f t="shared" si="2"/>
        <v>758.14461451</v>
      </c>
      <c r="G21" s="50">
        <f t="shared" si="2"/>
        <v>0</v>
      </c>
      <c r="H21" s="50">
        <f t="shared" si="2"/>
        <v>0</v>
      </c>
      <c r="I21" s="50">
        <f t="shared" si="2"/>
        <v>0</v>
      </c>
    </row>
    <row r="22" spans="1:9" ht="14.25">
      <c r="A22" s="43" t="str">
        <f>HLOOKUP(INDICE!$F$2,Nombres!$C$3:$D$636,47,FALSE)</f>
        <v>Income tax</v>
      </c>
      <c r="B22" s="44">
        <v>-140.51039845000003</v>
      </c>
      <c r="C22" s="44">
        <v>-160.45496279000002</v>
      </c>
      <c r="D22" s="44">
        <v>-153.29763511</v>
      </c>
      <c r="E22" s="45">
        <v>-135.01085758</v>
      </c>
      <c r="F22" s="44">
        <v>-210.61117230000002</v>
      </c>
      <c r="G22" s="44">
        <v>0</v>
      </c>
      <c r="H22" s="44">
        <v>0</v>
      </c>
      <c r="I22" s="44">
        <v>0</v>
      </c>
    </row>
    <row r="23" spans="1:9" ht="14.25">
      <c r="A23" s="41" t="str">
        <f>HLOOKUP(INDICE!$F$2,Nombres!$C$3:$D$636,48,FALSE)</f>
        <v>Profit/(loss) for the year</v>
      </c>
      <c r="B23" s="41">
        <f>+B21+B22</f>
        <v>395.3658151799999</v>
      </c>
      <c r="C23" s="41">
        <f aca="true" t="shared" si="3" ref="C23:I23">+C21+C22</f>
        <v>381.4995419</v>
      </c>
      <c r="D23" s="41">
        <f t="shared" si="3"/>
        <v>391.3080159100001</v>
      </c>
      <c r="E23" s="42">
        <f t="shared" si="3"/>
        <v>398.4240081900001</v>
      </c>
      <c r="F23" s="50">
        <f t="shared" si="3"/>
        <v>547.53344221</v>
      </c>
      <c r="G23" s="50">
        <f t="shared" si="3"/>
        <v>0</v>
      </c>
      <c r="H23" s="50">
        <f t="shared" si="3"/>
        <v>0</v>
      </c>
      <c r="I23" s="50">
        <f t="shared" si="3"/>
        <v>0</v>
      </c>
    </row>
    <row r="24" spans="1:9" ht="14.25">
      <c r="A24" s="43" t="str">
        <f>HLOOKUP(INDICE!$F$2,Nombres!$C$3:$D$636,49,FALSE)</f>
        <v>Non-controlling interests</v>
      </c>
      <c r="B24" s="44">
        <v>-76.23864476</v>
      </c>
      <c r="C24" s="44">
        <v>-66.44225313</v>
      </c>
      <c r="D24" s="44">
        <v>-77.1920655</v>
      </c>
      <c r="E24" s="45">
        <v>-106.67073974000002</v>
      </c>
      <c r="F24" s="44">
        <v>-103.59820723</v>
      </c>
      <c r="G24" s="44">
        <v>0</v>
      </c>
      <c r="H24" s="44">
        <v>0</v>
      </c>
      <c r="I24" s="44">
        <v>0</v>
      </c>
    </row>
    <row r="25" spans="1:9" ht="14.25">
      <c r="A25" s="47" t="str">
        <f>HLOOKUP(INDICE!$F$2,Nombres!$C$3:$D$636,50,FALSE)</f>
        <v>Net attributable profit</v>
      </c>
      <c r="B25" s="47">
        <f>+B23+B24</f>
        <v>319.1271704199999</v>
      </c>
      <c r="C25" s="47">
        <f aca="true" t="shared" si="4" ref="C25:I25">+C23+C24</f>
        <v>315.05728877</v>
      </c>
      <c r="D25" s="47">
        <f t="shared" si="4"/>
        <v>314.1159504100001</v>
      </c>
      <c r="E25" s="47">
        <f t="shared" si="4"/>
        <v>291.75326845000006</v>
      </c>
      <c r="F25" s="51">
        <f t="shared" si="4"/>
        <v>443.93523497999996</v>
      </c>
      <c r="G25" s="51">
        <f t="shared" si="4"/>
        <v>0</v>
      </c>
      <c r="H25" s="51">
        <f t="shared" si="4"/>
        <v>0</v>
      </c>
      <c r="I25" s="51">
        <f t="shared" si="4"/>
        <v>0</v>
      </c>
    </row>
    <row r="26" spans="1:9" ht="14.25">
      <c r="A26" s="289"/>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13" ht="14.25">
      <c r="A31" s="43" t="str">
        <f>HLOOKUP(INDICE!$F$2,Nombres!$C$3:$D$636,52,FALSE)</f>
        <v>Cash, cash balances at central banks and other demand deposits</v>
      </c>
      <c r="B31" s="44">
        <v>4756.907981450004</v>
      </c>
      <c r="C31" s="44">
        <v>4748.889295589999</v>
      </c>
      <c r="D31" s="44">
        <v>5118.1363494299985</v>
      </c>
      <c r="E31" s="45">
        <v>5125.256835370001</v>
      </c>
      <c r="F31" s="44">
        <v>6333.955833989999</v>
      </c>
      <c r="G31" s="44">
        <v>0</v>
      </c>
      <c r="H31" s="44">
        <v>0</v>
      </c>
      <c r="I31" s="44">
        <v>0</v>
      </c>
      <c r="L31" s="54"/>
      <c r="M31" s="54"/>
    </row>
    <row r="32" spans="1:13" ht="14.25">
      <c r="A32" s="43" t="str">
        <f>HLOOKUP(INDICE!$F$2,Nombres!$C$3:$D$636,53,FALSE)</f>
        <v>Financial assets designated at fair value </v>
      </c>
      <c r="B32" s="58">
        <v>102467.68854402</v>
      </c>
      <c r="C32" s="58">
        <v>107855.91808451003</v>
      </c>
      <c r="D32" s="58">
        <v>111931.94124331002</v>
      </c>
      <c r="E32" s="65">
        <v>131710.73868866</v>
      </c>
      <c r="F32" s="44">
        <v>121981.77695218001</v>
      </c>
      <c r="G32" s="44">
        <v>0</v>
      </c>
      <c r="H32" s="44">
        <v>0</v>
      </c>
      <c r="I32" s="44">
        <v>0</v>
      </c>
      <c r="L32" s="54"/>
      <c r="M32" s="54"/>
    </row>
    <row r="33" spans="1:13" ht="14.25">
      <c r="A33" s="43" t="str">
        <f>HLOOKUP(INDICE!$F$2,Nombres!$C$3:$D$636,54,FALSE)</f>
        <v>Financial assets at amortized cost</v>
      </c>
      <c r="B33" s="44">
        <v>68969.52906472</v>
      </c>
      <c r="C33" s="44">
        <v>68486.4781597</v>
      </c>
      <c r="D33" s="44">
        <v>68979.34209984001</v>
      </c>
      <c r="E33" s="45">
        <v>72363.16147175</v>
      </c>
      <c r="F33" s="44">
        <v>80210.69467848</v>
      </c>
      <c r="G33" s="44">
        <v>0</v>
      </c>
      <c r="H33" s="44">
        <v>0</v>
      </c>
      <c r="I33" s="44">
        <v>0</v>
      </c>
      <c r="L33" s="54"/>
      <c r="M33" s="54"/>
    </row>
    <row r="34" spans="1:13" ht="14.25">
      <c r="A34" s="43" t="str">
        <f>HLOOKUP(INDICE!$F$2,Nombres!$C$3:$D$636,55,FALSE)</f>
        <v>    of which loans and advances to customers</v>
      </c>
      <c r="B34" s="44">
        <v>58026.63823676</v>
      </c>
      <c r="C34" s="44">
        <v>57870.13750652</v>
      </c>
      <c r="D34" s="44">
        <v>58400.68174325</v>
      </c>
      <c r="E34" s="45">
        <v>62042.499257760006</v>
      </c>
      <c r="F34" s="44">
        <v>70184.88136120001</v>
      </c>
      <c r="G34" s="44">
        <v>0</v>
      </c>
      <c r="H34" s="44">
        <v>0</v>
      </c>
      <c r="I34" s="44">
        <v>0</v>
      </c>
      <c r="L34" s="54"/>
      <c r="M34" s="54"/>
    </row>
    <row r="35" spans="1:13" ht="14.25">
      <c r="A35" s="43" t="str">
        <f>HLOOKUP(INDICE!$F$2,Nombres!$C$3:$D$636,121,FALSE)</f>
        <v>Inter-area positions</v>
      </c>
      <c r="B35" s="44">
        <v>0</v>
      </c>
      <c r="C35" s="44">
        <v>0</v>
      </c>
      <c r="D35" s="44">
        <v>0</v>
      </c>
      <c r="E35" s="45">
        <v>0</v>
      </c>
      <c r="F35" s="44">
        <v>0</v>
      </c>
      <c r="G35" s="44">
        <v>0</v>
      </c>
      <c r="H35" s="44">
        <v>0</v>
      </c>
      <c r="I35" s="44">
        <v>0</v>
      </c>
      <c r="L35" s="54"/>
      <c r="M35" s="54"/>
    </row>
    <row r="36" spans="1:13" ht="14.25">
      <c r="A36" s="43" t="str">
        <f>HLOOKUP(INDICE!$F$2,Nombres!$C$3:$D$636,56,FALSE)</f>
        <v>Tangible assets</v>
      </c>
      <c r="B36" s="44">
        <v>45.1876791</v>
      </c>
      <c r="C36" s="44">
        <v>42.16608227</v>
      </c>
      <c r="D36" s="44">
        <v>39.262886699999996</v>
      </c>
      <c r="E36" s="45">
        <v>42.97531898</v>
      </c>
      <c r="F36" s="44">
        <v>53.5468733</v>
      </c>
      <c r="G36" s="44">
        <v>0</v>
      </c>
      <c r="H36" s="44">
        <v>0</v>
      </c>
      <c r="I36" s="44">
        <v>0</v>
      </c>
      <c r="L36" s="54"/>
      <c r="M36" s="54"/>
    </row>
    <row r="37" spans="1:13" ht="14.25">
      <c r="A37" s="43" t="str">
        <f>HLOOKUP(INDICE!$F$2,Nombres!$C$3:$D$636,57,FALSE)</f>
        <v>Other assets</v>
      </c>
      <c r="B37" s="58">
        <f>+B38-B36-B33-B32-B31-B35</f>
        <v>1221.6207880100374</v>
      </c>
      <c r="C37" s="58">
        <f aca="true" t="shared" si="5" ref="C37:I37">+C38-C36-C33-C32-C31-C35</f>
        <v>2355.04481922999</v>
      </c>
      <c r="D37" s="58">
        <f t="shared" si="5"/>
        <v>1725.9821304300021</v>
      </c>
      <c r="E37" s="65">
        <f t="shared" si="5"/>
        <v>109.90630291001071</v>
      </c>
      <c r="F37" s="58">
        <f t="shared" si="5"/>
        <v>1061.2934738000158</v>
      </c>
      <c r="G37" s="58">
        <f t="shared" si="5"/>
        <v>0</v>
      </c>
      <c r="H37" s="58">
        <f t="shared" si="5"/>
        <v>0</v>
      </c>
      <c r="I37" s="58">
        <f t="shared" si="5"/>
        <v>0</v>
      </c>
      <c r="L37" s="54"/>
      <c r="M37" s="54"/>
    </row>
    <row r="38" spans="1:13" ht="14.25">
      <c r="A38" s="47" t="str">
        <f>HLOOKUP(INDICE!$F$2,Nombres!$C$3:$D$636,58,FALSE)</f>
        <v>Total assets / Liabilities and equity</v>
      </c>
      <c r="B38" s="47">
        <v>177460.93405730004</v>
      </c>
      <c r="C38" s="47">
        <v>183488.49644130003</v>
      </c>
      <c r="D38" s="47">
        <v>187794.66470971002</v>
      </c>
      <c r="E38" s="71">
        <v>209352.03861767</v>
      </c>
      <c r="F38" s="51">
        <v>209641.26781175</v>
      </c>
      <c r="G38" s="51">
        <v>0</v>
      </c>
      <c r="H38" s="51">
        <v>0</v>
      </c>
      <c r="I38" s="51">
        <v>0</v>
      </c>
      <c r="L38" s="54"/>
      <c r="M38" s="54"/>
    </row>
    <row r="39" spans="1:13" ht="14.25">
      <c r="A39" s="43" t="str">
        <f>HLOOKUP(INDICE!$F$2,Nombres!$C$3:$D$636,59,FALSE)</f>
        <v>Financial liabilities held for trading and designated at fair value through profit or loss</v>
      </c>
      <c r="B39" s="58">
        <v>81075.84844107002</v>
      </c>
      <c r="C39" s="58">
        <v>82208.51664821</v>
      </c>
      <c r="D39" s="58">
        <v>83088.08032127</v>
      </c>
      <c r="E39" s="65">
        <v>95283.13941246</v>
      </c>
      <c r="F39" s="44">
        <v>92173.41449375001</v>
      </c>
      <c r="G39" s="44">
        <v>0</v>
      </c>
      <c r="H39" s="44">
        <v>0</v>
      </c>
      <c r="I39" s="44">
        <v>0</v>
      </c>
      <c r="L39" s="54"/>
      <c r="M39" s="54"/>
    </row>
    <row r="40" spans="1:13" ht="14.25">
      <c r="A40" s="43" t="str">
        <f>HLOOKUP(INDICE!$F$2,Nombres!$C$3:$D$636,60,FALSE)</f>
        <v>Deposits from central banks and credit institutions</v>
      </c>
      <c r="B40" s="58">
        <v>14230.343513389998</v>
      </c>
      <c r="C40" s="58">
        <v>14878.94608085</v>
      </c>
      <c r="D40" s="58">
        <v>15307.926067229997</v>
      </c>
      <c r="E40" s="65">
        <v>12883.517656659998</v>
      </c>
      <c r="F40" s="44">
        <v>16254.94732625</v>
      </c>
      <c r="G40" s="44">
        <v>0</v>
      </c>
      <c r="H40" s="44">
        <v>0</v>
      </c>
      <c r="I40" s="44">
        <v>0</v>
      </c>
      <c r="L40" s="54"/>
      <c r="M40" s="54"/>
    </row>
    <row r="41" spans="1:13" ht="15.75" customHeight="1">
      <c r="A41" s="43" t="str">
        <f>HLOOKUP(INDICE!$F$2,Nombres!$C$3:$D$636,61,FALSE)</f>
        <v>Deposits from customers</v>
      </c>
      <c r="B41" s="58">
        <v>36489.33001814</v>
      </c>
      <c r="C41" s="58">
        <v>37169.56320787</v>
      </c>
      <c r="D41" s="58">
        <v>36686.46877222</v>
      </c>
      <c r="E41" s="65">
        <v>38359.8209804</v>
      </c>
      <c r="F41" s="44">
        <v>38572.392747369995</v>
      </c>
      <c r="G41" s="44">
        <v>0</v>
      </c>
      <c r="H41" s="44">
        <v>0</v>
      </c>
      <c r="I41" s="44">
        <v>0</v>
      </c>
      <c r="L41" s="54"/>
      <c r="M41" s="54"/>
    </row>
    <row r="42" spans="1:13" ht="14.25">
      <c r="A42" s="43" t="str">
        <f>HLOOKUP(INDICE!$F$2,Nombres!$C$3:$D$636,62,FALSE)</f>
        <v>Debt certificates</v>
      </c>
      <c r="B42" s="44">
        <v>2194.24470509</v>
      </c>
      <c r="C42" s="44">
        <v>2713.23074017</v>
      </c>
      <c r="D42" s="44">
        <v>3132.3048752499994</v>
      </c>
      <c r="E42" s="45">
        <v>5746.02746363</v>
      </c>
      <c r="F42" s="44">
        <v>4278.92715128</v>
      </c>
      <c r="G42" s="44">
        <v>0</v>
      </c>
      <c r="H42" s="44">
        <v>0</v>
      </c>
      <c r="I42" s="44">
        <v>0</v>
      </c>
      <c r="L42" s="54"/>
      <c r="M42" s="54"/>
    </row>
    <row r="43" spans="1:13" ht="14.25">
      <c r="A43" s="43" t="str">
        <f>HLOOKUP(INDICE!$F$2,Nombres!$C$3:$D$636,122,FALSE)</f>
        <v>Inter-area positions</v>
      </c>
      <c r="B43" s="44">
        <v>33175.89800549745</v>
      </c>
      <c r="C43" s="44">
        <v>33861.31383329441</v>
      </c>
      <c r="D43" s="44">
        <v>37146.19986256198</v>
      </c>
      <c r="E43" s="45">
        <v>44195.53935445562</v>
      </c>
      <c r="F43" s="44">
        <v>45440.4048979904</v>
      </c>
      <c r="G43" s="44">
        <v>0</v>
      </c>
      <c r="H43" s="44">
        <v>0</v>
      </c>
      <c r="I43" s="44">
        <v>0</v>
      </c>
      <c r="L43" s="54"/>
      <c r="M43" s="54"/>
    </row>
    <row r="44" spans="1:13" ht="14.25">
      <c r="A44" s="43" t="str">
        <f>HLOOKUP(INDICE!$F$2,Nombres!$C$3:$D$636,63,FALSE)</f>
        <v>Other liabilities</v>
      </c>
      <c r="B44" s="44">
        <f aca="true" t="shared" si="6" ref="B44:I44">+B38-B39-B40-B41-B42-B45-B43</f>
        <v>1565.3687436449109</v>
      </c>
      <c r="C44" s="44">
        <f t="shared" si="6"/>
        <v>2806.2746584129127</v>
      </c>
      <c r="D44" s="44">
        <f t="shared" si="6"/>
        <v>2519.8738726927913</v>
      </c>
      <c r="E44" s="45">
        <f t="shared" si="6"/>
        <v>2900.5941456762303</v>
      </c>
      <c r="F44" s="44">
        <f t="shared" si="6"/>
        <v>2614.9123381688114</v>
      </c>
      <c r="G44" s="44">
        <f t="shared" si="6"/>
        <v>0</v>
      </c>
      <c r="H44" s="44">
        <f t="shared" si="6"/>
        <v>0</v>
      </c>
      <c r="I44" s="44">
        <f t="shared" si="6"/>
        <v>0</v>
      </c>
      <c r="L44" s="54"/>
      <c r="M44" s="54"/>
    </row>
    <row r="45" spans="1:13" ht="14.25">
      <c r="A45" s="43" t="str">
        <f>HLOOKUP(INDICE!$F$2,Nombres!$C$3:$D$636,282,FALSE)</f>
        <v>Regulatory capital allocated</v>
      </c>
      <c r="B45" s="44">
        <v>8729.900630467651</v>
      </c>
      <c r="C45" s="44">
        <v>9850.6512724927</v>
      </c>
      <c r="D45" s="44">
        <v>9913.810938485252</v>
      </c>
      <c r="E45" s="45">
        <v>9983.399604388153</v>
      </c>
      <c r="F45" s="44">
        <v>10306.268856940798</v>
      </c>
      <c r="G45" s="44">
        <v>0</v>
      </c>
      <c r="H45" s="44">
        <v>0</v>
      </c>
      <c r="I45" s="44">
        <v>0</v>
      </c>
      <c r="L45" s="54"/>
      <c r="M45" s="54"/>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Relevant business indicators</v>
      </c>
      <c r="B48" s="34"/>
      <c r="C48" s="34"/>
      <c r="D48" s="34"/>
      <c r="E48" s="34"/>
      <c r="F48" s="81"/>
      <c r="G48" s="81"/>
      <c r="H48" s="81"/>
      <c r="I48" s="81"/>
    </row>
    <row r="49" spans="1:9" ht="14.25">
      <c r="A49" s="35" t="str">
        <f>HLOOKUP(INDICE!$F$2,Nombres!$C$3:$D$636,32,FALSE)</f>
        <v>(Million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5" customHeight="1">
      <c r="A51" s="43" t="str">
        <f>HLOOKUP(INDICE!$F$2,Nombres!$C$3:$D$636,66,FALSE)</f>
        <v>Loans and advances to customers (gross) (*)</v>
      </c>
      <c r="B51" s="44">
        <v>58932.06356524</v>
      </c>
      <c r="C51" s="44">
        <v>58822.29361016</v>
      </c>
      <c r="D51" s="44">
        <v>59120.4147644</v>
      </c>
      <c r="E51" s="45">
        <v>62896.06160924</v>
      </c>
      <c r="F51" s="77">
        <v>70929.41591351999</v>
      </c>
      <c r="G51" s="77">
        <v>0</v>
      </c>
      <c r="H51" s="77">
        <v>0</v>
      </c>
      <c r="I51" s="77">
        <v>0</v>
      </c>
    </row>
    <row r="52" spans="1:9" ht="14.25">
      <c r="A52" s="43" t="str">
        <f>HLOOKUP(INDICE!$F$2,Nombres!$C$3:$D$636,67,FALSE)</f>
        <v>Customer deposits under management (*)</v>
      </c>
      <c r="B52" s="44">
        <v>35881.37108473</v>
      </c>
      <c r="C52" s="44">
        <v>36524.3060845</v>
      </c>
      <c r="D52" s="44">
        <v>36036.59698627</v>
      </c>
      <c r="E52" s="45">
        <v>37445.110905760004</v>
      </c>
      <c r="F52" s="44">
        <v>38010.77453535001</v>
      </c>
      <c r="G52" s="44">
        <v>0</v>
      </c>
      <c r="H52" s="44">
        <v>0</v>
      </c>
      <c r="I52" s="44">
        <v>0</v>
      </c>
    </row>
    <row r="53" spans="1:9" ht="14.25">
      <c r="A53" s="43" t="str">
        <f>HLOOKUP(INDICE!$F$2,Nombres!$C$3:$D$636,68,FALSE)</f>
        <v>Investment funds and managed portfolios</v>
      </c>
      <c r="B53" s="44">
        <v>1062.4762971</v>
      </c>
      <c r="C53" s="44">
        <v>1055.6925817400002</v>
      </c>
      <c r="D53" s="44">
        <v>1122.5360347900003</v>
      </c>
      <c r="E53" s="45">
        <v>1209.5401303499998</v>
      </c>
      <c r="F53" s="44">
        <v>1364.1225290099999</v>
      </c>
      <c r="G53" s="44">
        <v>0</v>
      </c>
      <c r="H53" s="44">
        <v>0</v>
      </c>
      <c r="I53" s="44">
        <v>0</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92.72548207999999</v>
      </c>
      <c r="C55" s="44">
        <v>116.31582259</v>
      </c>
      <c r="D55" s="44">
        <v>112.85494168</v>
      </c>
      <c r="E55" s="45">
        <v>104.17368884999999</v>
      </c>
      <c r="F55" s="44">
        <v>135.55139111</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360.12718681655554</v>
      </c>
      <c r="C64" s="41">
        <v>352.3842509266581</v>
      </c>
      <c r="D64" s="41">
        <v>385.60339687680136</v>
      </c>
      <c r="E64" s="42">
        <v>407.9589984879482</v>
      </c>
      <c r="F64" s="50">
        <v>465.50252500999994</v>
      </c>
      <c r="G64" s="50">
        <v>0</v>
      </c>
      <c r="H64" s="50">
        <v>0</v>
      </c>
      <c r="I64" s="50">
        <v>0</v>
      </c>
    </row>
    <row r="65" spans="1:9" ht="14.25">
      <c r="A65" s="43" t="str">
        <f>HLOOKUP(INDICE!$F$2,Nombres!$C$3:$D$636,34,FALSE)</f>
        <v>Net fees and commissions</v>
      </c>
      <c r="B65" s="44">
        <v>178.91955981544746</v>
      </c>
      <c r="C65" s="44">
        <v>185.8413057635848</v>
      </c>
      <c r="D65" s="44">
        <v>193.00859011947938</v>
      </c>
      <c r="E65" s="45">
        <v>209.6536104919672</v>
      </c>
      <c r="F65" s="44">
        <v>198.35966950000002</v>
      </c>
      <c r="G65" s="44">
        <v>0</v>
      </c>
      <c r="H65" s="44">
        <v>0</v>
      </c>
      <c r="I65" s="44">
        <v>0</v>
      </c>
    </row>
    <row r="66" spans="1:9" ht="14.25">
      <c r="A66" s="43" t="str">
        <f>HLOOKUP(INDICE!$F$2,Nombres!$C$3:$D$636,35,FALSE)</f>
        <v>Net trading income</v>
      </c>
      <c r="B66" s="44">
        <v>251.43441463730443</v>
      </c>
      <c r="C66" s="44">
        <v>225.0602052305941</v>
      </c>
      <c r="D66" s="44">
        <v>129.9023371091679</v>
      </c>
      <c r="E66" s="45">
        <v>225.6285936289202</v>
      </c>
      <c r="F66" s="44">
        <v>363.04476009</v>
      </c>
      <c r="G66" s="44">
        <v>0</v>
      </c>
      <c r="H66" s="44">
        <v>0</v>
      </c>
      <c r="I66" s="44">
        <v>0</v>
      </c>
    </row>
    <row r="67" spans="1:9" ht="14.25">
      <c r="A67" s="43" t="str">
        <f>HLOOKUP(INDICE!$F$2,Nombres!$C$3:$D$636,36,FALSE)</f>
        <v>Other operating income and expenses</v>
      </c>
      <c r="B67" s="44">
        <v>-10.876769864774019</v>
      </c>
      <c r="C67" s="44">
        <v>-7.378599516817249</v>
      </c>
      <c r="D67" s="44">
        <v>-10.504170858642258</v>
      </c>
      <c r="E67" s="45">
        <v>-11.710225880458609</v>
      </c>
      <c r="F67" s="44">
        <v>-7.92758934</v>
      </c>
      <c r="G67" s="44">
        <v>0</v>
      </c>
      <c r="H67" s="44">
        <v>0</v>
      </c>
      <c r="I67" s="44">
        <v>0</v>
      </c>
    </row>
    <row r="68" spans="1:9" ht="14.25">
      <c r="A68" s="41" t="str">
        <f>HLOOKUP(INDICE!$F$2,Nombres!$C$3:$D$636,37,FALSE)</f>
        <v>Gross income</v>
      </c>
      <c r="B68" s="41">
        <f>+SUM(B64:B67)</f>
        <v>779.6043914045334</v>
      </c>
      <c r="C68" s="41">
        <f aca="true" t="shared" si="9" ref="C68:I68">+SUM(C64:C67)</f>
        <v>755.9071624040197</v>
      </c>
      <c r="D68" s="41">
        <f t="shared" si="9"/>
        <v>698.0101532468063</v>
      </c>
      <c r="E68" s="42">
        <f t="shared" si="9"/>
        <v>831.530976728377</v>
      </c>
      <c r="F68" s="50">
        <f t="shared" si="9"/>
        <v>1018.97936526</v>
      </c>
      <c r="G68" s="50">
        <f t="shared" si="9"/>
        <v>0</v>
      </c>
      <c r="H68" s="50">
        <f t="shared" si="9"/>
        <v>0</v>
      </c>
      <c r="I68" s="50">
        <f t="shared" si="9"/>
        <v>0</v>
      </c>
    </row>
    <row r="69" spans="1:9" ht="14.25">
      <c r="A69" s="43" t="str">
        <f>HLOOKUP(INDICE!$F$2,Nombres!$C$3:$D$636,38,FALSE)</f>
        <v>Operating expenses</v>
      </c>
      <c r="B69" s="44">
        <v>-232.42629015567547</v>
      </c>
      <c r="C69" s="44">
        <v>-238.3694244105552</v>
      </c>
      <c r="D69" s="44">
        <v>-234.59574705784337</v>
      </c>
      <c r="E69" s="45">
        <v>-287.1522818921687</v>
      </c>
      <c r="F69" s="44">
        <v>-258.70686229</v>
      </c>
      <c r="G69" s="44">
        <v>0</v>
      </c>
      <c r="H69" s="44">
        <v>0</v>
      </c>
      <c r="I69" s="44">
        <v>0</v>
      </c>
    </row>
    <row r="70" spans="1:9" ht="14.25">
      <c r="A70" s="43" t="str">
        <f>HLOOKUP(INDICE!$F$2,Nombres!$C$3:$D$636,39,FALSE)</f>
        <v>  Administration expenses</v>
      </c>
      <c r="B70" s="44">
        <v>-205.32759208606922</v>
      </c>
      <c r="C70" s="44">
        <v>-211.15718531769227</v>
      </c>
      <c r="D70" s="44">
        <v>-207.28712715366566</v>
      </c>
      <c r="E70" s="45">
        <v>-260.98878733503716</v>
      </c>
      <c r="F70" s="44">
        <v>-233.16514754</v>
      </c>
      <c r="G70" s="44">
        <v>0</v>
      </c>
      <c r="H70" s="44">
        <v>0</v>
      </c>
      <c r="I70" s="44">
        <v>0</v>
      </c>
    </row>
    <row r="71" spans="1:9" ht="14.25">
      <c r="A71" s="46" t="str">
        <f>HLOOKUP(INDICE!$F$2,Nombres!$C$3:$D$636,40,FALSE)</f>
        <v>  Personnel expenses</v>
      </c>
      <c r="B71" s="44">
        <v>-105.50174249191889</v>
      </c>
      <c r="C71" s="44">
        <v>-106.47818693984163</v>
      </c>
      <c r="D71" s="44">
        <v>-110.43190114083374</v>
      </c>
      <c r="E71" s="45">
        <v>-150.54355868751384</v>
      </c>
      <c r="F71" s="44">
        <v>-118.98804152000001</v>
      </c>
      <c r="G71" s="44">
        <v>0</v>
      </c>
      <c r="H71" s="44">
        <v>0</v>
      </c>
      <c r="I71" s="44">
        <v>0</v>
      </c>
    </row>
    <row r="72" spans="1:9" ht="14.25">
      <c r="A72" s="46" t="str">
        <f>HLOOKUP(INDICE!$F$2,Nombres!$C$3:$D$636,41,FALSE)</f>
        <v>  General and administrative expenses</v>
      </c>
      <c r="B72" s="44">
        <v>-99.82584959415027</v>
      </c>
      <c r="C72" s="44">
        <v>-104.67899837785066</v>
      </c>
      <c r="D72" s="44">
        <v>-96.85522601283189</v>
      </c>
      <c r="E72" s="45">
        <v>-110.44522864752328</v>
      </c>
      <c r="F72" s="44">
        <v>-114.17710602</v>
      </c>
      <c r="G72" s="44">
        <v>0</v>
      </c>
      <c r="H72" s="44">
        <v>0</v>
      </c>
      <c r="I72" s="44">
        <v>0</v>
      </c>
    </row>
    <row r="73" spans="1:9" ht="14.25">
      <c r="A73" s="43" t="str">
        <f>HLOOKUP(INDICE!$F$2,Nombres!$C$3:$D$636,42,FALSE)</f>
        <v>  Depreciation</v>
      </c>
      <c r="B73" s="44">
        <v>-27.098698069606307</v>
      </c>
      <c r="C73" s="44">
        <v>-27.2122390928629</v>
      </c>
      <c r="D73" s="44">
        <v>-27.308619904177743</v>
      </c>
      <c r="E73" s="45">
        <v>-26.16349455713154</v>
      </c>
      <c r="F73" s="44">
        <v>-25.54171475</v>
      </c>
      <c r="G73" s="44">
        <v>0</v>
      </c>
      <c r="H73" s="44">
        <v>0</v>
      </c>
      <c r="I73" s="44">
        <v>0</v>
      </c>
    </row>
    <row r="74" spans="1:9" ht="14.25">
      <c r="A74" s="41" t="str">
        <f>HLOOKUP(INDICE!$F$2,Nombres!$C$3:$D$636,43,FALSE)</f>
        <v>Operating income</v>
      </c>
      <c r="B74" s="41">
        <f>+B68+B69</f>
        <v>547.178101248858</v>
      </c>
      <c r="C74" s="41">
        <f aca="true" t="shared" si="10" ref="C74:I74">+C68+C69</f>
        <v>517.5377379934645</v>
      </c>
      <c r="D74" s="41">
        <f t="shared" si="10"/>
        <v>463.41440618896297</v>
      </c>
      <c r="E74" s="42">
        <f t="shared" si="10"/>
        <v>544.3786948362083</v>
      </c>
      <c r="F74" s="50">
        <f t="shared" si="10"/>
        <v>760.27250297</v>
      </c>
      <c r="G74" s="50">
        <f t="shared" si="10"/>
        <v>0</v>
      </c>
      <c r="H74" s="50">
        <f t="shared" si="10"/>
        <v>0</v>
      </c>
      <c r="I74" s="50">
        <f t="shared" si="10"/>
        <v>0</v>
      </c>
    </row>
    <row r="75" spans="1:9" ht="14.25">
      <c r="A75" s="43" t="str">
        <f>HLOOKUP(INDICE!$F$2,Nombres!$C$3:$D$636,44,FALSE)</f>
        <v>Impaiment on financial assets not measured at fair value through profit or loss</v>
      </c>
      <c r="B75" s="44">
        <v>-31.61815022545365</v>
      </c>
      <c r="C75" s="44">
        <v>-3.1580405884289604</v>
      </c>
      <c r="D75" s="44">
        <v>23.068023454528046</v>
      </c>
      <c r="E75" s="45">
        <v>-43.13749384896074</v>
      </c>
      <c r="F75" s="44">
        <v>-20.779064249999987</v>
      </c>
      <c r="G75" s="44">
        <v>0</v>
      </c>
      <c r="H75" s="44">
        <v>0</v>
      </c>
      <c r="I75" s="44">
        <v>0</v>
      </c>
    </row>
    <row r="76" spans="1:9" ht="14.25">
      <c r="A76" s="43" t="str">
        <f>HLOOKUP(INDICE!$F$2,Nombres!$C$3:$D$636,45,FALSE)</f>
        <v>Provisions or reversal of provisions and other results</v>
      </c>
      <c r="B76" s="44">
        <v>-22.639273054333454</v>
      </c>
      <c r="C76" s="44">
        <v>6.632756781462285</v>
      </c>
      <c r="D76" s="44">
        <v>16.39451194540263</v>
      </c>
      <c r="E76" s="45">
        <v>-12.2897318522245</v>
      </c>
      <c r="F76" s="44">
        <v>18.65117579</v>
      </c>
      <c r="G76" s="44">
        <v>0</v>
      </c>
      <c r="H76" s="44">
        <v>0</v>
      </c>
      <c r="I76" s="44">
        <v>0</v>
      </c>
    </row>
    <row r="77" spans="1:9" ht="14.25">
      <c r="A77" s="41" t="str">
        <f>HLOOKUP(INDICE!$F$2,Nombres!$C$3:$D$636,46,FALSE)</f>
        <v>Profit/(loss) before tax</v>
      </c>
      <c r="B77" s="41">
        <f>+B74+B75+B76</f>
        <v>492.9206779690709</v>
      </c>
      <c r="C77" s="41">
        <f aca="true" t="shared" si="11" ref="C77:I77">+C74+C75+C76</f>
        <v>521.0124541864977</v>
      </c>
      <c r="D77" s="41">
        <f t="shared" si="11"/>
        <v>502.87694158889366</v>
      </c>
      <c r="E77" s="42">
        <f t="shared" si="11"/>
        <v>488.95146913502305</v>
      </c>
      <c r="F77" s="50">
        <f t="shared" si="11"/>
        <v>758.14461451</v>
      </c>
      <c r="G77" s="50">
        <f t="shared" si="11"/>
        <v>0</v>
      </c>
      <c r="H77" s="50">
        <f t="shared" si="11"/>
        <v>0</v>
      </c>
      <c r="I77" s="50">
        <f t="shared" si="11"/>
        <v>0</v>
      </c>
    </row>
    <row r="78" spans="1:9" ht="14.25">
      <c r="A78" s="43" t="str">
        <f>HLOOKUP(INDICE!$F$2,Nombres!$C$3:$D$636,47,FALSE)</f>
        <v>Income tax</v>
      </c>
      <c r="B78" s="44">
        <v>-130.96412078836602</v>
      </c>
      <c r="C78" s="44">
        <v>-154.6300703384179</v>
      </c>
      <c r="D78" s="44">
        <v>-143.32988102195725</v>
      </c>
      <c r="E78" s="45">
        <v>-123.72595491722726</v>
      </c>
      <c r="F78" s="44">
        <v>-210.61117230000002</v>
      </c>
      <c r="G78" s="44">
        <v>0</v>
      </c>
      <c r="H78" s="44">
        <v>0</v>
      </c>
      <c r="I78" s="44">
        <v>0</v>
      </c>
    </row>
    <row r="79" spans="1:9" ht="14.25">
      <c r="A79" s="41" t="str">
        <f>HLOOKUP(INDICE!$F$2,Nombres!$C$3:$D$636,48,FALSE)</f>
        <v>Profit/(loss) for the year</v>
      </c>
      <c r="B79" s="41">
        <f>+B77+B78</f>
        <v>361.95655718070486</v>
      </c>
      <c r="C79" s="41">
        <f aca="true" t="shared" si="12" ref="C79:I79">+C77+C78</f>
        <v>366.3823838480798</v>
      </c>
      <c r="D79" s="41">
        <f t="shared" si="12"/>
        <v>359.5470605669364</v>
      </c>
      <c r="E79" s="42">
        <f t="shared" si="12"/>
        <v>365.22551421779576</v>
      </c>
      <c r="F79" s="50">
        <f t="shared" si="12"/>
        <v>547.53344221</v>
      </c>
      <c r="G79" s="50">
        <f t="shared" si="12"/>
        <v>0</v>
      </c>
      <c r="H79" s="50">
        <f t="shared" si="12"/>
        <v>0</v>
      </c>
      <c r="I79" s="50">
        <f t="shared" si="12"/>
        <v>0</v>
      </c>
    </row>
    <row r="80" spans="1:9" ht="14.25">
      <c r="A80" s="43" t="str">
        <f>HLOOKUP(INDICE!$F$2,Nombres!$C$3:$D$636,49,FALSE)</f>
        <v>Non-controlling interests</v>
      </c>
      <c r="B80" s="44">
        <v>-56.984670385964165</v>
      </c>
      <c r="C80" s="44">
        <v>-55.30765345031903</v>
      </c>
      <c r="D80" s="44">
        <v>-60.293097923406094</v>
      </c>
      <c r="E80" s="45">
        <v>-89.44331283022328</v>
      </c>
      <c r="F80" s="44">
        <v>-103.59820723000001</v>
      </c>
      <c r="G80" s="44">
        <v>0</v>
      </c>
      <c r="H80" s="44">
        <v>0</v>
      </c>
      <c r="I80" s="44">
        <v>0</v>
      </c>
    </row>
    <row r="81" spans="1:9" ht="14.25">
      <c r="A81" s="47" t="str">
        <f>HLOOKUP(INDICE!$F$2,Nombres!$C$3:$D$636,50,FALSE)</f>
        <v>Net attributable profit</v>
      </c>
      <c r="B81" s="47">
        <f>+B79+B80</f>
        <v>304.9718867947407</v>
      </c>
      <c r="C81" s="47">
        <f aca="true" t="shared" si="13" ref="C81:I81">+C79+C80</f>
        <v>311.0747303977608</v>
      </c>
      <c r="D81" s="47">
        <f t="shared" si="13"/>
        <v>299.2539626435303</v>
      </c>
      <c r="E81" s="47">
        <f t="shared" si="13"/>
        <v>275.7822013875725</v>
      </c>
      <c r="F81" s="51">
        <f t="shared" si="13"/>
        <v>443.93523497999996</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5001.807205722873</v>
      </c>
      <c r="C87" s="44">
        <v>5059.860278875716</v>
      </c>
      <c r="D87" s="44">
        <v>5355.40086966211</v>
      </c>
      <c r="E87" s="45">
        <v>5283.841637916484</v>
      </c>
      <c r="F87" s="44">
        <v>6333.955833989999</v>
      </c>
      <c r="G87" s="44">
        <v>0</v>
      </c>
      <c r="H87" s="44">
        <v>0</v>
      </c>
      <c r="I87" s="44">
        <v>0</v>
      </c>
    </row>
    <row r="88" spans="1:9" ht="14.25">
      <c r="A88" s="43" t="str">
        <f>HLOOKUP(INDICE!$F$2,Nombres!$C$3:$D$636,53,FALSE)</f>
        <v>Financial assets designated at fair value </v>
      </c>
      <c r="B88" s="58">
        <v>103516.31784032889</v>
      </c>
      <c r="C88" s="58">
        <v>108868.51641065587</v>
      </c>
      <c r="D88" s="58">
        <v>112950.34795346188</v>
      </c>
      <c r="E88" s="65">
        <v>132627.6382457025</v>
      </c>
      <c r="F88" s="44">
        <v>121981.77695218001</v>
      </c>
      <c r="G88" s="44">
        <v>0</v>
      </c>
      <c r="H88" s="44">
        <v>0</v>
      </c>
      <c r="I88" s="44">
        <v>0</v>
      </c>
    </row>
    <row r="89" spans="1:9" ht="14.25">
      <c r="A89" s="43" t="str">
        <f>HLOOKUP(INDICE!$F$2,Nombres!$C$3:$D$636,54,FALSE)</f>
        <v>Financial assets at amortized cost</v>
      </c>
      <c r="B89" s="44">
        <v>67152.74964192121</v>
      </c>
      <c r="C89" s="44">
        <v>67013.4473553743</v>
      </c>
      <c r="D89" s="44">
        <v>67539.11707955865</v>
      </c>
      <c r="E89" s="45">
        <v>72966.79653052463</v>
      </c>
      <c r="F89" s="44">
        <v>80210.69467848</v>
      </c>
      <c r="G89" s="44">
        <v>0</v>
      </c>
      <c r="H89" s="44">
        <v>0</v>
      </c>
      <c r="I89" s="44">
        <v>0</v>
      </c>
    </row>
    <row r="90" spans="1:9" ht="14.25">
      <c r="A90" s="43" t="str">
        <f>HLOOKUP(INDICE!$F$2,Nombres!$C$3:$D$636,55,FALSE)</f>
        <v>    of which loans and advances to customers</v>
      </c>
      <c r="B90" s="44">
        <v>56155.665500199815</v>
      </c>
      <c r="C90" s="44">
        <v>56343.697900777166</v>
      </c>
      <c r="D90" s="44">
        <v>56881.91898189165</v>
      </c>
      <c r="E90" s="45">
        <v>62599.69779840101</v>
      </c>
      <c r="F90" s="44">
        <v>70184.88136120001</v>
      </c>
      <c r="G90" s="44">
        <v>0</v>
      </c>
      <c r="H90" s="44">
        <v>0</v>
      </c>
      <c r="I90" s="44">
        <v>0</v>
      </c>
    </row>
    <row r="91" spans="1:9" ht="14.25">
      <c r="A91" s="43"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44.99801860394762</v>
      </c>
      <c r="C92" s="44">
        <v>41.989943061695314</v>
      </c>
      <c r="D92" s="44">
        <v>38.910012123549045</v>
      </c>
      <c r="E92" s="45">
        <v>43.44574270512975</v>
      </c>
      <c r="F92" s="44">
        <v>53.5468733</v>
      </c>
      <c r="G92" s="44">
        <v>0</v>
      </c>
      <c r="H92" s="44">
        <v>0</v>
      </c>
      <c r="I92" s="44">
        <v>0</v>
      </c>
    </row>
    <row r="93" spans="1:9" ht="14.25">
      <c r="A93" s="43" t="str">
        <f>HLOOKUP(INDICE!$F$2,Nombres!$C$3:$D$636,57,FALSE)</f>
        <v>Other assets</v>
      </c>
      <c r="B93" s="58">
        <f>+B94-B92-B89-B88-B87-B91</f>
        <v>1248.7902860766608</v>
      </c>
      <c r="C93" s="58">
        <f aca="true" t="shared" si="15" ref="C93:I93">+C94-C92-C89-C88-C87-C91</f>
        <v>2536.4291332665707</v>
      </c>
      <c r="D93" s="58">
        <f t="shared" si="15"/>
        <v>1943.899966435397</v>
      </c>
      <c r="E93" s="65">
        <f t="shared" si="15"/>
        <v>121.5612929268691</v>
      </c>
      <c r="F93" s="58">
        <f t="shared" si="15"/>
        <v>1061.2934738000158</v>
      </c>
      <c r="G93" s="58">
        <f t="shared" si="15"/>
        <v>0</v>
      </c>
      <c r="H93" s="58">
        <f t="shared" si="15"/>
        <v>0</v>
      </c>
      <c r="I93" s="58">
        <f t="shared" si="15"/>
        <v>0</v>
      </c>
    </row>
    <row r="94" spans="1:9" ht="14.25">
      <c r="A94" s="47" t="str">
        <f>HLOOKUP(INDICE!$F$2,Nombres!$C$3:$D$636,58,FALSE)</f>
        <v>Total assets / Liabilities and equity</v>
      </c>
      <c r="B94" s="47">
        <v>176964.66299265358</v>
      </c>
      <c r="C94" s="47">
        <v>183520.24312123415</v>
      </c>
      <c r="D94" s="47">
        <v>187827.6758812416</v>
      </c>
      <c r="E94" s="71">
        <v>211043.28344977563</v>
      </c>
      <c r="F94" s="51">
        <v>209641.26781175</v>
      </c>
      <c r="G94" s="51">
        <v>0</v>
      </c>
      <c r="H94" s="51">
        <v>0</v>
      </c>
      <c r="I94" s="51">
        <v>0</v>
      </c>
    </row>
    <row r="95" spans="1:9" ht="14.25">
      <c r="A95" s="43" t="str">
        <f>HLOOKUP(INDICE!$F$2,Nombres!$C$3:$D$636,59,FALSE)</f>
        <v>Financial liabilities held for trading and designated at fair value through profit or loss</v>
      </c>
      <c r="B95" s="58">
        <v>82138.4896696555</v>
      </c>
      <c r="C95" s="58">
        <v>83158.37511234093</v>
      </c>
      <c r="D95" s="58">
        <v>84037.45313187849</v>
      </c>
      <c r="E95" s="65">
        <v>95862.31760864328</v>
      </c>
      <c r="F95" s="44">
        <v>92173.41449375001</v>
      </c>
      <c r="G95" s="44">
        <v>0</v>
      </c>
      <c r="H95" s="44">
        <v>0</v>
      </c>
      <c r="I95" s="44">
        <v>0</v>
      </c>
    </row>
    <row r="96" spans="1:9" ht="14.25">
      <c r="A96" s="43" t="str">
        <f>HLOOKUP(INDICE!$F$2,Nombres!$C$3:$D$636,60,FALSE)</f>
        <v>Deposits from central banks and credit institutions</v>
      </c>
      <c r="B96" s="58">
        <v>14313.736748134797</v>
      </c>
      <c r="C96" s="58">
        <v>14996.43670450449</v>
      </c>
      <c r="D96" s="58">
        <v>15447.32652381187</v>
      </c>
      <c r="E96" s="65">
        <v>12959.010552245269</v>
      </c>
      <c r="F96" s="44">
        <v>16254.94732625</v>
      </c>
      <c r="G96" s="44">
        <v>0</v>
      </c>
      <c r="H96" s="44">
        <v>0</v>
      </c>
      <c r="I96" s="44">
        <v>0</v>
      </c>
    </row>
    <row r="97" spans="1:9" ht="14.25">
      <c r="A97" s="43" t="str">
        <f>HLOOKUP(INDICE!$F$2,Nombres!$C$3:$D$636,61,FALSE)</f>
        <v>Deposits from customers</v>
      </c>
      <c r="B97" s="58">
        <v>36352.04617117254</v>
      </c>
      <c r="C97" s="58">
        <v>37151.317197925295</v>
      </c>
      <c r="D97" s="58">
        <v>36965.13680710479</v>
      </c>
      <c r="E97" s="65">
        <v>38981.7583959874</v>
      </c>
      <c r="F97" s="44">
        <v>38572.392747369995</v>
      </c>
      <c r="G97" s="44">
        <v>0</v>
      </c>
      <c r="H97" s="44">
        <v>0</v>
      </c>
      <c r="I97" s="44">
        <v>0</v>
      </c>
    </row>
    <row r="98" spans="1:9" ht="14.25">
      <c r="A98" s="43" t="str">
        <f>HLOOKUP(INDICE!$F$2,Nombres!$C$3:$D$636,62,FALSE)</f>
        <v>Debt certificates</v>
      </c>
      <c r="B98" s="44">
        <v>2169.0585019585833</v>
      </c>
      <c r="C98" s="44">
        <v>2744.33118225199</v>
      </c>
      <c r="D98" s="44">
        <v>3172.7634429265604</v>
      </c>
      <c r="E98" s="45">
        <v>5871.937074142544</v>
      </c>
      <c r="F98" s="44">
        <v>4278.92715128</v>
      </c>
      <c r="G98" s="44">
        <v>0</v>
      </c>
      <c r="H98" s="44">
        <v>0</v>
      </c>
      <c r="I98" s="44">
        <v>0</v>
      </c>
    </row>
    <row r="99" spans="1:9" ht="14.25">
      <c r="A99" s="43" t="str">
        <f>HLOOKUP(INDICE!$F$2,Nombres!$C$3:$D$636,122,FALSE)</f>
        <v>Inter-area positions</v>
      </c>
      <c r="B99" s="44">
        <v>31577.070145655012</v>
      </c>
      <c r="C99" s="44">
        <v>32519.510219029682</v>
      </c>
      <c r="D99" s="44">
        <v>35578.57338811255</v>
      </c>
      <c r="E99" s="45">
        <v>44304.98603731145</v>
      </c>
      <c r="F99" s="44">
        <v>45440.4048979904</v>
      </c>
      <c r="G99" s="44">
        <v>0</v>
      </c>
      <c r="H99" s="44">
        <v>0</v>
      </c>
      <c r="I99" s="44">
        <v>0</v>
      </c>
    </row>
    <row r="100" spans="1:9" ht="14.25">
      <c r="A100" s="43" t="str">
        <f>HLOOKUP(INDICE!$F$2,Nombres!$C$3:$D$636,63,FALSE)</f>
        <v>Other liabilities</v>
      </c>
      <c r="B100" s="44">
        <f aca="true" t="shared" si="16" ref="B100:I100">+B94-B95-B96-B97-B98-B101-B99</f>
        <v>1975.8525897162363</v>
      </c>
      <c r="C100" s="44">
        <f t="shared" si="16"/>
        <v>3261.3979553465906</v>
      </c>
      <c r="D100" s="44">
        <f t="shared" si="16"/>
        <v>2951.831403610093</v>
      </c>
      <c r="E100" s="45">
        <f t="shared" si="16"/>
        <v>2880.062465210445</v>
      </c>
      <c r="F100" s="44">
        <f t="shared" si="16"/>
        <v>2614.9123381688114</v>
      </c>
      <c r="G100" s="44">
        <f t="shared" si="16"/>
        <v>0</v>
      </c>
      <c r="H100" s="44">
        <f t="shared" si="16"/>
        <v>0</v>
      </c>
      <c r="I100" s="44">
        <f t="shared" si="16"/>
        <v>0</v>
      </c>
    </row>
    <row r="101" spans="1:9" ht="14.25">
      <c r="A101" s="43" t="str">
        <f>HLOOKUP(INDICE!$F$2,Nombres!$C$3:$D$636,282,FALSE)</f>
        <v>Regulatory capital allocated</v>
      </c>
      <c r="B101" s="44">
        <v>8438.409166360932</v>
      </c>
      <c r="C101" s="44">
        <v>9688.874749835166</v>
      </c>
      <c r="D101" s="44">
        <v>9674.591183797242</v>
      </c>
      <c r="E101" s="45">
        <v>10183.21131623524</v>
      </c>
      <c r="F101" s="44">
        <v>10306.268856940798</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56824.73068357654</v>
      </c>
      <c r="C107" s="44">
        <v>57082.600041399055</v>
      </c>
      <c r="D107" s="44">
        <v>57367.36544342664</v>
      </c>
      <c r="E107" s="45">
        <v>63425.725666012426</v>
      </c>
      <c r="F107" s="44">
        <v>70929.41591351999</v>
      </c>
      <c r="G107" s="44">
        <v>0</v>
      </c>
      <c r="H107" s="44">
        <v>0</v>
      </c>
      <c r="I107" s="44">
        <v>0</v>
      </c>
    </row>
    <row r="108" spans="1:9" ht="14.25">
      <c r="A108" s="43" t="str">
        <f>HLOOKUP(INDICE!$F$2,Nombres!$C$3:$D$636,67,FALSE)</f>
        <v>Customer deposits under management (*)</v>
      </c>
      <c r="B108" s="44">
        <v>35742.42267125598</v>
      </c>
      <c r="C108" s="44">
        <v>36504.03701329507</v>
      </c>
      <c r="D108" s="44">
        <v>36313.40934270762</v>
      </c>
      <c r="E108" s="45">
        <v>38054.560011070906</v>
      </c>
      <c r="F108" s="44">
        <v>38010.77453535001</v>
      </c>
      <c r="G108" s="44">
        <v>0</v>
      </c>
      <c r="H108" s="44">
        <v>0</v>
      </c>
      <c r="I108" s="44">
        <v>0</v>
      </c>
    </row>
    <row r="109" spans="1:9" ht="14.25">
      <c r="A109" s="43" t="str">
        <f>HLOOKUP(INDICE!$F$2,Nombres!$C$3:$D$636,68,FALSE)</f>
        <v>Investment funds and managed portfolios</v>
      </c>
      <c r="B109" s="44">
        <v>1018.9283187091364</v>
      </c>
      <c r="C109" s="44">
        <v>1051.7568630240955</v>
      </c>
      <c r="D109" s="44">
        <v>1110.9346661289846</v>
      </c>
      <c r="E109" s="45">
        <v>1206.2107583201944</v>
      </c>
      <c r="F109" s="44">
        <v>1364.1225290099999</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100.95396981017973</v>
      </c>
      <c r="C111" s="44">
        <v>124.15136921351284</v>
      </c>
      <c r="D111" s="44">
        <v>121.30285463364457</v>
      </c>
      <c r="E111" s="45">
        <v>109.14179617137206</v>
      </c>
      <c r="F111" s="44">
        <v>135.55139111</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9" spans="2:9" ht="14.25">
      <c r="B119" s="54"/>
      <c r="C119" s="54"/>
      <c r="D119" s="54"/>
      <c r="E119" s="54"/>
      <c r="F119" s="54"/>
      <c r="G119" s="54"/>
      <c r="H119" s="54"/>
      <c r="I119" s="54"/>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1000" ht="14.25">
      <c r="A1000" s="31" t="s">
        <v>392</v>
      </c>
    </row>
  </sheetData>
  <sheetProtection/>
  <mergeCells count="5">
    <mergeCell ref="B6:E6"/>
    <mergeCell ref="B62:E62"/>
    <mergeCell ref="F6:I6"/>
    <mergeCell ref="F62:I62"/>
    <mergeCell ref="A2:I2"/>
  </mergeCells>
  <conditionalFormatting sqref="C82:I82">
    <cfRule type="cellIs" priority="3" dxfId="128" operator="notBetween">
      <formula>0.5</formula>
      <formula>-0.5</formula>
    </cfRule>
  </conditionalFormatting>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G1" sqref="G1:I16384"/>
    </sheetView>
  </sheetViews>
  <sheetFormatPr defaultColWidth="12.57421875" defaultRowHeight="15"/>
  <cols>
    <col min="1" max="1" width="40.7109375" style="97" customWidth="1"/>
    <col min="2" max="6" width="10.00390625" style="97" customWidth="1"/>
    <col min="7" max="9" width="10.00390625" style="97" hidden="1" customWidth="1"/>
    <col min="10" max="255" width="12.57421875" style="97" customWidth="1"/>
  </cols>
  <sheetData>
    <row r="1" spans="1:9" ht="16.5">
      <c r="A1" s="95" t="str">
        <f>HLOOKUP(INDICE!$F$2,Nombres!$C$3:$D$636,82,FALSE)</f>
        <v>Efficiency (*)</v>
      </c>
      <c r="B1" s="96"/>
      <c r="C1" s="96"/>
      <c r="D1" s="96"/>
      <c r="E1" s="96"/>
      <c r="F1" s="96"/>
      <c r="G1" s="96"/>
      <c r="H1" s="96"/>
      <c r="I1" s="96"/>
    </row>
    <row r="2" spans="1:9" ht="14.25">
      <c r="A2" s="98" t="str">
        <f>HLOOKUP(INDICE!$F$2,Nombres!$C$3:$D$636,84,FALSE)</f>
        <v>(Percentage)</v>
      </c>
      <c r="B2" s="99"/>
      <c r="C2" s="99"/>
      <c r="D2" s="99"/>
      <c r="E2" s="99"/>
      <c r="F2" s="99"/>
      <c r="G2" s="99"/>
      <c r="H2" s="99"/>
      <c r="I2" s="99"/>
    </row>
    <row r="3" spans="1:9" ht="14.25">
      <c r="A3" s="100"/>
      <c r="B3" s="101">
        <f>+España!B30</f>
        <v>44286</v>
      </c>
      <c r="C3" s="101">
        <f>+España!C30</f>
        <v>44377</v>
      </c>
      <c r="D3" s="101">
        <f>+España!D30</f>
        <v>44469</v>
      </c>
      <c r="E3" s="101">
        <f>+España!E30</f>
        <v>44561</v>
      </c>
      <c r="F3" s="101">
        <f>+España!F30</f>
        <v>44651</v>
      </c>
      <c r="G3" s="101">
        <f>+España!G30</f>
        <v>44742</v>
      </c>
      <c r="H3" s="101">
        <f>+España!H30</f>
        <v>44834</v>
      </c>
      <c r="I3" s="101">
        <f>+España!I30</f>
        <v>44926</v>
      </c>
    </row>
    <row r="4" spans="1:9" ht="14.25">
      <c r="A4" s="99"/>
      <c r="B4" s="102"/>
      <c r="C4" s="102"/>
      <c r="D4" s="102"/>
      <c r="E4" s="103"/>
      <c r="F4" s="102"/>
      <c r="G4" s="102"/>
      <c r="H4" s="99"/>
      <c r="I4" s="99"/>
    </row>
    <row r="5" spans="1:255" ht="14.25">
      <c r="A5" s="104" t="str">
        <f>HLOOKUP(INDICE!$F$2,Nombres!$C$3:$D$636,276,FALSE)</f>
        <v>BBVA Group  (**)</v>
      </c>
      <c r="B5" s="105">
        <v>44.70282177747371</v>
      </c>
      <c r="C5" s="105">
        <v>44.8198340018982</v>
      </c>
      <c r="D5" s="105">
        <v>44.74692214424432</v>
      </c>
      <c r="E5" s="106">
        <v>45.237717626841466</v>
      </c>
      <c r="F5" s="247">
        <v>40.65357051761924</v>
      </c>
      <c r="G5" s="247">
        <v>0</v>
      </c>
      <c r="H5" s="247">
        <v>0</v>
      </c>
      <c r="I5" s="247">
        <v>0</v>
      </c>
      <c r="J5" s="108"/>
      <c r="K5" s="1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99"/>
      <c r="B6" s="109"/>
      <c r="C6" s="109"/>
      <c r="D6" s="109"/>
      <c r="E6" s="110"/>
      <c r="F6" s="109"/>
      <c r="G6" s="109"/>
      <c r="H6" s="109"/>
      <c r="I6" s="109"/>
      <c r="J6" s="111"/>
      <c r="K6" s="111"/>
      <c r="L6" s="111"/>
    </row>
    <row r="7" spans="1:255" ht="14.25">
      <c r="A7" s="59" t="str">
        <f>HLOOKUP(INDICE!$F$2,Nombres!$C$3:$D$636,7,FALSE)</f>
        <v>Spain</v>
      </c>
      <c r="B7" s="112">
        <v>46.29686186789716</v>
      </c>
      <c r="C7" s="112">
        <v>49.610545055058516</v>
      </c>
      <c r="D7" s="112">
        <v>49.94602078565011</v>
      </c>
      <c r="E7" s="113">
        <v>51.66024950129674</v>
      </c>
      <c r="F7" s="114">
        <v>42.89619288152256</v>
      </c>
      <c r="G7" s="114">
        <v>0</v>
      </c>
      <c r="H7" s="114">
        <v>0</v>
      </c>
      <c r="I7" s="114">
        <v>0</v>
      </c>
      <c r="J7" s="108"/>
      <c r="K7" s="10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99"/>
      <c r="B8" s="109"/>
      <c r="C8" s="109"/>
      <c r="D8" s="109"/>
      <c r="E8" s="110"/>
      <c r="F8" s="109"/>
      <c r="G8" s="109"/>
      <c r="H8" s="109"/>
      <c r="I8" s="109"/>
      <c r="J8" s="115"/>
      <c r="K8" s="111"/>
      <c r="L8" s="111"/>
    </row>
    <row r="9" spans="1:255" ht="14.25">
      <c r="A9" s="59" t="str">
        <f>HLOOKUP(INDICE!$F$2,Nombres!$C$3:$D$636,11,FALSE)</f>
        <v>Mexico</v>
      </c>
      <c r="B9" s="112">
        <v>35.67332364307007</v>
      </c>
      <c r="C9" s="112">
        <v>35.48096651152269</v>
      </c>
      <c r="D9" s="112">
        <v>35.37181969176801</v>
      </c>
      <c r="E9" s="113">
        <v>35.27801790638577</v>
      </c>
      <c r="F9" s="114">
        <v>33.69668964793765</v>
      </c>
      <c r="G9" s="114">
        <v>0</v>
      </c>
      <c r="H9" s="114">
        <v>0</v>
      </c>
      <c r="I9" s="114">
        <v>0</v>
      </c>
      <c r="J9" s="115"/>
      <c r="K9" s="111"/>
      <c r="L9" s="111"/>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99"/>
      <c r="B10" s="109"/>
      <c r="C10" s="109"/>
      <c r="D10" s="109"/>
      <c r="E10" s="110"/>
      <c r="F10" s="109"/>
      <c r="G10" s="109"/>
      <c r="H10" s="109"/>
      <c r="I10" s="109"/>
      <c r="J10" s="115"/>
      <c r="K10" s="111"/>
      <c r="L10" s="111"/>
    </row>
    <row r="11" spans="1:13" ht="14.25">
      <c r="A11" s="59" t="str">
        <f>HLOOKUP(INDICE!$F$2,Nombres!$C$3:$D$636,12,FALSE)</f>
        <v>Turkey </v>
      </c>
      <c r="B11" s="112">
        <v>31.807678874989477</v>
      </c>
      <c r="C11" s="112">
        <v>31.773085069771444</v>
      </c>
      <c r="D11" s="112">
        <v>30.450084486741613</v>
      </c>
      <c r="E11" s="113">
        <v>29.505856929400064</v>
      </c>
      <c r="F11" s="114">
        <v>22.380209023593157</v>
      </c>
      <c r="G11" s="114">
        <v>0</v>
      </c>
      <c r="H11" s="114">
        <v>0</v>
      </c>
      <c r="I11" s="114">
        <v>0</v>
      </c>
      <c r="J11" s="108"/>
      <c r="K11" s="108"/>
      <c r="L11"/>
      <c r="M11"/>
    </row>
    <row r="12" spans="1:12" ht="14.25">
      <c r="A12" s="99"/>
      <c r="B12" s="109"/>
      <c r="C12" s="109"/>
      <c r="D12" s="109"/>
      <c r="E12" s="110"/>
      <c r="F12" s="109"/>
      <c r="G12" s="109"/>
      <c r="H12" s="109"/>
      <c r="I12" s="109"/>
      <c r="J12" s="111"/>
      <c r="K12" s="111"/>
      <c r="L12" s="111"/>
    </row>
    <row r="13" spans="1:255" ht="14.25">
      <c r="A13" s="59" t="str">
        <f>HLOOKUP(INDICE!$F$2,Nombres!$C$3:$D$636,13,FALSE)</f>
        <v>South America</v>
      </c>
      <c r="B13" s="112">
        <v>47.95661784450792</v>
      </c>
      <c r="C13" s="112">
        <v>46.854720723353154</v>
      </c>
      <c r="D13" s="112">
        <v>47.50811086435149</v>
      </c>
      <c r="E13" s="113">
        <v>48.15041312496789</v>
      </c>
      <c r="F13" s="114">
        <v>46.82329393789156</v>
      </c>
      <c r="G13" s="114">
        <v>0</v>
      </c>
      <c r="H13" s="114">
        <v>0</v>
      </c>
      <c r="I13" s="114">
        <v>0</v>
      </c>
      <c r="J13" s="108"/>
      <c r="K13" s="108"/>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99"/>
      <c r="B14" s="109"/>
      <c r="C14" s="109"/>
      <c r="D14" s="109"/>
      <c r="E14" s="110"/>
      <c r="F14" s="109"/>
      <c r="G14" s="109"/>
      <c r="H14" s="109"/>
      <c r="I14" s="109"/>
      <c r="J14" s="111"/>
      <c r="K14" s="111"/>
      <c r="L14" s="111"/>
    </row>
    <row r="15" spans="1:255" ht="14.25">
      <c r="A15" s="59" t="str">
        <f>HLOOKUP(INDICE!$F$2,Nombres!$C$3:$D$636,263,FALSE)</f>
        <v>Rest of Business</v>
      </c>
      <c r="B15" s="112">
        <v>49.98525104503651</v>
      </c>
      <c r="C15" s="112">
        <v>53.99189323586378</v>
      </c>
      <c r="D15" s="112">
        <v>54.08142278033714</v>
      </c>
      <c r="E15" s="113">
        <v>58.35443415051953</v>
      </c>
      <c r="F15" s="114">
        <v>56.85743879530505</v>
      </c>
      <c r="G15" s="114">
        <v>0</v>
      </c>
      <c r="H15" s="114">
        <v>0</v>
      </c>
      <c r="I15" s="114">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99"/>
      <c r="B16" s="116"/>
      <c r="C16" s="116"/>
      <c r="D16" s="116"/>
      <c r="E16" s="116"/>
      <c r="F16" s="116"/>
      <c r="G16" s="116"/>
      <c r="H16" s="99"/>
      <c r="I16" s="271"/>
      <c r="J16" s="111"/>
      <c r="K16" s="111"/>
      <c r="L16" s="111"/>
    </row>
    <row r="17" spans="1:12" ht="14.25">
      <c r="A17" s="117" t="str">
        <f>HLOOKUP(INDICE!$F$2,Nombres!$C$3:$D$636,83,FALSE)</f>
        <v>(*) Operating expenses / Gross income. Including depreciation</v>
      </c>
      <c r="B17" s="99"/>
      <c r="C17" s="99"/>
      <c r="D17" s="99"/>
      <c r="E17" s="99"/>
      <c r="F17" s="99"/>
      <c r="G17" s="99"/>
      <c r="H17" s="99"/>
      <c r="I17" s="271"/>
      <c r="J17" s="111"/>
      <c r="K17" s="111"/>
      <c r="L17" s="111"/>
    </row>
    <row r="18" spans="1:12" ht="14.25">
      <c r="A18" s="118"/>
      <c r="B18" s="118"/>
      <c r="C18" s="118"/>
      <c r="D18" s="118"/>
      <c r="E18" s="118"/>
      <c r="F18" s="118"/>
      <c r="G18" s="118"/>
      <c r="H18" s="118"/>
      <c r="I18" s="272"/>
      <c r="J18" s="111"/>
      <c r="K18" s="111"/>
      <c r="L18" s="111"/>
    </row>
    <row r="19" spans="1:9" ht="14.25">
      <c r="A19" s="117" t="str">
        <f>HLOOKUP(INDICE!$F$2,Nombres!$C$3:$D$636,277,FALSE)</f>
        <v>(**) BBVA Group excludes  the US Business sold to PNC.</v>
      </c>
      <c r="B19" s="118"/>
      <c r="C19" s="118"/>
      <c r="D19" s="118"/>
      <c r="E19" s="118"/>
      <c r="F19" s="118"/>
      <c r="G19" s="118"/>
      <c r="H19" s="118"/>
      <c r="I19" s="118"/>
    </row>
    <row r="998" ht="14.25">
      <c r="A998" s="97" t="s">
        <v>392</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G1" sqref="G1:I16384"/>
    </sheetView>
  </sheetViews>
  <sheetFormatPr defaultColWidth="12.57421875" defaultRowHeight="15"/>
  <cols>
    <col min="1" max="1" width="45.7109375" style="155" customWidth="1"/>
    <col min="2" max="6" width="10.8515625" style="97" customWidth="1" collapsed="1"/>
    <col min="7" max="7" width="10.8515625" style="97" hidden="1" customWidth="1"/>
    <col min="8" max="9" width="10.8515625" style="120" hidden="1" customWidth="1"/>
    <col min="10" max="11" width="9.57421875" style="120" customWidth="1"/>
    <col min="12" max="255" width="12.57421875" style="120" customWidth="1"/>
  </cols>
  <sheetData>
    <row r="1" spans="1:9" ht="19.5">
      <c r="A1" s="95" t="str">
        <f>HLOOKUP(INDICE!$F$2,Nombres!$C$3:$D$636,85,FALSE)</f>
        <v>NPL ratio</v>
      </c>
      <c r="B1" s="119"/>
      <c r="C1" s="119"/>
      <c r="D1" s="119"/>
      <c r="E1" s="119"/>
      <c r="F1" s="119"/>
      <c r="G1" s="96"/>
      <c r="H1" s="96"/>
      <c r="I1" s="96"/>
    </row>
    <row r="2" spans="1:9" ht="14.25">
      <c r="A2" s="98" t="str">
        <f>HLOOKUP(INDICE!$F$2,Nombres!$C$3:$D$636,84,FALSE)</f>
        <v>(Percentage)</v>
      </c>
      <c r="B2" s="99"/>
      <c r="C2" s="99"/>
      <c r="D2" s="99"/>
      <c r="E2" s="99"/>
      <c r="F2" s="99"/>
      <c r="G2" s="99"/>
      <c r="H2" s="99"/>
      <c r="I2" s="99"/>
    </row>
    <row r="3" spans="1:9" ht="14.25">
      <c r="A3" s="99"/>
      <c r="B3" s="121">
        <f>+España!B$30</f>
        <v>44286</v>
      </c>
      <c r="C3" s="121">
        <f>+España!C$30</f>
        <v>44377</v>
      </c>
      <c r="D3" s="121">
        <f>+España!D$30</f>
        <v>44469</v>
      </c>
      <c r="E3" s="121">
        <f>+España!E$30</f>
        <v>44561</v>
      </c>
      <c r="F3" s="121">
        <f>+España!F$30</f>
        <v>44651</v>
      </c>
      <c r="G3" s="121">
        <f>+España!G$30</f>
        <v>44742</v>
      </c>
      <c r="H3" s="121">
        <f>+España!H$30</f>
        <v>44834</v>
      </c>
      <c r="I3" s="121">
        <f>+España!I$30</f>
        <v>44926</v>
      </c>
    </row>
    <row r="4" spans="1:9" ht="14.25">
      <c r="A4" s="99"/>
      <c r="B4" s="102"/>
      <c r="C4" s="102"/>
      <c r="D4" s="99"/>
      <c r="E4" s="122"/>
      <c r="F4" s="102"/>
      <c r="G4" s="102"/>
      <c r="H4" s="99"/>
      <c r="I4" s="99"/>
    </row>
    <row r="5" spans="1:255" ht="14.25">
      <c r="A5" s="104" t="str">
        <f>HLOOKUP(INDICE!$F$2,Nombres!$C$3:$D$636,275,FALSE)</f>
        <v>BBVA Group  (*)</v>
      </c>
      <c r="B5" s="105">
        <v>4.27422612423203</v>
      </c>
      <c r="C5" s="105">
        <v>4.232742966059368</v>
      </c>
      <c r="D5" s="105">
        <v>3.9987137735190568</v>
      </c>
      <c r="E5" s="106">
        <v>4.107089575358145</v>
      </c>
      <c r="F5" s="105">
        <v>3.9492831438618925</v>
      </c>
      <c r="G5" s="107">
        <v>0</v>
      </c>
      <c r="H5" s="107">
        <v>0</v>
      </c>
      <c r="I5" s="107">
        <v>0</v>
      </c>
      <c r="J5" s="123"/>
      <c r="K5" s="12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99"/>
      <c r="B6" s="109"/>
      <c r="C6" s="109"/>
      <c r="D6" s="109"/>
      <c r="E6" s="110"/>
      <c r="F6" s="109"/>
      <c r="G6" s="109"/>
      <c r="H6" s="109"/>
      <c r="I6" s="109"/>
      <c r="J6" s="123"/>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row>
    <row r="7" spans="1:255" ht="14.25">
      <c r="A7" s="59" t="str">
        <f>HLOOKUP(INDICE!$F$2,Nombres!$C$3:$D$636,7,FALSE)</f>
        <v>Spain</v>
      </c>
      <c r="B7" s="112">
        <v>4.380902270503293</v>
      </c>
      <c r="C7" s="112">
        <v>4.16968343597887</v>
      </c>
      <c r="D7" s="112">
        <v>4.088178500614938</v>
      </c>
      <c r="E7" s="113">
        <v>4.220438485317629</v>
      </c>
      <c r="F7" s="112">
        <v>4.176313750938057</v>
      </c>
      <c r="G7" s="114">
        <v>0</v>
      </c>
      <c r="H7" s="114">
        <v>0</v>
      </c>
      <c r="I7" s="114">
        <v>0</v>
      </c>
      <c r="J7" s="123"/>
      <c r="K7" s="12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99"/>
      <c r="B8" s="109"/>
      <c r="C8" s="109"/>
      <c r="D8" s="109"/>
      <c r="E8" s="110"/>
      <c r="F8" s="109"/>
      <c r="G8" s="109"/>
      <c r="H8" s="109"/>
      <c r="I8" s="109"/>
      <c r="J8" s="123"/>
      <c r="K8" s="126"/>
    </row>
    <row r="9" spans="1:255" ht="14.25">
      <c r="A9" s="59" t="str">
        <f>HLOOKUP(INDICE!$F$2,Nombres!$C$3:$D$636,11,FALSE)</f>
        <v>Mexico</v>
      </c>
      <c r="B9" s="112">
        <v>2.958559833273872</v>
      </c>
      <c r="C9" s="112">
        <v>3.0526317112659664</v>
      </c>
      <c r="D9" s="112">
        <v>2.544928431659197</v>
      </c>
      <c r="E9" s="113">
        <v>3.1706244467500984</v>
      </c>
      <c r="F9" s="112">
        <v>2.955577253896324</v>
      </c>
      <c r="G9" s="114">
        <v>0</v>
      </c>
      <c r="H9" s="114">
        <v>0</v>
      </c>
      <c r="I9" s="114">
        <v>0</v>
      </c>
      <c r="J9" s="123"/>
      <c r="K9" s="12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99"/>
      <c r="B10" s="109"/>
      <c r="C10" s="109"/>
      <c r="D10" s="109"/>
      <c r="E10" s="110"/>
      <c r="F10" s="109"/>
      <c r="G10" s="109"/>
      <c r="H10" s="109"/>
      <c r="I10" s="109"/>
      <c r="J10" s="123"/>
      <c r="K10" s="126"/>
    </row>
    <row r="11" spans="1:13" ht="14.25">
      <c r="A11" s="59" t="str">
        <f>HLOOKUP(INDICE!$F$2,Nombres!$C$3:$D$636,12,FALSE)</f>
        <v>Turkey </v>
      </c>
      <c r="B11" s="112">
        <v>6.8811670507497285</v>
      </c>
      <c r="C11" s="112">
        <v>7.328713512031089</v>
      </c>
      <c r="D11" s="112">
        <v>6.513944904556201</v>
      </c>
      <c r="E11" s="113">
        <v>7.085073670851205</v>
      </c>
      <c r="F11" s="112">
        <v>6.698800791801732</v>
      </c>
      <c r="G11" s="114">
        <v>0</v>
      </c>
      <c r="H11" s="114">
        <v>0</v>
      </c>
      <c r="I11" s="114">
        <v>0</v>
      </c>
      <c r="J11" s="123"/>
      <c r="K11"/>
      <c r="L11"/>
      <c r="M11"/>
    </row>
    <row r="12" spans="1:11" ht="14.25">
      <c r="A12" s="99"/>
      <c r="B12" s="109"/>
      <c r="C12" s="109"/>
      <c r="D12" s="109"/>
      <c r="E12" s="110"/>
      <c r="F12" s="109"/>
      <c r="G12" s="109"/>
      <c r="H12" s="109"/>
      <c r="I12" s="109"/>
      <c r="J12" s="123"/>
      <c r="K12" s="126"/>
    </row>
    <row r="13" spans="1:255" ht="14.25">
      <c r="A13" s="59" t="str">
        <f>HLOOKUP(INDICE!$F$2,Nombres!$C$3:$D$636,13,FALSE)</f>
        <v>South America</v>
      </c>
      <c r="B13" s="112">
        <v>4.611002342353146</v>
      </c>
      <c r="C13" s="112">
        <v>4.6586989564769326</v>
      </c>
      <c r="D13" s="112">
        <v>4.528299665215804</v>
      </c>
      <c r="E13" s="113">
        <v>4.466333578410599</v>
      </c>
      <c r="F13" s="112">
        <v>4.287585256763574</v>
      </c>
      <c r="G13" s="114">
        <v>0</v>
      </c>
      <c r="H13" s="114">
        <v>0</v>
      </c>
      <c r="I13" s="114">
        <v>0</v>
      </c>
      <c r="J13" s="12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4.25">
      <c r="A14" s="99"/>
      <c r="B14" s="127"/>
      <c r="C14" s="127"/>
      <c r="D14" s="127"/>
      <c r="E14" s="128"/>
      <c r="F14" s="127"/>
      <c r="G14" s="243"/>
      <c r="H14" s="243"/>
      <c r="I14" s="243"/>
      <c r="J14" s="123"/>
      <c r="K14" s="126"/>
      <c r="L14" s="125"/>
      <c r="M14" s="125"/>
    </row>
    <row r="15" spans="1:255" ht="14.25">
      <c r="A15" s="59" t="str">
        <f>HLOOKUP(INDICE!$F$2,Nombres!$C$3:$D$636,263,FALSE)</f>
        <v>Rest of Business</v>
      </c>
      <c r="B15" s="112">
        <v>0.99138920565066</v>
      </c>
      <c r="C15" s="112">
        <v>0.9901574954356509</v>
      </c>
      <c r="D15" s="112">
        <v>0.9058887137172632</v>
      </c>
      <c r="E15" s="113">
        <v>0.6799395783259952</v>
      </c>
      <c r="F15" s="112">
        <v>0.5653319413051815</v>
      </c>
      <c r="G15" s="114">
        <v>0</v>
      </c>
      <c r="H15" s="114">
        <v>0</v>
      </c>
      <c r="I15" s="114">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29"/>
      <c r="B16" s="127"/>
      <c r="C16" s="127"/>
      <c r="D16" s="130"/>
      <c r="E16" s="130"/>
      <c r="F16" s="127"/>
      <c r="G16" s="127"/>
      <c r="H16" s="130"/>
      <c r="I16" s="130"/>
      <c r="J16" s="126"/>
      <c r="K16" s="126"/>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row>
    <row r="17" spans="1:11" ht="14.25">
      <c r="A17" s="99"/>
      <c r="B17" s="127"/>
      <c r="C17" s="127"/>
      <c r="D17" s="130"/>
      <c r="E17" s="130"/>
      <c r="F17" s="127"/>
      <c r="G17" s="127"/>
      <c r="H17" s="130"/>
      <c r="I17" s="130"/>
      <c r="J17" s="126"/>
      <c r="K17" s="126"/>
    </row>
    <row r="18" spans="1:255" ht="16.5">
      <c r="A18" s="95" t="str">
        <f>HLOOKUP(INDICE!$F$2,Nombres!$C$3:$D$636,86,FALSE)</f>
        <v>NPL coverage ratio</v>
      </c>
      <c r="B18" s="131"/>
      <c r="C18" s="131"/>
      <c r="D18" s="132"/>
      <c r="E18" s="132"/>
      <c r="F18" s="131"/>
      <c r="G18" s="131"/>
      <c r="H18" s="132"/>
      <c r="I18" s="132"/>
      <c r="J18" s="126"/>
      <c r="K18" s="126"/>
      <c r="L18" s="133"/>
      <c r="M18" s="133"/>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c r="IR18" s="125"/>
      <c r="IS18" s="125"/>
      <c r="IT18" s="125"/>
      <c r="IU18" s="125"/>
    </row>
    <row r="19" spans="1:11" ht="14.25">
      <c r="A19" s="98" t="str">
        <f>HLOOKUP(INDICE!$F$2,Nombres!$C$3:$D$636,84,FALSE)</f>
        <v>(Percentage)</v>
      </c>
      <c r="B19" s="116"/>
      <c r="C19" s="116"/>
      <c r="D19" s="130"/>
      <c r="E19" s="130"/>
      <c r="F19" s="116"/>
      <c r="G19" s="116"/>
      <c r="H19" s="130"/>
      <c r="I19" s="130"/>
      <c r="J19" s="126"/>
      <c r="K19" s="126"/>
    </row>
    <row r="20" spans="1:255" ht="14.25">
      <c r="A20" s="99"/>
      <c r="B20" s="121">
        <f>+B$3</f>
        <v>44286</v>
      </c>
      <c r="C20" s="121">
        <f aca="true" t="shared" si="0" ref="C20:I20">+C$3</f>
        <v>44377</v>
      </c>
      <c r="D20" s="121">
        <f t="shared" si="0"/>
        <v>44469</v>
      </c>
      <c r="E20" s="121">
        <f t="shared" si="0"/>
        <v>44561</v>
      </c>
      <c r="F20" s="121">
        <f t="shared" si="0"/>
        <v>44651</v>
      </c>
      <c r="G20" s="121">
        <f t="shared" si="0"/>
        <v>44742</v>
      </c>
      <c r="H20" s="121">
        <f t="shared" si="0"/>
        <v>44834</v>
      </c>
      <c r="I20" s="121">
        <f t="shared" si="0"/>
        <v>44926</v>
      </c>
      <c r="J20" s="126"/>
      <c r="K20" s="126"/>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c r="IR20" s="133"/>
      <c r="IS20" s="133"/>
      <c r="IT20" s="133"/>
      <c r="IU20" s="133"/>
    </row>
    <row r="21" spans="1:11" ht="14.25">
      <c r="A21" s="99"/>
      <c r="B21" s="134"/>
      <c r="C21" s="134"/>
      <c r="D21" s="130"/>
      <c r="E21" s="130"/>
      <c r="F21" s="134"/>
      <c r="G21" s="134"/>
      <c r="H21" s="130"/>
      <c r="I21" s="130"/>
      <c r="J21" s="126"/>
      <c r="K21" s="126"/>
    </row>
    <row r="22" spans="1:13" ht="14.25">
      <c r="A22" s="104" t="str">
        <f>HLOOKUP(INDICE!$F$2,Nombres!$C$3:$D$636,275,FALSE)</f>
        <v>BBVA Group  (*)</v>
      </c>
      <c r="B22" s="135">
        <v>80.77851569113308</v>
      </c>
      <c r="C22" s="135">
        <v>76.75835787445213</v>
      </c>
      <c r="D22" s="135">
        <v>80.02618491458286</v>
      </c>
      <c r="E22" s="136">
        <v>74.6968160531888</v>
      </c>
      <c r="F22" s="135">
        <v>75.90959260574569</v>
      </c>
      <c r="G22" s="244">
        <v>0</v>
      </c>
      <c r="H22" s="244">
        <v>0</v>
      </c>
      <c r="I22" s="244">
        <v>0</v>
      </c>
      <c r="J22" s="137"/>
      <c r="K22"/>
      <c r="L22"/>
      <c r="M22"/>
    </row>
    <row r="23" spans="1:13" ht="14.25">
      <c r="A23" s="99"/>
      <c r="B23" s="138"/>
      <c r="C23" s="138"/>
      <c r="D23" s="138"/>
      <c r="E23" s="139"/>
      <c r="F23" s="138"/>
      <c r="G23" s="138"/>
      <c r="H23" s="138"/>
      <c r="I23" s="138"/>
      <c r="J23" s="137"/>
      <c r="K23" s="126"/>
      <c r="L23" s="125"/>
      <c r="M23" s="125"/>
    </row>
    <row r="24" spans="1:255" ht="14.25">
      <c r="A24" s="59" t="str">
        <f>HLOOKUP(INDICE!$F$2,Nombres!$C$3:$D$636,7,FALSE)</f>
        <v>Spain</v>
      </c>
      <c r="B24" s="140">
        <v>66.3841270862289</v>
      </c>
      <c r="C24" s="140">
        <v>64.34893598275687</v>
      </c>
      <c r="D24" s="140">
        <v>65.47185615916179</v>
      </c>
      <c r="E24" s="141">
        <v>61.68326008630195</v>
      </c>
      <c r="F24" s="140">
        <v>61.43107080176502</v>
      </c>
      <c r="G24" s="245">
        <v>0</v>
      </c>
      <c r="H24" s="245">
        <v>0</v>
      </c>
      <c r="I24" s="245">
        <v>0</v>
      </c>
      <c r="J24" s="137"/>
      <c r="K24" s="14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99"/>
      <c r="B25" s="138"/>
      <c r="C25" s="138"/>
      <c r="D25" s="138"/>
      <c r="E25" s="139"/>
      <c r="F25" s="138"/>
      <c r="G25" s="138"/>
      <c r="H25" s="138"/>
      <c r="I25" s="138"/>
      <c r="J25" s="137"/>
      <c r="K25" s="126"/>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row>
    <row r="26" spans="1:255" ht="14.25">
      <c r="A26" s="59" t="str">
        <f>HLOOKUP(INDICE!$F$2,Nombres!$C$3:$D$636,11,FALSE)</f>
        <v>Mexico</v>
      </c>
      <c r="B26" s="140">
        <v>128.89708113150996</v>
      </c>
      <c r="C26" s="140">
        <v>117.77392341256967</v>
      </c>
      <c r="D26" s="140">
        <v>131.01964036253145</v>
      </c>
      <c r="E26" s="141">
        <v>106.1816014558723</v>
      </c>
      <c r="F26" s="140">
        <v>115.32998289409578</v>
      </c>
      <c r="G26" s="245">
        <v>0</v>
      </c>
      <c r="H26" s="245">
        <v>0</v>
      </c>
      <c r="I26" s="245">
        <v>0</v>
      </c>
      <c r="J26" s="13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4.25">
      <c r="A27" s="99"/>
      <c r="B27" s="138"/>
      <c r="C27" s="138"/>
      <c r="D27" s="138"/>
      <c r="E27" s="139"/>
      <c r="F27" s="138"/>
      <c r="G27" s="138"/>
      <c r="H27" s="138"/>
      <c r="I27" s="138"/>
      <c r="J27" s="137"/>
      <c r="K27"/>
      <c r="L27"/>
      <c r="M27"/>
    </row>
    <row r="28" spans="1:255" ht="14.25">
      <c r="A28" s="59" t="str">
        <f>HLOOKUP(INDICE!$F$2,Nombres!$C$3:$D$636,12,FALSE)</f>
        <v>Turkey </v>
      </c>
      <c r="B28" s="140">
        <v>78.01133138864287</v>
      </c>
      <c r="C28" s="140">
        <v>69.21982164884652</v>
      </c>
      <c r="D28" s="140">
        <v>77.84596768260919</v>
      </c>
      <c r="E28" s="141">
        <v>74.73210430726786</v>
      </c>
      <c r="F28" s="140">
        <v>74.76965437494731</v>
      </c>
      <c r="G28" s="245">
        <v>0</v>
      </c>
      <c r="H28" s="245">
        <v>0</v>
      </c>
      <c r="I28" s="245">
        <v>0</v>
      </c>
      <c r="J28" s="13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99"/>
      <c r="B29" s="138"/>
      <c r="C29" s="138"/>
      <c r="D29" s="138"/>
      <c r="E29" s="139"/>
      <c r="F29" s="138"/>
      <c r="G29" s="138"/>
      <c r="H29" s="138"/>
      <c r="I29" s="138"/>
      <c r="J29" s="137"/>
      <c r="K29" s="126"/>
    </row>
    <row r="30" spans="1:255" ht="14.25">
      <c r="A30" s="59" t="str">
        <f>HLOOKUP(INDICE!$F$2,Nombres!$C$3:$D$636,13,FALSE)</f>
        <v>South America</v>
      </c>
      <c r="B30" s="140">
        <v>109.14212896783424</v>
      </c>
      <c r="C30" s="140">
        <v>108.25779753594978</v>
      </c>
      <c r="D30" s="140">
        <v>108.29188948692838</v>
      </c>
      <c r="E30" s="141">
        <v>98.86004240086193</v>
      </c>
      <c r="F30" s="140">
        <v>99.13889189453238</v>
      </c>
      <c r="G30" s="245">
        <v>0</v>
      </c>
      <c r="H30" s="245">
        <v>0</v>
      </c>
      <c r="I30" s="245">
        <v>0</v>
      </c>
      <c r="J30" s="137"/>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99"/>
      <c r="B31" s="143"/>
      <c r="C31" s="143"/>
      <c r="D31" s="143"/>
      <c r="E31" s="144"/>
      <c r="F31" s="143"/>
      <c r="G31" s="246"/>
      <c r="H31" s="246"/>
      <c r="I31" s="246"/>
      <c r="J31" s="137"/>
      <c r="K31" s="126"/>
      <c r="L31" s="125"/>
      <c r="M31" s="125"/>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HLOOKUP(INDICE!$F$2,Nombres!$C$3:$D$636,263,FALSE)</f>
        <v>Rest of Business</v>
      </c>
      <c r="B32" s="140">
        <v>100.61760816585308</v>
      </c>
      <c r="C32" s="140">
        <v>95.46031980166646</v>
      </c>
      <c r="D32" s="140">
        <v>97.89675149867956</v>
      </c>
      <c r="E32" s="141">
        <v>115.80473169016041</v>
      </c>
      <c r="F32" s="140">
        <v>116.20250793137077</v>
      </c>
      <c r="G32" s="245">
        <v>0</v>
      </c>
      <c r="H32" s="245">
        <v>0</v>
      </c>
      <c r="I32" s="245">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4.25">
      <c r="A33" s="129"/>
      <c r="B33" s="145"/>
      <c r="C33" s="145"/>
      <c r="D33" s="130"/>
      <c r="E33" s="130"/>
      <c r="F33" s="145"/>
      <c r="G33" s="145"/>
      <c r="H33" s="130"/>
      <c r="I33" s="130"/>
      <c r="J33" s="126"/>
      <c r="K33" s="126"/>
      <c r="L33" s="125"/>
      <c r="M33" s="125"/>
    </row>
    <row r="34" spans="1:255" ht="14.25">
      <c r="A34" s="99"/>
      <c r="B34" s="145"/>
      <c r="C34" s="145"/>
      <c r="D34" s="130"/>
      <c r="E34" s="130"/>
      <c r="F34" s="145"/>
      <c r="G34" s="145"/>
      <c r="H34" s="130"/>
      <c r="I34" s="130"/>
      <c r="J34" s="126"/>
      <c r="K34" s="126"/>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6.5">
      <c r="A35" s="95" t="str">
        <f>HLOOKUP(INDICE!$F$2,Nombres!$C$3:$D$636,87,FALSE)</f>
        <v>Cost of risk YTD</v>
      </c>
      <c r="B35" s="131"/>
      <c r="C35" s="131"/>
      <c r="D35" s="132"/>
      <c r="E35" s="132"/>
      <c r="F35" s="131"/>
      <c r="G35" s="131"/>
      <c r="H35" s="132"/>
      <c r="I35" s="132"/>
      <c r="J35" s="126"/>
      <c r="K35" s="126"/>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row>
    <row r="36" spans="1:11" ht="14.25">
      <c r="A36" s="98" t="str">
        <f>HLOOKUP(INDICE!$F$2,Nombres!$C$3:$D$636,84,FALSE)</f>
        <v>(Percentage)</v>
      </c>
      <c r="B36" s="145"/>
      <c r="C36" s="145"/>
      <c r="D36" s="130"/>
      <c r="E36" s="130"/>
      <c r="F36" s="145"/>
      <c r="G36" s="145"/>
      <c r="H36" s="130"/>
      <c r="I36" s="130"/>
      <c r="J36" s="126"/>
      <c r="K36" s="126"/>
    </row>
    <row r="37" spans="1:255" ht="14.25">
      <c r="A37" s="99"/>
      <c r="B37" s="121">
        <f>+B$3</f>
        <v>44286</v>
      </c>
      <c r="C37" s="121">
        <f aca="true" t="shared" si="1" ref="C37:I37">+C$3</f>
        <v>44377</v>
      </c>
      <c r="D37" s="121">
        <f t="shared" si="1"/>
        <v>44469</v>
      </c>
      <c r="E37" s="121">
        <f t="shared" si="1"/>
        <v>44561</v>
      </c>
      <c r="F37" s="121">
        <f t="shared" si="1"/>
        <v>44651</v>
      </c>
      <c r="G37" s="121">
        <f t="shared" si="1"/>
        <v>44742</v>
      </c>
      <c r="H37" s="121">
        <f t="shared" si="1"/>
        <v>44834</v>
      </c>
      <c r="I37" s="121">
        <f t="shared" si="1"/>
        <v>44926</v>
      </c>
      <c r="J37" s="126"/>
      <c r="K37" s="126"/>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row>
    <row r="38" spans="1:11" ht="14.25">
      <c r="A38" s="99"/>
      <c r="B38" s="134"/>
      <c r="C38" s="134"/>
      <c r="D38" s="130"/>
      <c r="E38" s="130"/>
      <c r="F38" s="134"/>
      <c r="G38" s="134"/>
      <c r="H38" s="130"/>
      <c r="I38" s="130"/>
      <c r="J38" s="126"/>
      <c r="K38" s="126"/>
    </row>
    <row r="39" spans="1:13" ht="14.25">
      <c r="A39" s="104" t="str">
        <f>HLOOKUP(INDICE!$F$2,Nombres!$C$3:$D$636,275,FALSE)</f>
        <v>BBVA Group  (*)</v>
      </c>
      <c r="B39" s="146">
        <v>1.173090618069368</v>
      </c>
      <c r="C39" s="146">
        <v>1.0014400841330078</v>
      </c>
      <c r="D39" s="146">
        <v>0.9163961296285004</v>
      </c>
      <c r="E39" s="147">
        <v>0.9310695316393152</v>
      </c>
      <c r="F39" s="146">
        <v>0.8152844325899966</v>
      </c>
      <c r="G39" s="146">
        <v>0</v>
      </c>
      <c r="H39" s="247">
        <v>0</v>
      </c>
      <c r="I39" s="247">
        <v>0</v>
      </c>
      <c r="J39" s="108"/>
      <c r="K39"/>
      <c r="L39"/>
      <c r="M39"/>
    </row>
    <row r="40" spans="1:13" ht="14.25">
      <c r="A40" s="99"/>
      <c r="B40" s="148"/>
      <c r="C40" s="148"/>
      <c r="D40" s="148"/>
      <c r="E40" s="149"/>
      <c r="F40" s="148"/>
      <c r="G40" s="148"/>
      <c r="H40" s="148"/>
      <c r="I40" s="148"/>
      <c r="J40" s="126"/>
      <c r="K40" s="126"/>
      <c r="L40" s="125"/>
      <c r="M40" s="125"/>
    </row>
    <row r="41" spans="1:13" ht="14.25">
      <c r="A41" s="59" t="str">
        <f>HLOOKUP(INDICE!$F$2,Nombres!$C$3:$D$636,7,FALSE)</f>
        <v>Spain</v>
      </c>
      <c r="B41" s="150">
        <v>0.44644168473303464</v>
      </c>
      <c r="C41" s="150">
        <v>0.4145101490226199</v>
      </c>
      <c r="D41" s="150">
        <v>0.3233561998948687</v>
      </c>
      <c r="E41" s="151">
        <v>0.29762126920719995</v>
      </c>
      <c r="F41" s="150">
        <v>0.1664413985262337</v>
      </c>
      <c r="G41" s="248">
        <v>0</v>
      </c>
      <c r="H41" s="248">
        <v>0</v>
      </c>
      <c r="I41" s="248">
        <v>0</v>
      </c>
      <c r="J41" s="108"/>
      <c r="K41"/>
      <c r="L41"/>
      <c r="M41"/>
    </row>
    <row r="42" spans="1:13" ht="14.25">
      <c r="A42" s="99"/>
      <c r="B42" s="148"/>
      <c r="C42" s="148"/>
      <c r="D42" s="148"/>
      <c r="E42" s="149"/>
      <c r="F42" s="148"/>
      <c r="G42" s="148"/>
      <c r="H42" s="148"/>
      <c r="I42" s="148"/>
      <c r="J42" s="108"/>
      <c r="K42"/>
      <c r="L42"/>
      <c r="M42"/>
    </row>
    <row r="43" spans="1:255" ht="14.25">
      <c r="A43" s="59" t="str">
        <f>HLOOKUP(INDICE!$F$2,Nombres!$C$3:$D$636,11,FALSE)</f>
        <v>Mexico</v>
      </c>
      <c r="B43" s="150">
        <v>3.5535721044635267</v>
      </c>
      <c r="C43" s="150">
        <v>2.8335225953658982</v>
      </c>
      <c r="D43" s="150">
        <v>2.6978843393028074</v>
      </c>
      <c r="E43" s="151">
        <v>2.6717550543842155</v>
      </c>
      <c r="F43" s="150">
        <v>2.835222652884783</v>
      </c>
      <c r="G43" s="248">
        <v>0</v>
      </c>
      <c r="H43" s="248">
        <v>0</v>
      </c>
      <c r="I43" s="248">
        <v>0</v>
      </c>
      <c r="J43" s="108"/>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99"/>
      <c r="B44" s="148"/>
      <c r="C44" s="148"/>
      <c r="D44" s="148"/>
      <c r="E44" s="149"/>
      <c r="F44" s="148"/>
      <c r="G44" s="148"/>
      <c r="H44" s="148"/>
      <c r="I44" s="148"/>
      <c r="J44" s="126"/>
      <c r="K44" s="126"/>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row>
    <row r="45" spans="1:255" ht="14.25">
      <c r="A45" s="59" t="str">
        <f>HLOOKUP(INDICE!$F$2,Nombres!$C$3:$D$636,12,FALSE)</f>
        <v>Turkey </v>
      </c>
      <c r="B45" s="150">
        <v>1.3446936546426136</v>
      </c>
      <c r="C45" s="150">
        <v>0.9737620758969258</v>
      </c>
      <c r="D45" s="150">
        <v>0.8755645034712647</v>
      </c>
      <c r="E45" s="151">
        <v>1.3282143658971564</v>
      </c>
      <c r="F45" s="150">
        <v>0.9997695189259566</v>
      </c>
      <c r="G45" s="248">
        <v>0</v>
      </c>
      <c r="H45" s="248">
        <v>0</v>
      </c>
      <c r="I45" s="248">
        <v>0</v>
      </c>
      <c r="J45" s="108"/>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99"/>
      <c r="B46" s="148"/>
      <c r="C46" s="148"/>
      <c r="D46" s="148"/>
      <c r="E46" s="149"/>
      <c r="F46" s="148"/>
      <c r="G46" s="148"/>
      <c r="H46" s="148"/>
      <c r="I46" s="148"/>
      <c r="J46" s="126"/>
      <c r="K46" s="126"/>
    </row>
    <row r="47" spans="1:255" ht="14.25">
      <c r="A47" s="59" t="str">
        <f>HLOOKUP(INDICE!$F$2,Nombres!$C$3:$D$636,13,FALSE)</f>
        <v>South America</v>
      </c>
      <c r="B47" s="150">
        <v>1.8091344969893883</v>
      </c>
      <c r="C47" s="150">
        <v>1.928438254504768</v>
      </c>
      <c r="D47" s="150">
        <v>1.8729891230519553</v>
      </c>
      <c r="E47" s="151">
        <v>1.6530823816118405</v>
      </c>
      <c r="F47" s="150">
        <v>1.1705978901872152</v>
      </c>
      <c r="G47" s="248">
        <v>0</v>
      </c>
      <c r="H47" s="248">
        <v>0</v>
      </c>
      <c r="I47" s="248">
        <v>0</v>
      </c>
      <c r="J47" s="108"/>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99"/>
      <c r="B48" s="152"/>
      <c r="C48" s="152"/>
      <c r="D48" s="152"/>
      <c r="E48" s="153"/>
      <c r="F48" s="152"/>
      <c r="G48" s="249"/>
      <c r="H48" s="249"/>
      <c r="I48" s="249"/>
      <c r="J48" s="126"/>
      <c r="K48" s="126"/>
      <c r="L48" s="125"/>
      <c r="M48" s="125"/>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HLOOKUP(INDICE!$F$2,Nombres!$C$3:$D$636,263,FALSE)</f>
        <v>Rest of Business</v>
      </c>
      <c r="B49" s="150">
        <v>-0.030020736011597684</v>
      </c>
      <c r="C49" s="150">
        <v>-0.12700043037823272</v>
      </c>
      <c r="D49" s="150">
        <v>-0.10708198820167114</v>
      </c>
      <c r="E49" s="151">
        <v>-0.10779579613874153</v>
      </c>
      <c r="F49" s="150">
        <v>-0.10382136162482422</v>
      </c>
      <c r="G49" s="248">
        <v>0</v>
      </c>
      <c r="H49" s="248">
        <v>0</v>
      </c>
      <c r="I49" s="248">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4.25">
      <c r="A50" s="129"/>
      <c r="B50" s="99"/>
      <c r="C50" s="145"/>
      <c r="D50" s="145"/>
      <c r="E50" s="145"/>
      <c r="F50" s="99"/>
      <c r="G50" s="250"/>
      <c r="H50" s="250"/>
      <c r="I50" s="250"/>
    </row>
    <row r="51" spans="1:255" ht="14.25">
      <c r="A51" s="117" t="str">
        <f>HLOOKUP(INDICE!$F$2,Nombres!$C$3:$D$636,278,FALSE)</f>
        <v>(*) BBVA Group excludes  the US Business sold to PNC.</v>
      </c>
      <c r="B51" s="99"/>
      <c r="C51" s="99"/>
      <c r="D51" s="99"/>
      <c r="E51" s="99"/>
      <c r="F51" s="99"/>
      <c r="G51" s="99"/>
      <c r="H51" s="99"/>
      <c r="I51" s="99"/>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4.25">
      <c r="A52" s="99"/>
      <c r="B52" s="99"/>
      <c r="C52" s="99"/>
      <c r="D52" s="99"/>
      <c r="E52" s="99"/>
      <c r="F52" s="99"/>
      <c r="G52" s="99"/>
      <c r="H52" s="99"/>
      <c r="I52" s="99"/>
    </row>
    <row r="53" spans="1:255" ht="14.25">
      <c r="A53" s="154"/>
      <c r="B53" s="118"/>
      <c r="C53" s="118"/>
      <c r="D53" s="118"/>
      <c r="E53" s="118"/>
      <c r="F53" s="118"/>
      <c r="G53" s="118"/>
      <c r="H53" s="154"/>
      <c r="I53" s="15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4.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row>
    <row r="994" ht="14.25">
      <c r="A994" s="155" t="s">
        <v>392</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B6" sqref="B6"/>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9" width="11.421875" style="0" hidden="1" customWidth="1"/>
    <col min="10" max="10" width="11.421875" style="0" customWidth="1"/>
    <col min="11" max="12" width="14.7109375" style="0" bestFit="1" customWidth="1"/>
  </cols>
  <sheetData>
    <row r="1" spans="1:9" ht="16.5">
      <c r="A1" s="95" t="str">
        <f>HLOOKUP(INDICE!$F$2,Nombres!$C$3:$D$636,88,FALSE)</f>
        <v>Risk-weighted assets. Breakdown by business areas and main countries</v>
      </c>
      <c r="B1" s="156"/>
      <c r="C1" s="156"/>
      <c r="D1" s="157"/>
      <c r="E1" s="157"/>
      <c r="F1" s="157"/>
      <c r="G1" s="157"/>
      <c r="H1" s="157"/>
      <c r="I1" s="157"/>
    </row>
    <row r="2" spans="1:9" ht="14.25">
      <c r="A2" s="164" t="str">
        <f>HLOOKUP(INDICE!$F$2,Nombres!$C$3:$D$636,32,FALSE)</f>
        <v>(Million euros)</v>
      </c>
      <c r="B2" s="58"/>
      <c r="C2" s="58"/>
      <c r="D2" s="196"/>
      <c r="E2" s="196"/>
      <c r="F2" s="196"/>
      <c r="G2" s="196"/>
      <c r="H2" s="196"/>
      <c r="I2" s="196"/>
    </row>
    <row r="3" spans="1:9" ht="15">
      <c r="A3" s="197"/>
      <c r="B3" s="58"/>
      <c r="C3" s="58"/>
      <c r="D3" s="160"/>
      <c r="E3" s="160"/>
      <c r="F3" s="160"/>
      <c r="G3" s="160"/>
      <c r="H3" s="160"/>
      <c r="I3" s="160"/>
    </row>
    <row r="4" spans="1:9" ht="15.75" customHeight="1">
      <c r="A4" s="198"/>
      <c r="B4" s="304" t="str">
        <f>HLOOKUP(INDICE!$F$2,Nombres!$C$3:$D$636,222,FALSE)</f>
        <v>CRD IV fully loaded</v>
      </c>
      <c r="C4" s="304"/>
      <c r="D4" s="304"/>
      <c r="E4" s="304"/>
      <c r="F4" s="304"/>
      <c r="G4" s="304"/>
      <c r="H4" s="304"/>
      <c r="I4" s="304"/>
    </row>
    <row r="5" spans="1:11" ht="14.25">
      <c r="A5" s="198"/>
      <c r="B5" s="199">
        <f>+España!B30</f>
        <v>44286</v>
      </c>
      <c r="C5" s="199">
        <f>+España!C30</f>
        <v>44377</v>
      </c>
      <c r="D5" s="199">
        <f>+España!D30</f>
        <v>44469</v>
      </c>
      <c r="E5" s="199">
        <f>+España!E30</f>
        <v>44561</v>
      </c>
      <c r="F5" s="199">
        <f>+España!F30</f>
        <v>44651</v>
      </c>
      <c r="G5" s="199">
        <f>+España!G30</f>
        <v>44742</v>
      </c>
      <c r="H5" s="199">
        <f>+España!H30</f>
        <v>44834</v>
      </c>
      <c r="I5" s="199">
        <f>+España!I30</f>
        <v>44926</v>
      </c>
      <c r="K5" s="200"/>
    </row>
    <row r="6" spans="1:12" ht="14.25">
      <c r="A6" s="104" t="str">
        <f>HLOOKUP(INDICE!$F$2,Nombres!$C$3:$D$636,3,FALSE)</f>
        <v>BBVA Group</v>
      </c>
      <c r="B6" s="201">
        <v>354433.37399999</v>
      </c>
      <c r="C6" s="201">
        <v>305543.34494778</v>
      </c>
      <c r="D6" s="201">
        <v>302547.527935481</v>
      </c>
      <c r="E6" s="201">
        <v>307335</v>
      </c>
      <c r="F6" s="201">
        <v>316095</v>
      </c>
      <c r="G6" s="201">
        <v>0</v>
      </c>
      <c r="H6" s="201">
        <v>0</v>
      </c>
      <c r="I6" s="201">
        <v>0</v>
      </c>
      <c r="K6" s="202"/>
      <c r="L6" s="203"/>
    </row>
    <row r="7" spans="1:12" ht="14.25">
      <c r="A7" s="59" t="str">
        <f>HLOOKUP(INDICE!$F$2,Nombres!$C$3:$D$636,7,FALSE)</f>
        <v>Spain</v>
      </c>
      <c r="B7" s="44">
        <v>107872.02321967999</v>
      </c>
      <c r="C7" s="44">
        <v>111975.13196427</v>
      </c>
      <c r="D7" s="44">
        <v>108749.97331843001</v>
      </c>
      <c r="E7" s="44">
        <v>113797.44527904</v>
      </c>
      <c r="F7" s="44">
        <v>109623.29636668</v>
      </c>
      <c r="G7" s="44">
        <v>0</v>
      </c>
      <c r="H7" s="44">
        <v>0</v>
      </c>
      <c r="I7" s="44">
        <v>0</v>
      </c>
      <c r="K7" s="202"/>
      <c r="L7" s="203"/>
    </row>
    <row r="8" spans="1:12" ht="14.25">
      <c r="A8" s="59" t="str">
        <f>HLOOKUP(INDICE!$F$2,Nombres!$C$3:$D$636,11,FALSE)</f>
        <v>Mexico</v>
      </c>
      <c r="B8" s="44">
        <v>61980.77996205</v>
      </c>
      <c r="C8" s="44">
        <v>62395.63337627</v>
      </c>
      <c r="D8" s="44">
        <v>61240.109</v>
      </c>
      <c r="E8" s="44">
        <v>64572.994997839996</v>
      </c>
      <c r="F8" s="44">
        <v>67626.26018723</v>
      </c>
      <c r="G8" s="44">
        <v>0</v>
      </c>
      <c r="H8" s="44">
        <v>0</v>
      </c>
      <c r="I8" s="44">
        <v>0</v>
      </c>
      <c r="K8" s="202"/>
      <c r="L8" s="203"/>
    </row>
    <row r="9" spans="1:12" ht="14.25">
      <c r="A9" s="59" t="str">
        <f>HLOOKUP(INDICE!$F$2,Nombres!$C$3:$D$636,12,FALSE)</f>
        <v>Turkey </v>
      </c>
      <c r="B9" s="44">
        <v>53251.74</v>
      </c>
      <c r="C9" s="44">
        <v>53554.30000000001</v>
      </c>
      <c r="D9" s="44">
        <v>55233.178</v>
      </c>
      <c r="E9" s="44">
        <v>49718.483983800004</v>
      </c>
      <c r="F9" s="44">
        <v>49589.47993845</v>
      </c>
      <c r="G9" s="44">
        <v>0</v>
      </c>
      <c r="H9" s="44">
        <v>0</v>
      </c>
      <c r="I9" s="44">
        <v>0</v>
      </c>
      <c r="K9" s="202"/>
      <c r="L9" s="203"/>
    </row>
    <row r="10" spans="1:12" ht="14.25">
      <c r="A10" s="59" t="str">
        <f>HLOOKUP(INDICE!$F$2,Nombres!$C$3:$D$636,13,FALSE)</f>
        <v>South America</v>
      </c>
      <c r="B10" s="44">
        <f aca="true" t="shared" si="0" ref="B10:I10">+B11+B12+B13+B14+B15</f>
        <v>38947.77803282</v>
      </c>
      <c r="C10" s="44">
        <f t="shared" si="0"/>
        <v>39113.19486358</v>
      </c>
      <c r="D10" s="44">
        <f t="shared" si="0"/>
        <v>40870.448252999995</v>
      </c>
      <c r="E10" s="44">
        <f t="shared" si="0"/>
        <v>43334.14399471</v>
      </c>
      <c r="F10" s="44">
        <f t="shared" si="0"/>
        <v>46330.37929296999</v>
      </c>
      <c r="G10" s="44">
        <f t="shared" si="0"/>
        <v>0</v>
      </c>
      <c r="H10" s="44">
        <f t="shared" si="0"/>
        <v>0</v>
      </c>
      <c r="I10" s="44">
        <f t="shared" si="0"/>
        <v>0</v>
      </c>
      <c r="K10" s="202"/>
      <c r="L10" s="203"/>
    </row>
    <row r="11" spans="1:12" ht="14.25">
      <c r="A11" s="204" t="str">
        <f>HLOOKUP(INDICE!$F$2,Nombres!$C$3:$D$636,14,FALSE)</f>
        <v>Argentina</v>
      </c>
      <c r="B11" s="44">
        <v>5727.42467177</v>
      </c>
      <c r="C11" s="44">
        <v>5548.0146043</v>
      </c>
      <c r="D11" s="44">
        <v>6180.594252999999</v>
      </c>
      <c r="E11" s="44">
        <v>6775.30599561</v>
      </c>
      <c r="F11" s="44">
        <v>6766.69729061</v>
      </c>
      <c r="G11" s="44">
        <v>0</v>
      </c>
      <c r="H11" s="44">
        <v>0</v>
      </c>
      <c r="I11" s="44">
        <v>0</v>
      </c>
      <c r="K11" s="202"/>
      <c r="L11" s="203"/>
    </row>
    <row r="12" spans="1:12" ht="14.25">
      <c r="A12" s="204" t="str">
        <f>HLOOKUP(INDICE!$F$2,Nombres!$C$3:$D$636,15,FALSE)</f>
        <v>Chile</v>
      </c>
      <c r="B12" s="44">
        <v>1577.494</v>
      </c>
      <c r="C12" s="44">
        <v>1700.4819999999995</v>
      </c>
      <c r="D12" s="44">
        <v>1602.6979999999999</v>
      </c>
      <c r="E12" s="44">
        <v>1635.52199571</v>
      </c>
      <c r="F12" s="44">
        <v>1888.1159999999998</v>
      </c>
      <c r="G12" s="44">
        <v>0</v>
      </c>
      <c r="H12" s="44">
        <v>0</v>
      </c>
      <c r="I12" s="44">
        <v>0</v>
      </c>
      <c r="K12" s="202"/>
      <c r="L12" s="203"/>
    </row>
    <row r="13" spans="1:12" ht="14.25">
      <c r="A13" s="204" t="str">
        <f>HLOOKUP(INDICE!$F$2,Nombres!$C$3:$D$636,16,FALSE)</f>
        <v>Colombia</v>
      </c>
      <c r="B13" s="44">
        <v>12609.25952864</v>
      </c>
      <c r="C13" s="44">
        <v>12951.161905739998</v>
      </c>
      <c r="D13" s="44">
        <v>13376.350999999999</v>
      </c>
      <c r="E13" s="44">
        <v>14262.200003910002</v>
      </c>
      <c r="F13" s="44">
        <v>15853.15522854</v>
      </c>
      <c r="G13" s="44">
        <v>0</v>
      </c>
      <c r="H13" s="44">
        <v>0</v>
      </c>
      <c r="I13" s="44">
        <v>0</v>
      </c>
      <c r="K13" s="202"/>
      <c r="L13" s="203"/>
    </row>
    <row r="14" spans="1:12" ht="14.25">
      <c r="A14" s="204" t="str">
        <f>HLOOKUP(INDICE!$F$2,Nombres!$C$3:$D$636,17,FALSE)</f>
        <v>Peru</v>
      </c>
      <c r="B14" s="44">
        <v>16675.773832410003</v>
      </c>
      <c r="C14" s="44">
        <v>16469.43935354</v>
      </c>
      <c r="D14" s="44">
        <v>17336.05</v>
      </c>
      <c r="E14" s="44">
        <v>18016.47699951</v>
      </c>
      <c r="F14" s="44">
        <v>19003.581019359997</v>
      </c>
      <c r="G14" s="44">
        <v>0</v>
      </c>
      <c r="H14" s="44">
        <v>0</v>
      </c>
      <c r="I14" s="44">
        <v>0</v>
      </c>
      <c r="K14" s="202"/>
      <c r="L14" s="203"/>
    </row>
    <row r="15" spans="1:12" ht="14.25">
      <c r="A15" s="204" t="str">
        <f>HLOOKUP(INDICE!$F$2,Nombres!$C$3:$D$636,89,FALSE)</f>
        <v>Resto of South América</v>
      </c>
      <c r="B15" s="44">
        <v>2357.826</v>
      </c>
      <c r="C15" s="44">
        <v>2444.0969999999998</v>
      </c>
      <c r="D15" s="44">
        <v>2374.755</v>
      </c>
      <c r="E15" s="44">
        <v>2644.63899997</v>
      </c>
      <c r="F15" s="44">
        <v>2818.82975446</v>
      </c>
      <c r="G15" s="44">
        <v>0</v>
      </c>
      <c r="H15" s="44">
        <v>0</v>
      </c>
      <c r="I15" s="44">
        <v>0</v>
      </c>
      <c r="K15" s="202"/>
      <c r="L15" s="203"/>
    </row>
    <row r="16" spans="1:12" ht="14.25">
      <c r="A16" s="291" t="str">
        <f>HLOOKUP(INDICE!$F$2,Nombres!$C$3:$D$636,263,FALSE)</f>
        <v>Rest of Business</v>
      </c>
      <c r="B16" s="44">
        <v>28436.27412497</v>
      </c>
      <c r="C16" s="44">
        <v>28369.32461407</v>
      </c>
      <c r="D16" s="44">
        <v>27041.584696980004</v>
      </c>
      <c r="E16" s="44">
        <v>29280.11150947</v>
      </c>
      <c r="F16" s="44">
        <v>31607.216164469995</v>
      </c>
      <c r="G16" s="44">
        <v>0</v>
      </c>
      <c r="H16" s="44">
        <v>0</v>
      </c>
      <c r="I16" s="44">
        <v>0</v>
      </c>
      <c r="K16" s="202"/>
      <c r="L16" s="203"/>
    </row>
    <row r="17" spans="1:12" ht="14.25">
      <c r="A17" s="59" t="str">
        <f>HLOOKUP(INDICE!$F$2,Nombres!$C$3:$D$636,272,FALSE)</f>
        <v>Corporate Center (1)</v>
      </c>
      <c r="B17" s="44">
        <f>+B6-B7-B8-B9-B11-B12-B13-B14-B15-B16</f>
        <v>63944.77866046998</v>
      </c>
      <c r="C17" s="44">
        <f aca="true" t="shared" si="1" ref="C17:I17">+C6-C7-C8-C9-C11-C12-C13-C14-C15-C16</f>
        <v>10135.760129589995</v>
      </c>
      <c r="D17" s="44">
        <f t="shared" si="1"/>
        <v>9412.234667070974</v>
      </c>
      <c r="E17" s="44">
        <f t="shared" si="1"/>
        <v>6631.820235139996</v>
      </c>
      <c r="F17" s="44">
        <f t="shared" si="1"/>
        <v>11318.368050199992</v>
      </c>
      <c r="G17" s="44">
        <f t="shared" si="1"/>
        <v>0</v>
      </c>
      <c r="H17" s="44">
        <f t="shared" si="1"/>
        <v>0</v>
      </c>
      <c r="I17" s="44">
        <f t="shared" si="1"/>
        <v>0</v>
      </c>
      <c r="K17" s="202"/>
      <c r="L17" s="203"/>
    </row>
    <row r="18" spans="1:12" ht="14.25">
      <c r="A18" s="59"/>
      <c r="B18" s="44"/>
      <c r="C18" s="44"/>
      <c r="D18" s="44"/>
      <c r="E18" s="44"/>
      <c r="F18" s="44"/>
      <c r="G18" s="44"/>
      <c r="H18" s="44"/>
      <c r="I18" s="44"/>
      <c r="K18" s="202"/>
      <c r="L18" s="203"/>
    </row>
    <row r="19" spans="1:12" ht="14.25">
      <c r="A19" s="59"/>
      <c r="B19" s="44"/>
      <c r="C19" s="44"/>
      <c r="D19" s="44"/>
      <c r="E19" s="44"/>
      <c r="F19" s="44"/>
      <c r="G19" s="44"/>
      <c r="H19" s="44"/>
      <c r="I19" s="44"/>
      <c r="K19" s="202"/>
      <c r="L19" s="203"/>
    </row>
    <row r="20" spans="1:12" ht="14.25">
      <c r="A20" s="59" t="str">
        <f>HLOOKUP(INDICE!$F$2,Nombres!$C$3:$D$636,273,FALSE)</f>
        <v>(1) Includes RWAs from the USA business sold.</v>
      </c>
      <c r="B20" s="44"/>
      <c r="C20" s="44"/>
      <c r="D20" s="44"/>
      <c r="E20" s="44"/>
      <c r="F20" s="44"/>
      <c r="G20" s="44"/>
      <c r="H20" s="44"/>
      <c r="I20" s="44"/>
      <c r="K20" s="202"/>
      <c r="L20" s="203"/>
    </row>
    <row r="21" spans="1:12" ht="14.25">
      <c r="A21" s="59"/>
      <c r="K21" s="202"/>
      <c r="L21" s="203"/>
    </row>
    <row r="22" spans="1:12" ht="14.25">
      <c r="A22" s="286"/>
      <c r="B22" s="44"/>
      <c r="C22" s="44"/>
      <c r="D22" s="44"/>
      <c r="E22" s="44"/>
      <c r="F22" s="44"/>
      <c r="G22" s="44"/>
      <c r="H22" s="44"/>
      <c r="I22" s="56"/>
      <c r="K22" s="202"/>
      <c r="L22" s="203"/>
    </row>
    <row r="23" spans="1:12" ht="14.25">
      <c r="A23" s="286"/>
      <c r="B23" s="292">
        <v>0</v>
      </c>
      <c r="C23" s="292">
        <v>0</v>
      </c>
      <c r="D23" s="292">
        <v>0</v>
      </c>
      <c r="E23" s="292">
        <v>0</v>
      </c>
      <c r="F23" s="292">
        <v>0</v>
      </c>
      <c r="G23" s="292">
        <v>0</v>
      </c>
      <c r="H23" s="292">
        <v>0</v>
      </c>
      <c r="I23" s="292">
        <v>0</v>
      </c>
      <c r="K23" s="202"/>
      <c r="L23" s="203"/>
    </row>
    <row r="24" spans="1:12" ht="14.25">
      <c r="A24" s="59"/>
      <c r="B24" s="44"/>
      <c r="C24" s="44"/>
      <c r="D24" s="44"/>
      <c r="E24" s="44"/>
      <c r="F24" s="44"/>
      <c r="G24" s="44"/>
      <c r="H24" s="44"/>
      <c r="I24" s="44"/>
      <c r="K24" s="202"/>
      <c r="L24" s="203"/>
    </row>
    <row r="25" spans="1:6" ht="14.25">
      <c r="A25" s="160"/>
      <c r="B25" s="160"/>
      <c r="C25" s="160"/>
      <c r="D25" s="160"/>
      <c r="E25" s="160"/>
      <c r="F25" s="160"/>
    </row>
    <row r="26" spans="1:6" ht="14.25">
      <c r="A26" s="257"/>
      <c r="B26" s="205"/>
      <c r="C26" s="205"/>
      <c r="D26" s="205"/>
      <c r="E26" s="205"/>
      <c r="F26" s="205"/>
    </row>
    <row r="27" spans="2:6" ht="14.25">
      <c r="B27" s="108"/>
      <c r="F27" s="31"/>
    </row>
    <row r="1005" ht="14.25">
      <c r="A1005" t="s">
        <v>392</v>
      </c>
    </row>
  </sheetData>
  <sheetProtection/>
  <mergeCells count="1">
    <mergeCell ref="B4:I4"/>
  </mergeCells>
  <conditionalFormatting sqref="B23:I23">
    <cfRule type="cellIs" priority="1" dxfId="128" operator="notBetween">
      <formula>0.25</formula>
      <formula>-0.25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F5" sqref="F5"/>
    </sheetView>
  </sheetViews>
  <sheetFormatPr defaultColWidth="11.421875" defaultRowHeight="15"/>
  <cols>
    <col min="1" max="1" width="23.8515625" style="0" customWidth="1"/>
    <col min="7" max="9" width="0" style="0" hidden="1" customWidth="1"/>
  </cols>
  <sheetData>
    <row r="1" spans="1:41" ht="16.5">
      <c r="A1" s="251" t="str">
        <f>HLOOKUP(INDICE!$F$2,Nombres!$C$3:$D$636,123,FALSE)</f>
        <v>Branches</v>
      </c>
      <c r="B1" s="156"/>
      <c r="C1" s="156"/>
      <c r="D1" s="157"/>
      <c r="E1" s="157"/>
      <c r="F1" s="157"/>
      <c r="G1" s="157"/>
      <c r="H1" s="157"/>
      <c r="I1" s="157"/>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8"/>
      <c r="B2" s="101">
        <f>+España!B30</f>
        <v>44286</v>
      </c>
      <c r="C2" s="101">
        <f>+España!C30</f>
        <v>44377</v>
      </c>
      <c r="D2" s="101">
        <f>+España!D30</f>
        <v>44469</v>
      </c>
      <c r="E2" s="101">
        <f>+España!E30</f>
        <v>44561</v>
      </c>
      <c r="F2" s="101">
        <f>+España!F30</f>
        <v>44651</v>
      </c>
      <c r="G2" s="101">
        <f>+España!G30</f>
        <v>44742</v>
      </c>
      <c r="H2" s="101">
        <f>+España!H30</f>
        <v>44834</v>
      </c>
      <c r="I2" s="101">
        <f>+España!I30</f>
        <v>44926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2" t="str">
        <f>HLOOKUP(INDICE!$F$2,Nombres!$C$3:$D$636,7,FALSE)</f>
        <v>Spain</v>
      </c>
      <c r="B3" s="41">
        <v>2366</v>
      </c>
      <c r="C3" s="41">
        <v>2366</v>
      </c>
      <c r="D3" s="41">
        <v>2106</v>
      </c>
      <c r="E3" s="41">
        <v>1895</v>
      </c>
      <c r="F3" s="41">
        <v>1886</v>
      </c>
      <c r="G3" s="41">
        <v>0</v>
      </c>
      <c r="H3" s="41">
        <v>0</v>
      </c>
      <c r="I3" s="41">
        <v>0</v>
      </c>
      <c r="J3" s="54"/>
      <c r="K3" s="31"/>
      <c r="L3" s="118"/>
      <c r="M3" s="11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2" t="str">
        <f>HLOOKUP(INDICE!$F$2,Nombres!$C$3:$D$636,10,FALSE)</f>
        <v>USA</v>
      </c>
      <c r="B4" s="41">
        <v>639</v>
      </c>
      <c r="C4" s="41">
        <v>0</v>
      </c>
      <c r="D4" s="41">
        <v>0</v>
      </c>
      <c r="E4" s="41">
        <v>0</v>
      </c>
      <c r="F4" s="41">
        <v>0</v>
      </c>
      <c r="G4" s="41">
        <v>0</v>
      </c>
      <c r="H4" s="41">
        <v>0</v>
      </c>
      <c r="I4" s="41">
        <v>0</v>
      </c>
      <c r="J4" s="54"/>
      <c r="K4" s="31"/>
      <c r="L4" s="118"/>
      <c r="M4" s="118"/>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2" t="str">
        <f>HLOOKUP(INDICE!$F$2,Nombres!$C$3:$D$636,11,FALSE)</f>
        <v>Mexico</v>
      </c>
      <c r="B5" s="41">
        <v>1728</v>
      </c>
      <c r="C5" s="41">
        <v>1746</v>
      </c>
      <c r="D5" s="41">
        <v>1746</v>
      </c>
      <c r="E5" s="41">
        <v>1716</v>
      </c>
      <c r="F5" s="41">
        <v>1722</v>
      </c>
      <c r="G5" s="41">
        <v>0</v>
      </c>
      <c r="H5" s="41">
        <v>0</v>
      </c>
      <c r="I5" s="41">
        <v>0</v>
      </c>
      <c r="J5" s="54"/>
      <c r="K5" s="31"/>
      <c r="L5" s="118"/>
      <c r="M5" s="118"/>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2" t="str">
        <f>HLOOKUP(INDICE!$F$2,Nombres!$C$3:$D$636,12,FALSE)</f>
        <v>Turkey </v>
      </c>
      <c r="B6" s="41">
        <v>1021</v>
      </c>
      <c r="C6" s="41">
        <v>1009</v>
      </c>
      <c r="D6" s="41">
        <v>1007</v>
      </c>
      <c r="E6" s="41">
        <v>1006</v>
      </c>
      <c r="F6" s="41">
        <v>1003</v>
      </c>
      <c r="G6" s="41">
        <v>0</v>
      </c>
      <c r="H6" s="41">
        <v>0</v>
      </c>
      <c r="I6" s="41">
        <v>0</v>
      </c>
      <c r="J6" s="54"/>
      <c r="K6" s="31"/>
      <c r="L6" s="118"/>
      <c r="M6" s="118"/>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2" t="str">
        <f>HLOOKUP(INDICE!$F$2,Nombres!$C$3:$D$636,13,FALSE)</f>
        <v>South America</v>
      </c>
      <c r="B7" s="41">
        <v>1470</v>
      </c>
      <c r="C7" s="41">
        <v>1464</v>
      </c>
      <c r="D7" s="41">
        <v>1453</v>
      </c>
      <c r="E7" s="41">
        <v>1434</v>
      </c>
      <c r="F7" s="41">
        <v>1428</v>
      </c>
      <c r="G7" s="41">
        <v>0</v>
      </c>
      <c r="H7" s="41">
        <v>0</v>
      </c>
      <c r="I7" s="41">
        <v>0</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59" t="str">
        <f>HLOOKUP(INDICE!$F$2,Nombres!$C$3:$D$636,14,FALSE)</f>
        <v>Argentina</v>
      </c>
      <c r="B8" s="253">
        <v>248</v>
      </c>
      <c r="C8" s="253">
        <v>244</v>
      </c>
      <c r="D8" s="253">
        <v>244</v>
      </c>
      <c r="E8" s="253">
        <v>244</v>
      </c>
      <c r="F8" s="253">
        <v>243</v>
      </c>
      <c r="G8" s="253">
        <v>0</v>
      </c>
      <c r="H8" s="253">
        <v>0</v>
      </c>
      <c r="I8" s="253">
        <v>0</v>
      </c>
      <c r="J8" s="54"/>
      <c r="K8" s="31"/>
      <c r="L8" s="118"/>
      <c r="M8" s="118"/>
      <c r="N8" s="266"/>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159" t="str">
        <f>HLOOKUP(INDICE!$F$2,Nombres!$C$3:$D$636,15,FALSE)</f>
        <v>Chile</v>
      </c>
      <c r="B9" s="44">
        <v>17</v>
      </c>
      <c r="C9" s="44">
        <v>17</v>
      </c>
      <c r="D9" s="44">
        <v>17</v>
      </c>
      <c r="E9" s="44">
        <v>11</v>
      </c>
      <c r="F9" s="44">
        <v>10</v>
      </c>
      <c r="G9" s="44">
        <v>0</v>
      </c>
      <c r="H9" s="44">
        <v>0</v>
      </c>
      <c r="I9" s="44">
        <v>0</v>
      </c>
      <c r="J9" s="54"/>
      <c r="K9" s="31"/>
      <c r="L9" s="118"/>
      <c r="M9" s="118"/>
      <c r="N9" s="266"/>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4" t="str">
        <f>HLOOKUP(INDICE!$F$2,Nombres!$C$3:$D$636,16,FALSE)</f>
        <v>Colombia</v>
      </c>
      <c r="B10" s="44">
        <v>522</v>
      </c>
      <c r="C10" s="44">
        <v>520</v>
      </c>
      <c r="D10" s="44">
        <v>518</v>
      </c>
      <c r="E10" s="44">
        <v>517</v>
      </c>
      <c r="F10" s="44">
        <v>517</v>
      </c>
      <c r="G10" s="44">
        <v>0</v>
      </c>
      <c r="H10" s="44">
        <v>0</v>
      </c>
      <c r="I10" s="44">
        <v>0</v>
      </c>
      <c r="J10" s="54"/>
      <c r="K10" s="118"/>
      <c r="L10" s="118"/>
      <c r="M10" s="118"/>
      <c r="N10" s="266"/>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4" t="str">
        <f>HLOOKUP(INDICE!$F$2,Nombres!$C$3:$D$636,17,FALSE)</f>
        <v>Peru</v>
      </c>
      <c r="B11" s="44">
        <v>325</v>
      </c>
      <c r="C11" s="44">
        <v>325</v>
      </c>
      <c r="D11" s="44">
        <v>316</v>
      </c>
      <c r="E11" s="44">
        <v>317</v>
      </c>
      <c r="F11" s="44">
        <v>315</v>
      </c>
      <c r="G11" s="44">
        <v>0</v>
      </c>
      <c r="H11" s="44">
        <v>0</v>
      </c>
      <c r="I11" s="44">
        <v>0</v>
      </c>
      <c r="J11" s="54"/>
      <c r="K11" s="118"/>
      <c r="L11" s="118"/>
      <c r="M11" s="118"/>
      <c r="N11" s="266"/>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4" t="str">
        <f>HLOOKUP(INDICE!$F$2,Nombres!$C$3:$D$636,89,FALSE)</f>
        <v>Resto of South América</v>
      </c>
      <c r="B12" s="44">
        <v>358</v>
      </c>
      <c r="C12" s="44">
        <v>358</v>
      </c>
      <c r="D12" s="44">
        <v>358</v>
      </c>
      <c r="E12" s="44">
        <v>345</v>
      </c>
      <c r="F12" s="44">
        <v>343</v>
      </c>
      <c r="G12" s="44">
        <v>0</v>
      </c>
      <c r="H12" s="44">
        <v>0</v>
      </c>
      <c r="I12" s="44">
        <v>0</v>
      </c>
      <c r="J12" s="54"/>
      <c r="K12" s="118"/>
      <c r="L12" s="118"/>
      <c r="M12" s="118"/>
      <c r="N12" s="266"/>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2" t="str">
        <f>HLOOKUP(INDICE!$F$2,Nombres!$C$3:$D$636,279,FALSE)</f>
        <v>Rest of geographies</v>
      </c>
      <c r="B13" s="41">
        <v>30</v>
      </c>
      <c r="C13" s="41">
        <v>32</v>
      </c>
      <c r="D13" s="41">
        <v>32</v>
      </c>
      <c r="E13" s="41">
        <v>32</v>
      </c>
      <c r="F13" s="41">
        <v>32</v>
      </c>
      <c r="G13" s="41">
        <v>0</v>
      </c>
      <c r="H13" s="41">
        <v>0</v>
      </c>
      <c r="I13" s="41">
        <v>0</v>
      </c>
      <c r="J13" s="54"/>
      <c r="K13" s="118"/>
      <c r="L13" s="118"/>
      <c r="M13" s="118"/>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2" t="s">
        <v>6</v>
      </c>
      <c r="B14" s="41">
        <f aca="true" t="shared" si="0" ref="B14:I14">+SUM(B3:B6,B8:B13)</f>
        <v>7254</v>
      </c>
      <c r="C14" s="41">
        <f t="shared" si="0"/>
        <v>6617</v>
      </c>
      <c r="D14" s="41">
        <f t="shared" si="0"/>
        <v>6344</v>
      </c>
      <c r="E14" s="41">
        <f t="shared" si="0"/>
        <v>6083</v>
      </c>
      <c r="F14" s="41">
        <f t="shared" si="0"/>
        <v>6071</v>
      </c>
      <c r="G14" s="41">
        <f t="shared" si="0"/>
        <v>0</v>
      </c>
      <c r="H14" s="41">
        <f t="shared" si="0"/>
        <v>0</v>
      </c>
      <c r="I14" s="41">
        <f t="shared" si="0"/>
        <v>0</v>
      </c>
      <c r="J14" s="54"/>
      <c r="K14" s="118"/>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0"/>
      <c r="B15" s="161">
        <v>0</v>
      </c>
      <c r="C15" s="161">
        <v>0</v>
      </c>
      <c r="D15" s="161">
        <v>0</v>
      </c>
      <c r="E15" s="161">
        <v>0</v>
      </c>
      <c r="F15" s="161">
        <v>0</v>
      </c>
      <c r="G15" s="161">
        <v>0</v>
      </c>
      <c r="H15" s="161">
        <v>0</v>
      </c>
      <c r="I15" s="161">
        <v>0</v>
      </c>
      <c r="J15" s="31"/>
      <c r="K15" s="118"/>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0"/>
      <c r="B16" s="161"/>
      <c r="C16" s="161"/>
      <c r="D16" s="161"/>
      <c r="E16" s="161"/>
      <c r="F16" s="161"/>
      <c r="G16" s="161"/>
      <c r="H16" s="161"/>
      <c r="I16" s="161"/>
      <c r="J16" s="31"/>
      <c r="K16" s="118"/>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1" t="str">
        <f>HLOOKUP(INDICE!$F$2,Nombres!$C$3:$D$636,124,FALSE)</f>
        <v>Employees</v>
      </c>
      <c r="B17" s="156"/>
      <c r="C17" s="156"/>
      <c r="D17" s="157"/>
      <c r="E17" s="157"/>
      <c r="F17" s="157"/>
      <c r="G17" s="157"/>
      <c r="H17" s="157"/>
      <c r="I17" s="157"/>
      <c r="J17" s="162"/>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58"/>
      <c r="B18" s="101">
        <f aca="true" t="shared" si="1" ref="B18:I18">+B$2</f>
        <v>44286</v>
      </c>
      <c r="C18" s="101">
        <f t="shared" si="1"/>
        <v>44377</v>
      </c>
      <c r="D18" s="101">
        <f t="shared" si="1"/>
        <v>44469</v>
      </c>
      <c r="E18" s="101">
        <f t="shared" si="1"/>
        <v>44561</v>
      </c>
      <c r="F18" s="101">
        <f t="shared" si="1"/>
        <v>44651</v>
      </c>
      <c r="G18" s="101">
        <f t="shared" si="1"/>
        <v>44742</v>
      </c>
      <c r="H18" s="101">
        <f t="shared" si="1"/>
        <v>44834</v>
      </c>
      <c r="I18" s="101">
        <f t="shared" si="1"/>
        <v>44926</v>
      </c>
      <c r="J18" s="162"/>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2" t="str">
        <f>HLOOKUP(INDICE!$F$2,Nombres!$C$3:$D$636,7,FALSE)</f>
        <v>Spain</v>
      </c>
      <c r="B19" s="41">
        <v>28777</v>
      </c>
      <c r="C19" s="41">
        <v>28673</v>
      </c>
      <c r="D19" s="41">
        <v>27387</v>
      </c>
      <c r="E19" s="41">
        <v>24843</v>
      </c>
      <c r="F19" s="41">
        <v>24797</v>
      </c>
      <c r="G19" s="41">
        <v>0</v>
      </c>
      <c r="H19" s="41">
        <v>0</v>
      </c>
      <c r="I19" s="41">
        <v>0</v>
      </c>
      <c r="J19" s="118"/>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2" t="str">
        <f>HLOOKUP(INDICE!$F$2,Nombres!$C$3:$D$636,10,FALSE)</f>
        <v>USA</v>
      </c>
      <c r="B20" s="41">
        <v>10532</v>
      </c>
      <c r="C20" s="41">
        <v>0</v>
      </c>
      <c r="D20" s="41">
        <v>0</v>
      </c>
      <c r="E20" s="41">
        <v>0</v>
      </c>
      <c r="F20" s="41">
        <v>0</v>
      </c>
      <c r="G20" s="41">
        <v>0</v>
      </c>
      <c r="H20" s="41">
        <v>0</v>
      </c>
      <c r="I20" s="41">
        <v>0</v>
      </c>
      <c r="J20" s="118"/>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2" t="str">
        <f>HLOOKUP(INDICE!$F$2,Nombres!$C$3:$D$636,11,FALSE)</f>
        <v>Mexico</v>
      </c>
      <c r="B21" s="41">
        <v>37444</v>
      </c>
      <c r="C21" s="41">
        <v>37127</v>
      </c>
      <c r="D21" s="41">
        <v>40183</v>
      </c>
      <c r="E21" s="41">
        <v>40243</v>
      </c>
      <c r="F21" s="41">
        <v>41139</v>
      </c>
      <c r="G21" s="41">
        <v>0</v>
      </c>
      <c r="H21" s="41">
        <v>0</v>
      </c>
      <c r="I21" s="41">
        <v>0</v>
      </c>
      <c r="J21" s="118"/>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2" t="str">
        <f>HLOOKUP(INDICE!$F$2,Nombres!$C$3:$D$636,12,FALSE)</f>
        <v>Turkey </v>
      </c>
      <c r="B22" s="41">
        <v>21838</v>
      </c>
      <c r="C22" s="41">
        <v>21834</v>
      </c>
      <c r="D22" s="41">
        <v>21651</v>
      </c>
      <c r="E22" s="41">
        <v>21522</v>
      </c>
      <c r="F22" s="41">
        <v>21680</v>
      </c>
      <c r="G22" s="41">
        <v>0</v>
      </c>
      <c r="H22" s="41">
        <v>0</v>
      </c>
      <c r="I22" s="41">
        <v>0</v>
      </c>
      <c r="J22" s="118"/>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2" t="str">
        <f>HLOOKUP(INDICE!$F$2,Nombres!$C$3:$D$636,13,FALSE)</f>
        <v>South America</v>
      </c>
      <c r="B23" s="41">
        <v>22432</v>
      </c>
      <c r="C23" s="41">
        <v>22418</v>
      </c>
      <c r="D23" s="41">
        <v>22607</v>
      </c>
      <c r="E23" s="41">
        <v>22519</v>
      </c>
      <c r="F23" s="41">
        <v>22472</v>
      </c>
      <c r="G23" s="41">
        <v>0</v>
      </c>
      <c r="H23" s="41">
        <v>0</v>
      </c>
      <c r="I23" s="41">
        <v>0</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59" t="str">
        <f>HLOOKUP(INDICE!$F$2,Nombres!$C$3:$D$636,14,FALSE)</f>
        <v>Argentina</v>
      </c>
      <c r="B24" s="44">
        <v>6017</v>
      </c>
      <c r="C24" s="44">
        <v>5937</v>
      </c>
      <c r="D24" s="44">
        <v>5887</v>
      </c>
      <c r="E24" s="44">
        <v>5852</v>
      </c>
      <c r="F24" s="44">
        <v>5847</v>
      </c>
      <c r="G24" s="44">
        <v>0</v>
      </c>
      <c r="H24" s="44">
        <v>0</v>
      </c>
      <c r="I24" s="44">
        <v>0</v>
      </c>
      <c r="J24" s="54"/>
      <c r="K24" s="44"/>
      <c r="L24" s="118"/>
      <c r="M24" s="54"/>
      <c r="N24" s="267"/>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159" t="str">
        <f>HLOOKUP(INDICE!$F$2,Nombres!$C$3:$D$636,15,FALSE)</f>
        <v>Chile</v>
      </c>
      <c r="B25" s="44">
        <v>685</v>
      </c>
      <c r="C25" s="44">
        <v>694</v>
      </c>
      <c r="D25" s="44">
        <v>704</v>
      </c>
      <c r="E25" s="44">
        <v>714</v>
      </c>
      <c r="F25" s="44">
        <v>722</v>
      </c>
      <c r="G25" s="44">
        <v>0</v>
      </c>
      <c r="H25" s="44">
        <v>0</v>
      </c>
      <c r="I25" s="44">
        <v>0</v>
      </c>
      <c r="J25" s="54"/>
      <c r="K25" s="44"/>
      <c r="L25" s="118"/>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4" t="str">
        <f>HLOOKUP(INDICE!$F$2,Nombres!$C$3:$D$636,16,FALSE)</f>
        <v>Colombia</v>
      </c>
      <c r="B26" s="44">
        <v>6482</v>
      </c>
      <c r="C26" s="44">
        <v>6564</v>
      </c>
      <c r="D26" s="44">
        <v>6671</v>
      </c>
      <c r="E26" s="44">
        <v>6741</v>
      </c>
      <c r="F26" s="44">
        <v>6826</v>
      </c>
      <c r="G26" s="44">
        <v>0</v>
      </c>
      <c r="H26" s="44">
        <v>0</v>
      </c>
      <c r="I26" s="44">
        <v>0</v>
      </c>
      <c r="J26" s="54"/>
      <c r="K26" s="44"/>
      <c r="L26" s="118"/>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4" t="str">
        <f>HLOOKUP(INDICE!$F$2,Nombres!$C$3:$D$636,17,FALSE)</f>
        <v>Peru</v>
      </c>
      <c r="B27" s="44">
        <v>6217</v>
      </c>
      <c r="C27" s="44">
        <v>6266</v>
      </c>
      <c r="D27" s="44">
        <v>6433</v>
      </c>
      <c r="E27" s="44">
        <v>6394</v>
      </c>
      <c r="F27" s="44">
        <v>6290</v>
      </c>
      <c r="G27" s="44">
        <v>0</v>
      </c>
      <c r="H27" s="44">
        <v>0</v>
      </c>
      <c r="I27" s="44">
        <v>0</v>
      </c>
      <c r="J27" s="54"/>
      <c r="K27" s="44"/>
      <c r="L27" s="118"/>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4" t="str">
        <f>HLOOKUP(INDICE!$F$2,Nombres!$C$3:$D$636,89,FALSE)</f>
        <v>Resto of South América</v>
      </c>
      <c r="B28" s="44">
        <v>3031</v>
      </c>
      <c r="C28" s="44">
        <v>2957</v>
      </c>
      <c r="D28" s="44">
        <v>2912</v>
      </c>
      <c r="E28" s="44">
        <v>2818</v>
      </c>
      <c r="F28" s="44">
        <v>2787</v>
      </c>
      <c r="G28" s="44">
        <v>0</v>
      </c>
      <c r="H28" s="44">
        <v>0</v>
      </c>
      <c r="I28" s="44">
        <v>0</v>
      </c>
      <c r="J28" s="54"/>
      <c r="K28" s="44"/>
      <c r="L28" s="118"/>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2" t="str">
        <f>HLOOKUP(INDICE!$F$2,Nombres!$C$3:$D$636,279,FALSE)</f>
        <v>Rest of geographies</v>
      </c>
      <c r="B29" s="41">
        <v>998</v>
      </c>
      <c r="C29" s="41">
        <v>1270</v>
      </c>
      <c r="D29" s="41">
        <v>1289</v>
      </c>
      <c r="E29" s="41">
        <v>1305</v>
      </c>
      <c r="F29" s="41">
        <v>1314</v>
      </c>
      <c r="G29" s="41">
        <v>0</v>
      </c>
      <c r="H29" s="41">
        <v>0</v>
      </c>
      <c r="I29" s="41">
        <v>0</v>
      </c>
      <c r="J29" s="118"/>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2" t="s">
        <v>6</v>
      </c>
      <c r="B30" s="41">
        <f aca="true" t="shared" si="2" ref="B30:I30">+SUM(B19:B22,B24:B29)</f>
        <v>122021</v>
      </c>
      <c r="C30" s="41">
        <f t="shared" si="2"/>
        <v>111322</v>
      </c>
      <c r="D30" s="41">
        <f t="shared" si="2"/>
        <v>113117</v>
      </c>
      <c r="E30" s="41">
        <f t="shared" si="2"/>
        <v>110432</v>
      </c>
      <c r="F30" s="41">
        <f t="shared" si="2"/>
        <v>111402</v>
      </c>
      <c r="G30" s="41">
        <f t="shared" si="2"/>
        <v>0</v>
      </c>
      <c r="H30" s="41">
        <f t="shared" si="2"/>
        <v>0</v>
      </c>
      <c r="I30" s="41">
        <f t="shared" si="2"/>
        <v>0</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0"/>
      <c r="B31" s="161">
        <v>0</v>
      </c>
      <c r="C31" s="161">
        <v>0</v>
      </c>
      <c r="D31" s="161">
        <v>0</v>
      </c>
      <c r="E31" s="161">
        <v>0</v>
      </c>
      <c r="F31" s="161">
        <v>0</v>
      </c>
      <c r="G31" s="161">
        <v>0</v>
      </c>
      <c r="H31" s="161">
        <v>0</v>
      </c>
      <c r="I31" s="161">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0"/>
      <c r="B32" s="161"/>
      <c r="C32" s="161"/>
      <c r="D32" s="161"/>
      <c r="E32" s="161"/>
      <c r="F32" s="161"/>
      <c r="G32" s="161"/>
      <c r="H32" s="161"/>
      <c r="I32" s="16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1" t="str">
        <f>HLOOKUP(INDICE!$F$2,Nombres!$C$3:$D$636,125,FALSE)</f>
        <v>ATM´s</v>
      </c>
      <c r="B33" s="156"/>
      <c r="C33" s="156"/>
      <c r="D33" s="157"/>
      <c r="E33" s="157"/>
      <c r="F33" s="157"/>
      <c r="G33" s="157"/>
      <c r="H33" s="157"/>
      <c r="I33" s="157"/>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5"/>
      <c r="B34" s="101">
        <f aca="true" t="shared" si="3" ref="B34:I34">+B$2</f>
        <v>44286</v>
      </c>
      <c r="C34" s="101">
        <f t="shared" si="3"/>
        <v>44377</v>
      </c>
      <c r="D34" s="101">
        <f t="shared" si="3"/>
        <v>44469</v>
      </c>
      <c r="E34" s="101">
        <f t="shared" si="3"/>
        <v>44561</v>
      </c>
      <c r="F34" s="101">
        <f t="shared" si="3"/>
        <v>44651</v>
      </c>
      <c r="G34" s="101">
        <f t="shared" si="3"/>
        <v>44742</v>
      </c>
      <c r="H34" s="101">
        <f t="shared" si="3"/>
        <v>44834</v>
      </c>
      <c r="I34" s="101">
        <f t="shared" si="3"/>
        <v>44926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2" t="str">
        <f>HLOOKUP(INDICE!$F$2,Nombres!$C$3:$D$636,7,FALSE)</f>
        <v>Spain</v>
      </c>
      <c r="B35" s="41">
        <v>5557</v>
      </c>
      <c r="C35" s="41">
        <v>5562</v>
      </c>
      <c r="D35" s="41">
        <v>5044</v>
      </c>
      <c r="E35" s="41">
        <v>4871</v>
      </c>
      <c r="F35" s="41">
        <v>4890</v>
      </c>
      <c r="G35" s="41">
        <v>0</v>
      </c>
      <c r="H35" s="41">
        <v>0</v>
      </c>
      <c r="I35" s="41">
        <v>0</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2" t="str">
        <f>HLOOKUP(INDICE!$F$2,Nombres!$C$3:$D$636,10,FALSE)</f>
        <v>USA</v>
      </c>
      <c r="B36" s="41">
        <v>1371</v>
      </c>
      <c r="C36" s="41">
        <v>0</v>
      </c>
      <c r="D36" s="41">
        <v>0</v>
      </c>
      <c r="E36" s="41">
        <v>0</v>
      </c>
      <c r="F36" s="41">
        <v>0</v>
      </c>
      <c r="G36" s="41">
        <v>0</v>
      </c>
      <c r="H36" s="41">
        <v>0</v>
      </c>
      <c r="I36" s="41">
        <v>0</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2" t="str">
        <f>HLOOKUP(INDICE!$F$2,Nombres!$C$3:$D$636,11,FALSE)</f>
        <v>Mexico</v>
      </c>
      <c r="B37" s="41">
        <v>12957</v>
      </c>
      <c r="C37" s="41">
        <v>13014</v>
      </c>
      <c r="D37" s="41">
        <v>13139</v>
      </c>
      <c r="E37" s="41">
        <v>13400</v>
      </c>
      <c r="F37" s="41">
        <v>13558</v>
      </c>
      <c r="G37" s="41">
        <v>0</v>
      </c>
      <c r="H37" s="41">
        <v>0</v>
      </c>
      <c r="I37" s="41">
        <v>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2" t="str">
        <f>HLOOKUP(INDICE!$F$2,Nombres!$C$3:$D$636,12,FALSE)</f>
        <v>Turkey </v>
      </c>
      <c r="B38" s="41">
        <v>5532</v>
      </c>
      <c r="C38" s="41">
        <v>5505</v>
      </c>
      <c r="D38" s="41">
        <v>5535</v>
      </c>
      <c r="E38" s="41">
        <v>5611</v>
      </c>
      <c r="F38" s="41">
        <v>5606</v>
      </c>
      <c r="G38" s="41">
        <v>0</v>
      </c>
      <c r="H38" s="41">
        <v>0</v>
      </c>
      <c r="I38" s="41">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2" t="str">
        <f>HLOOKUP(INDICE!$F$2,Nombres!$C$3:$D$636,13,FALSE)</f>
        <v>South America</v>
      </c>
      <c r="B39" s="41">
        <v>5307</v>
      </c>
      <c r="C39" s="41">
        <v>5144</v>
      </c>
      <c r="D39" s="41">
        <v>5179</v>
      </c>
      <c r="E39" s="41">
        <v>5243</v>
      </c>
      <c r="F39" s="41">
        <v>5302</v>
      </c>
      <c r="G39" s="41">
        <v>0</v>
      </c>
      <c r="H39" s="41">
        <v>0</v>
      </c>
      <c r="I39" s="41">
        <v>0</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59" t="str">
        <f>HLOOKUP(INDICE!$F$2,Nombres!$C$3:$D$636,14,FALSE)</f>
        <v>Argentina</v>
      </c>
      <c r="B40" s="44">
        <v>1714</v>
      </c>
      <c r="C40" s="44">
        <v>1703</v>
      </c>
      <c r="D40" s="44">
        <v>1704</v>
      </c>
      <c r="E40" s="44">
        <v>1707</v>
      </c>
      <c r="F40" s="44">
        <v>1708</v>
      </c>
      <c r="G40" s="44">
        <v>0</v>
      </c>
      <c r="H40" s="44">
        <v>0</v>
      </c>
      <c r="I40" s="44">
        <v>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159" t="str">
        <f>HLOOKUP(INDICE!$F$2,Nombres!$C$3:$D$636,15,FALSE)</f>
        <v>Chile</v>
      </c>
      <c r="B41" s="44">
        <v>0</v>
      </c>
      <c r="C41" s="44">
        <v>0</v>
      </c>
      <c r="D41" s="44">
        <v>0</v>
      </c>
      <c r="E41" s="44" t="s">
        <v>529</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4" t="str">
        <f>HLOOKUP(INDICE!$F$2,Nombres!$C$3:$D$636,16,FALSE)</f>
        <v>Colombia</v>
      </c>
      <c r="B42" s="44">
        <v>1326</v>
      </c>
      <c r="C42" s="44">
        <v>1329</v>
      </c>
      <c r="D42" s="44">
        <v>1368</v>
      </c>
      <c r="E42" s="44">
        <v>1415</v>
      </c>
      <c r="F42" s="44">
        <v>1451</v>
      </c>
      <c r="G42" s="44">
        <v>0</v>
      </c>
      <c r="H42" s="44">
        <v>0</v>
      </c>
      <c r="I42" s="44">
        <v>0</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4" t="str">
        <f>HLOOKUP(INDICE!$F$2,Nombres!$C$3:$D$636,17,FALSE)</f>
        <v>Peru</v>
      </c>
      <c r="B43" s="44">
        <v>1927</v>
      </c>
      <c r="C43" s="44">
        <v>1893</v>
      </c>
      <c r="D43" s="44">
        <v>1889</v>
      </c>
      <c r="E43" s="44">
        <v>1903</v>
      </c>
      <c r="F43" s="44">
        <v>1916</v>
      </c>
      <c r="G43" s="44">
        <v>0</v>
      </c>
      <c r="H43" s="44">
        <v>0</v>
      </c>
      <c r="I43" s="44">
        <v>0</v>
      </c>
      <c r="J43" s="31"/>
      <c r="K43" s="31"/>
      <c r="L43" s="16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4" t="str">
        <f>HLOOKUP(INDICE!$F$2,Nombres!$C$3:$D$636,89,FALSE)</f>
        <v>Resto of South América</v>
      </c>
      <c r="B44" s="44">
        <v>340</v>
      </c>
      <c r="C44" s="44">
        <v>219</v>
      </c>
      <c r="D44" s="44">
        <v>218</v>
      </c>
      <c r="E44" s="44">
        <v>218</v>
      </c>
      <c r="F44" s="44">
        <v>227</v>
      </c>
      <c r="G44" s="44">
        <v>0</v>
      </c>
      <c r="H44" s="44">
        <v>0</v>
      </c>
      <c r="I44" s="44">
        <v>0</v>
      </c>
      <c r="J44" s="31"/>
      <c r="K44" s="31"/>
      <c r="L44" s="16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2" t="str">
        <f>HLOOKUP(INDICE!$F$2,Nombres!$C$3:$D$636,279,FALSE)</f>
        <v>Rest of geographies</v>
      </c>
      <c r="B45" s="41">
        <v>23</v>
      </c>
      <c r="C45" s="41">
        <v>23</v>
      </c>
      <c r="D45" s="41">
        <v>23</v>
      </c>
      <c r="E45" s="41">
        <v>23</v>
      </c>
      <c r="F45" s="41">
        <v>23</v>
      </c>
      <c r="G45" s="41">
        <v>0</v>
      </c>
      <c r="H45" s="41">
        <v>0</v>
      </c>
      <c r="I45" s="41">
        <v>0</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2" t="s">
        <v>6</v>
      </c>
      <c r="B46" s="41">
        <f aca="true" t="shared" si="4" ref="B46:I46">+SUM(B35:B38,B40:B45)</f>
        <v>30747</v>
      </c>
      <c r="C46" s="41">
        <f t="shared" si="4"/>
        <v>29248</v>
      </c>
      <c r="D46" s="41">
        <f t="shared" si="4"/>
        <v>28920</v>
      </c>
      <c r="E46" s="41">
        <f t="shared" si="4"/>
        <v>29148</v>
      </c>
      <c r="F46" s="41">
        <f t="shared" si="4"/>
        <v>29379</v>
      </c>
      <c r="G46" s="41">
        <f t="shared" si="4"/>
        <v>0</v>
      </c>
      <c r="H46" s="41">
        <f t="shared" si="4"/>
        <v>0</v>
      </c>
      <c r="I46" s="41">
        <f t="shared" si="4"/>
        <v>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99"/>
      <c r="B47" s="161">
        <v>0</v>
      </c>
      <c r="C47" s="161">
        <v>0</v>
      </c>
      <c r="D47" s="161">
        <v>0</v>
      </c>
      <c r="E47" s="161">
        <v>0</v>
      </c>
      <c r="F47" s="161">
        <v>0</v>
      </c>
      <c r="G47" s="161">
        <v>0</v>
      </c>
      <c r="H47" s="161">
        <v>0</v>
      </c>
      <c r="I47" s="161">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55"/>
      <c r="B48" s="99"/>
      <c r="C48" s="99"/>
      <c r="D48" s="99"/>
      <c r="E48" s="99"/>
      <c r="F48" s="99"/>
      <c r="G48" s="99"/>
      <c r="H48" s="99"/>
      <c r="I48" s="99"/>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55"/>
      <c r="B49" s="99"/>
      <c r="C49" s="99"/>
      <c r="D49" s="99"/>
      <c r="E49" s="99"/>
      <c r="F49" s="99"/>
      <c r="G49" s="99"/>
      <c r="H49" s="99"/>
      <c r="I49" s="99"/>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99"/>
      <c r="B50" s="99"/>
      <c r="C50" s="99"/>
      <c r="D50" s="99"/>
      <c r="E50" s="99"/>
      <c r="F50" s="99"/>
      <c r="G50" s="99"/>
      <c r="H50" s="99"/>
      <c r="I50" s="99"/>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99"/>
      <c r="B51" s="99"/>
      <c r="C51" s="99"/>
      <c r="D51" s="99"/>
      <c r="E51" s="99"/>
      <c r="F51" s="99"/>
      <c r="G51" s="99"/>
      <c r="H51" s="99"/>
      <c r="I51" s="99"/>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99"/>
      <c r="B52" s="99"/>
      <c r="C52" s="99"/>
      <c r="D52" s="99"/>
      <c r="E52" s="99"/>
      <c r="F52" s="99"/>
      <c r="G52" s="99"/>
      <c r="H52" s="99"/>
      <c r="I52" s="99"/>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99"/>
      <c r="B53" s="99"/>
      <c r="C53" s="99"/>
      <c r="D53" s="99"/>
      <c r="E53" s="99"/>
      <c r="F53" s="99"/>
      <c r="G53" s="99"/>
      <c r="H53" s="99"/>
      <c r="I53" s="99"/>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99"/>
      <c r="B54" s="99"/>
      <c r="C54" s="99"/>
      <c r="D54" s="99"/>
      <c r="E54" s="99"/>
      <c r="F54" s="99"/>
      <c r="G54" s="99"/>
      <c r="H54" s="99"/>
      <c r="I54" s="99"/>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99"/>
      <c r="B55" s="99"/>
      <c r="C55" s="99"/>
      <c r="D55" s="99"/>
      <c r="E55" s="99"/>
      <c r="F55" s="99"/>
      <c r="G55" s="99"/>
      <c r="H55" s="99"/>
      <c r="I55" s="99"/>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99"/>
      <c r="B56" s="99"/>
      <c r="C56" s="99"/>
      <c r="D56" s="99"/>
      <c r="E56" s="99"/>
      <c r="F56" s="99"/>
      <c r="G56" s="99"/>
      <c r="H56" s="99"/>
      <c r="I56" s="99"/>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99"/>
      <c r="B57" s="99"/>
      <c r="C57" s="99"/>
      <c r="D57" s="99"/>
      <c r="E57" s="99"/>
      <c r="F57" s="99"/>
      <c r="G57" s="99"/>
      <c r="H57" s="99"/>
      <c r="I57" s="99"/>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99"/>
      <c r="B58" s="99"/>
      <c r="C58" s="99"/>
      <c r="D58" s="99"/>
      <c r="E58" s="99"/>
      <c r="F58" s="99"/>
      <c r="G58" s="99"/>
      <c r="H58" s="99"/>
      <c r="I58" s="99"/>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99"/>
      <c r="B59" s="99"/>
      <c r="C59" s="99"/>
      <c r="D59" s="99"/>
      <c r="E59" s="99"/>
      <c r="F59" s="99"/>
      <c r="G59" s="99"/>
      <c r="H59" s="99"/>
      <c r="I59" s="99"/>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99"/>
      <c r="B60" s="99"/>
      <c r="C60" s="99"/>
      <c r="D60" s="99"/>
      <c r="E60" s="99"/>
      <c r="F60" s="99"/>
      <c r="G60" s="99"/>
      <c r="H60" s="99"/>
      <c r="I60" s="99"/>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392</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12" sqref="A12"/>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Quarterly series 2021-2022</v>
      </c>
      <c r="D2" s="2"/>
      <c r="E2" s="2"/>
      <c r="F2" s="5">
        <v>8</v>
      </c>
    </row>
    <row r="3" spans="2:5" ht="23.25" customHeight="1">
      <c r="B3" s="2"/>
      <c r="C3" s="3"/>
      <c r="D3" s="2"/>
      <c r="E3" s="2"/>
    </row>
    <row r="4" spans="1:7" ht="23.25" customHeight="1">
      <c r="A4" s="6"/>
      <c r="B4" s="2"/>
      <c r="C4" s="7" t="str">
        <f>HLOOKUP($F$2,Nombres!$C$3:$D$636,3,FALSE)</f>
        <v>BBVA Group</v>
      </c>
      <c r="D4" s="8"/>
      <c r="E4" s="2" t="b">
        <v>0</v>
      </c>
      <c r="G4" s="9"/>
    </row>
    <row r="5" spans="2:7" ht="23.25" customHeight="1">
      <c r="B5" s="2"/>
      <c r="C5" s="10" t="str">
        <f>HLOOKUP($F$2,Nombres!$C$3:$D$636,4,FALSE)</f>
        <v>Consolidated income statement</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Consolidated balance sheet</v>
      </c>
      <c r="D7" s="2"/>
      <c r="E7" s="2"/>
      <c r="G7" s="9"/>
    </row>
    <row r="8" spans="2:7" ht="23.25" customHeight="1">
      <c r="B8" s="11"/>
      <c r="C8" s="7" t="str">
        <f>HLOOKUP($F$2,Nombres!$C$3:$D$636,6,FALSE)</f>
        <v>Business areas</v>
      </c>
      <c r="D8" s="11"/>
      <c r="E8" s="11" t="b">
        <v>0</v>
      </c>
      <c r="F8" s="12"/>
      <c r="G8" s="13"/>
    </row>
    <row r="9" spans="1:7" s="16" customFormat="1" ht="23.25" customHeight="1">
      <c r="A9" s="1"/>
      <c r="B9" s="14"/>
      <c r="C9" s="241" t="str">
        <f>HLOOKUP($F$2,Nombres!$C$3:$D$636,7,FALSE)</f>
        <v>Spain</v>
      </c>
      <c r="D9" s="14"/>
      <c r="E9" s="14" t="b">
        <v>1</v>
      </c>
      <c r="F9" s="1" t="b">
        <f aca="true" t="shared" si="0" ref="F9:F19">OR($E$8,E9)</f>
        <v>1</v>
      </c>
      <c r="G9" s="15"/>
    </row>
    <row r="10" spans="1:7" ht="23.25" customHeight="1">
      <c r="A10" s="17"/>
      <c r="B10" s="2"/>
      <c r="C10" s="10" t="str">
        <f>HLOOKUP($F$2,Nombres!$C$3:$D$636,11,FALSE)</f>
        <v>Mexico</v>
      </c>
      <c r="D10" s="2"/>
      <c r="E10" s="2" t="b">
        <v>1</v>
      </c>
      <c r="F10" s="1" t="b">
        <f t="shared" si="0"/>
        <v>1</v>
      </c>
      <c r="G10" s="9"/>
    </row>
    <row r="11" spans="2:7" ht="23.25" customHeight="1">
      <c r="B11" s="2"/>
      <c r="C11" s="10" t="str">
        <f>HLOOKUP($F$2,Nombres!$C$3:$D$636,12,FALSE)</f>
        <v>Turkey </v>
      </c>
      <c r="D11" s="2"/>
      <c r="E11" s="2" t="b">
        <v>1</v>
      </c>
      <c r="F11" s="1" t="b">
        <f t="shared" si="0"/>
        <v>1</v>
      </c>
      <c r="G11" s="9"/>
    </row>
    <row r="12" spans="1:7" ht="23.25" customHeight="1">
      <c r="A12" s="18"/>
      <c r="B12" s="2"/>
      <c r="C12" s="10" t="str">
        <f>HLOOKUP($F$2,Nombres!$C$3:$D$636,13,FALSE)</f>
        <v>South America</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Peru</v>
      </c>
      <c r="D16" s="22"/>
      <c r="E16" s="2" t="b">
        <v>1</v>
      </c>
      <c r="F16" s="20" t="b">
        <f t="shared" si="0"/>
        <v>1</v>
      </c>
      <c r="G16" s="21"/>
    </row>
    <row r="17" spans="2:7" ht="23.25" customHeight="1">
      <c r="B17" s="2"/>
      <c r="C17" s="10" t="str">
        <f>HLOOKUP($F$2,Nombres!$C$3:$D$636,263,FALSE)</f>
        <v>Rest of Business</v>
      </c>
      <c r="D17" s="22"/>
      <c r="E17" s="2" t="b">
        <v>0</v>
      </c>
      <c r="F17" s="1" t="b">
        <f t="shared" si="0"/>
        <v>0</v>
      </c>
      <c r="G17" s="9"/>
    </row>
    <row r="18" spans="2:7" ht="21.75" customHeight="1">
      <c r="B18" s="2"/>
      <c r="C18" s="10" t="str">
        <f>HLOOKUP($F$2,Nombres!$C$3:$D$636,19,FALSE)</f>
        <v>Corporate Center </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Additional information:</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Annex:</v>
      </c>
      <c r="D22" s="2"/>
      <c r="E22" s="2" t="b">
        <v>0</v>
      </c>
      <c r="F22" s="1" t="b">
        <f>OR($E$8,E22)</f>
        <v>0</v>
      </c>
      <c r="G22" s="9"/>
      <c r="H22" s="1"/>
      <c r="I22" s="1"/>
      <c r="J22" s="1"/>
      <c r="K22" s="1"/>
    </row>
    <row r="23" spans="2:7" ht="23.25" customHeight="1">
      <c r="B23" s="2"/>
      <c r="C23" s="25" t="str">
        <f>HLOOKUP($F$2,Nombres!$C$3:$D$636,23,FALSE)</f>
        <v>Efficiency</v>
      </c>
      <c r="D23" s="22"/>
      <c r="E23" s="2"/>
      <c r="G23" s="9"/>
    </row>
    <row r="24" spans="2:7" ht="23.25" customHeight="1">
      <c r="B24" s="2"/>
      <c r="C24" s="25" t="str">
        <f>HLOOKUP($F$2,Nombres!$C$3:$D$636,24,FALSE)</f>
        <v>NPL, coverage ratios and cost of risk</v>
      </c>
      <c r="D24" s="22"/>
      <c r="E24" s="2"/>
      <c r="G24" s="9"/>
    </row>
    <row r="25" spans="2:7" ht="23.25" customHeight="1">
      <c r="B25" s="2"/>
      <c r="C25" s="25" t="str">
        <f>HLOOKUP($F$2,Nombres!$C$3:$D$636,25,FALSE)</f>
        <v>Branches, employees and atm´s</v>
      </c>
      <c r="D25" s="22"/>
      <c r="E25" s="2"/>
      <c r="G25" s="9"/>
    </row>
    <row r="26" spans="2:7" ht="23.25" customHeight="1">
      <c r="B26" s="2"/>
      <c r="C26" s="25" t="str">
        <f>HLOOKUP($F$2,Nombres!$C$3:$D$636,26,FALSE)</f>
        <v>Exchange rates</v>
      </c>
      <c r="D26" s="14"/>
      <c r="E26" s="2"/>
      <c r="G26" s="9"/>
    </row>
    <row r="27" spans="2:11" ht="22.5" customHeight="1">
      <c r="B27" s="14"/>
      <c r="C27" s="25" t="str">
        <f>HLOOKUP($F$2,Nombres!$C$3:$D$636,27,FALSE)</f>
        <v>Customer Spreads</v>
      </c>
      <c r="D27" s="2"/>
      <c r="E27" s="14" t="b">
        <v>0</v>
      </c>
      <c r="F27" s="1" t="b">
        <f aca="true" t="shared" si="1" ref="F27:F34">OR($E$26,E27)</f>
        <v>0</v>
      </c>
      <c r="G27" s="15"/>
      <c r="H27" s="16"/>
      <c r="I27" s="16"/>
      <c r="J27" s="16"/>
      <c r="K27" s="16"/>
    </row>
    <row r="28" spans="2:11" ht="22.5" customHeight="1">
      <c r="B28" s="26"/>
      <c r="C28" s="25" t="str">
        <f>HLOOKUP($F$2,Nombres!$C$3:$D$636,28,FALSE)</f>
        <v>Risk-weighted assets. Breakdown by business areas and main countries</v>
      </c>
      <c r="D28" s="2"/>
      <c r="E28" s="26" t="b">
        <v>0</v>
      </c>
      <c r="F28" s="24" t="b">
        <f t="shared" si="1"/>
        <v>0</v>
      </c>
      <c r="G28" s="27"/>
      <c r="H28" s="24"/>
      <c r="I28" s="24"/>
      <c r="J28" s="24"/>
      <c r="K28" s="24"/>
    </row>
    <row r="29" spans="2:7" ht="23.25" customHeight="1">
      <c r="B29" s="2"/>
      <c r="C29" s="25" t="str">
        <f>HLOOKUP($F$2,Nombres!$C$3:$D$636,29,FALSE)</f>
        <v>Breakdown of performing loans under management</v>
      </c>
      <c r="D29" s="2"/>
      <c r="E29" s="2" t="b">
        <v>0</v>
      </c>
      <c r="F29" s="1" t="b">
        <f t="shared" si="1"/>
        <v>0</v>
      </c>
      <c r="G29" s="9"/>
    </row>
    <row r="30" spans="2:7" ht="23.25" customHeight="1">
      <c r="B30" s="2"/>
      <c r="C30" s="25" t="str">
        <f>HLOOKUP($F$2,Nombres!$C$3:$D$636,120,FALSE)</f>
        <v>Breakdown of customer funds under management</v>
      </c>
      <c r="D30" s="2"/>
      <c r="E30" s="2" t="b">
        <v>0</v>
      </c>
      <c r="F30" s="1" t="b">
        <f t="shared" si="1"/>
        <v>0</v>
      </c>
      <c r="G30" s="9"/>
    </row>
    <row r="31" spans="2:6" ht="23.25" customHeight="1">
      <c r="B31" s="2"/>
      <c r="C31" s="25" t="str">
        <f>HLOOKUP($F$2,Nombres!$C$3:$D$636,242,FALSE)</f>
        <v>ALCO Portfolio</v>
      </c>
      <c r="D31" s="14"/>
      <c r="E31" s="2" t="b">
        <v>1</v>
      </c>
      <c r="F31" s="1" t="b">
        <f t="shared" si="1"/>
        <v>1</v>
      </c>
    </row>
    <row r="32" spans="2:6" ht="23.25" customHeight="1">
      <c r="B32" s="2"/>
      <c r="C32" s="3"/>
      <c r="D32" s="26"/>
      <c r="E32" s="2" t="b">
        <v>0</v>
      </c>
      <c r="F32" s="1" t="b">
        <f t="shared" si="1"/>
        <v>0</v>
      </c>
    </row>
    <row r="33" spans="2:6" ht="23.25" customHeight="1">
      <c r="B33" s="2"/>
      <c r="C33" s="269"/>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0"/>
      <c r="D37" s="300"/>
      <c r="E37" s="300"/>
      <c r="F37" s="300"/>
      <c r="G37" s="300"/>
      <c r="H37" s="300"/>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83"/>
    </row>
    <row r="1003" ht="23.25" customHeight="1">
      <c r="A1003" s="1" t="s">
        <v>392</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G1" sqref="G1:I16384"/>
    </sheetView>
  </sheetViews>
  <sheetFormatPr defaultColWidth="11.421875" defaultRowHeight="15"/>
  <cols>
    <col min="1" max="1" width="30.7109375" style="181" customWidth="1"/>
    <col min="2" max="6" width="10.7109375" style="181" customWidth="1"/>
    <col min="7" max="9" width="10.7109375" style="181" hidden="1" customWidth="1"/>
    <col min="10" max="13" width="11.57421875" style="181" customWidth="1"/>
    <col min="14" max="255" width="11.421875" style="181" customWidth="1"/>
  </cols>
  <sheetData>
    <row r="1" spans="1:9" ht="19.5">
      <c r="A1" s="95" t="str">
        <f>HLOOKUP(INDICE!$F$2,Nombres!$C$3:$D$636,171,FALSE)</f>
        <v>Customer Spreads (*)</v>
      </c>
      <c r="B1" s="180"/>
      <c r="C1" s="180"/>
      <c r="D1" s="180"/>
      <c r="E1" s="180"/>
      <c r="F1" s="180"/>
      <c r="G1" s="256"/>
      <c r="H1" s="256"/>
      <c r="I1" s="256"/>
    </row>
    <row r="2" spans="1:9" ht="19.5">
      <c r="A2" s="182" t="str">
        <f>HLOOKUP(INDICE!$F$2,Nombres!$C$3:$D$636,172,FALSE)</f>
        <v>(Percentage)</v>
      </c>
      <c r="B2" s="183"/>
      <c r="C2" s="183"/>
      <c r="D2" s="183"/>
      <c r="E2" s="183"/>
      <c r="F2" s="183"/>
      <c r="G2" s="184"/>
      <c r="H2" s="184"/>
      <c r="I2" s="184"/>
    </row>
    <row r="3" spans="1:9" ht="14.25">
      <c r="A3" s="184"/>
      <c r="B3" s="305">
        <f>+España!B6</f>
        <v>2021</v>
      </c>
      <c r="C3" s="305"/>
      <c r="D3" s="305"/>
      <c r="E3" s="305"/>
      <c r="F3" s="305">
        <f>+España!F6</f>
        <v>2022</v>
      </c>
      <c r="G3" s="305"/>
      <c r="H3" s="305"/>
      <c r="I3" s="305"/>
    </row>
    <row r="4" spans="1:9" ht="14.25">
      <c r="A4" s="145"/>
      <c r="B4" s="185" t="str">
        <f>HLOOKUP(INDICE!$F$2,Nombres!$C$3:$D$636,167,FALSE)</f>
        <v>1Q</v>
      </c>
      <c r="C4" s="185" t="str">
        <f>HLOOKUP(INDICE!$F$2,Nombres!$C$3:$D$636,168,FALSE)</f>
        <v>2Q</v>
      </c>
      <c r="D4" s="185" t="str">
        <f>HLOOKUP(INDICE!$F$2,Nombres!$C$3:$D$636,169,FALSE)</f>
        <v>3Q</v>
      </c>
      <c r="E4" s="185" t="str">
        <f>HLOOKUP(INDICE!$F$2,Nombres!$C$3:$D$636,170,FALSE)</f>
        <v>4Q</v>
      </c>
      <c r="F4" s="185" t="str">
        <f>HLOOKUP(INDICE!$F$2,Nombres!$C$3:$D$636,167,FALSE)</f>
        <v>1Q</v>
      </c>
      <c r="G4" s="185" t="str">
        <f>HLOOKUP(INDICE!$F$2,Nombres!$C$3:$D$636,168,FALSE)</f>
        <v>2Q</v>
      </c>
      <c r="H4" s="185" t="str">
        <f>HLOOKUP(INDICE!$F$2,Nombres!$C$3:$D$636,169,FALSE)</f>
        <v>3Q</v>
      </c>
      <c r="I4" s="185" t="str">
        <f>HLOOKUP(INDICE!$F$2,Nombres!$C$3:$D$636,170,FALSE)</f>
        <v>4Q</v>
      </c>
    </row>
    <row r="5" spans="1:9" ht="14.25">
      <c r="A5" s="145"/>
      <c r="B5" s="102"/>
      <c r="C5" s="102"/>
      <c r="D5" s="102"/>
      <c r="E5" s="102"/>
      <c r="F5" s="102"/>
      <c r="G5" s="184"/>
      <c r="H5" s="184"/>
      <c r="I5" s="184"/>
    </row>
    <row r="6" spans="1:30" ht="14.25">
      <c r="A6" s="186" t="str">
        <f>HLOOKUP(INDICE!$F$2,Nombres!$C$3:$D$636,173,FALSE)</f>
        <v>Lending Yield</v>
      </c>
      <c r="B6" s="187">
        <v>0.017671795676112517</v>
      </c>
      <c r="C6" s="187">
        <v>0.017491607684414313</v>
      </c>
      <c r="D6" s="187">
        <v>0.017416715373765327</v>
      </c>
      <c r="E6" s="187">
        <v>0.017264739259598025</v>
      </c>
      <c r="F6" s="187">
        <v>0.017100471610330813</v>
      </c>
      <c r="G6" s="187">
        <v>0</v>
      </c>
      <c r="H6" s="187">
        <v>0</v>
      </c>
      <c r="I6" s="187">
        <v>0</v>
      </c>
      <c r="J6" s="296"/>
      <c r="K6" s="296"/>
      <c r="L6" s="296"/>
      <c r="M6" s="296"/>
      <c r="O6" s="188"/>
      <c r="P6" s="188"/>
      <c r="Q6" s="188"/>
      <c r="R6" s="188"/>
      <c r="W6" s="188"/>
      <c r="X6" s="188"/>
      <c r="Y6" s="188"/>
      <c r="Z6" s="188"/>
      <c r="AA6" s="188"/>
      <c r="AB6" s="188"/>
      <c r="AC6" s="188"/>
      <c r="AD6" s="188"/>
    </row>
    <row r="7" spans="1:30" ht="14.25">
      <c r="A7" s="186" t="str">
        <f>HLOOKUP(INDICE!$F$2,Nombres!$C$3:$D$636,174,FALSE)</f>
        <v>Cost of deposits</v>
      </c>
      <c r="B7" s="187">
        <v>-2.8855582289337086E-06</v>
      </c>
      <c r="C7" s="187">
        <v>6.313180380963709E-05</v>
      </c>
      <c r="D7" s="187">
        <v>5.955099791106753E-05</v>
      </c>
      <c r="E7" s="187">
        <v>4.1103154803061946E-05</v>
      </c>
      <c r="F7" s="187">
        <v>-4.121262380617316E-05</v>
      </c>
      <c r="G7" s="187">
        <v>0</v>
      </c>
      <c r="H7" s="187">
        <v>0</v>
      </c>
      <c r="I7" s="187">
        <v>0</v>
      </c>
      <c r="J7" s="296"/>
      <c r="K7" s="296"/>
      <c r="L7" s="296"/>
      <c r="M7" s="296"/>
      <c r="O7" s="188"/>
      <c r="P7" s="188"/>
      <c r="Q7" s="188"/>
      <c r="R7" s="188"/>
      <c r="W7" s="188"/>
      <c r="X7" s="188"/>
      <c r="Y7" s="188"/>
      <c r="Z7" s="188"/>
      <c r="AA7" s="188"/>
      <c r="AB7" s="188"/>
      <c r="AC7" s="188"/>
      <c r="AD7" s="188"/>
    </row>
    <row r="8" spans="1:30" ht="14.25">
      <c r="A8" s="189" t="str">
        <f>HLOOKUP(INDICE!$F$2,Nombres!$C$3:$D$636,175,FALSE)</f>
        <v>Banking activity in Spain</v>
      </c>
      <c r="B8" s="190">
        <v>0.017668910117883584</v>
      </c>
      <c r="C8" s="190">
        <v>0.01755473948822395</v>
      </c>
      <c r="D8" s="190">
        <v>0.017476266371676395</v>
      </c>
      <c r="E8" s="190">
        <v>0.017305842414401088</v>
      </c>
      <c r="F8" s="190">
        <v>0.01705925898652464</v>
      </c>
      <c r="G8" s="190">
        <v>0</v>
      </c>
      <c r="H8" s="190">
        <v>0</v>
      </c>
      <c r="I8" s="190">
        <v>0</v>
      </c>
      <c r="J8" s="296"/>
      <c r="K8" s="296"/>
      <c r="L8" s="296"/>
      <c r="M8" s="296"/>
      <c r="O8" s="188"/>
      <c r="P8" s="188"/>
      <c r="Q8" s="188"/>
      <c r="R8" s="188"/>
      <c r="W8" s="188"/>
      <c r="X8" s="188"/>
      <c r="Y8" s="188"/>
      <c r="Z8" s="188"/>
      <c r="AA8" s="188"/>
      <c r="AB8" s="188"/>
      <c r="AC8" s="188"/>
      <c r="AD8" s="188"/>
    </row>
    <row r="9" spans="1:30" ht="14.25">
      <c r="A9" s="145"/>
      <c r="B9" s="191"/>
      <c r="C9" s="191"/>
      <c r="D9" s="191"/>
      <c r="E9" s="191"/>
      <c r="F9" s="191"/>
      <c r="G9" s="191"/>
      <c r="H9" s="191"/>
      <c r="I9" s="191"/>
      <c r="O9" s="188"/>
      <c r="P9" s="188"/>
      <c r="Q9" s="188"/>
      <c r="R9" s="188"/>
      <c r="W9" s="188"/>
      <c r="X9" s="188"/>
      <c r="Y9" s="188"/>
      <c r="Z9" s="188"/>
      <c r="AA9" s="188"/>
      <c r="AB9" s="188"/>
      <c r="AC9" s="188"/>
      <c r="AD9" s="188"/>
    </row>
    <row r="10" spans="1:30" ht="14.25">
      <c r="A10" s="186" t="str">
        <f>HLOOKUP(INDICE!$F$2,Nombres!$C$3:$D$636,173,FALSE)</f>
        <v>Lending Yield</v>
      </c>
      <c r="B10" s="187">
        <v>0.12202723800358595</v>
      </c>
      <c r="C10" s="187">
        <v>0.12105006870837849</v>
      </c>
      <c r="D10" s="187">
        <v>0.12313056053581566</v>
      </c>
      <c r="E10" s="187">
        <v>0.12486746569572679</v>
      </c>
      <c r="F10" s="187">
        <v>0.12751107987595212</v>
      </c>
      <c r="G10" s="187">
        <v>0</v>
      </c>
      <c r="H10" s="187">
        <v>0</v>
      </c>
      <c r="I10" s="187">
        <v>0</v>
      </c>
      <c r="J10" s="296"/>
      <c r="K10" s="296"/>
      <c r="L10" s="296"/>
      <c r="M10" s="296"/>
      <c r="O10" s="188"/>
      <c r="P10" s="188"/>
      <c r="Q10" s="188"/>
      <c r="R10" s="188"/>
      <c r="W10" s="188"/>
      <c r="X10" s="188"/>
      <c r="Y10" s="188"/>
      <c r="Z10" s="188"/>
      <c r="AA10" s="188"/>
      <c r="AB10" s="188"/>
      <c r="AC10" s="188"/>
      <c r="AD10" s="188"/>
    </row>
    <row r="11" spans="1:30" ht="14.25">
      <c r="A11" s="186" t="str">
        <f>HLOOKUP(INDICE!$F$2,Nombres!$C$3:$D$636,174,FALSE)</f>
        <v>Cost of deposits</v>
      </c>
      <c r="B11" s="187">
        <v>-0.01206963717892306</v>
      </c>
      <c r="C11" s="187">
        <v>-0.011008080465674414</v>
      </c>
      <c r="D11" s="187">
        <v>-0.011480515447492708</v>
      </c>
      <c r="E11" s="187">
        <v>-0.0125804918305472</v>
      </c>
      <c r="F11" s="187">
        <v>-0.01424762298179531</v>
      </c>
      <c r="G11" s="187">
        <v>0</v>
      </c>
      <c r="H11" s="187">
        <v>0</v>
      </c>
      <c r="I11" s="187">
        <v>0</v>
      </c>
      <c r="J11" s="296"/>
      <c r="K11" s="296"/>
      <c r="L11" s="296"/>
      <c r="M11" s="296"/>
      <c r="O11" s="188"/>
      <c r="P11" s="188"/>
      <c r="Q11" s="188"/>
      <c r="R11" s="188"/>
      <c r="W11" s="188"/>
      <c r="X11" s="188"/>
      <c r="Y11" s="188"/>
      <c r="Z11" s="188"/>
      <c r="AA11" s="188"/>
      <c r="AB11" s="188"/>
      <c r="AC11" s="188"/>
      <c r="AD11" s="188"/>
    </row>
    <row r="12" spans="1:30" ht="14.25">
      <c r="A12" s="189" t="str">
        <f>HLOOKUP(INDICE!$F$2,Nombres!$C$3:$D$636,177,FALSE)</f>
        <v>Mexico MXN</v>
      </c>
      <c r="B12" s="190">
        <v>0.10995760082466288</v>
      </c>
      <c r="C12" s="190">
        <v>0.11004198824270407</v>
      </c>
      <c r="D12" s="190">
        <v>0.11165004508832295</v>
      </c>
      <c r="E12" s="190">
        <v>0.11228697386517959</v>
      </c>
      <c r="F12" s="190">
        <v>0.1132634568941568</v>
      </c>
      <c r="G12" s="190">
        <v>0</v>
      </c>
      <c r="H12" s="190">
        <v>0</v>
      </c>
      <c r="I12" s="190">
        <v>0</v>
      </c>
      <c r="J12" s="296"/>
      <c r="K12" s="296"/>
      <c r="L12" s="296"/>
      <c r="M12" s="296"/>
      <c r="O12" s="188"/>
      <c r="P12" s="188"/>
      <c r="Q12" s="188"/>
      <c r="R12" s="188"/>
      <c r="W12" s="188"/>
      <c r="X12" s="188"/>
      <c r="Y12" s="188"/>
      <c r="Z12" s="188"/>
      <c r="AA12" s="188"/>
      <c r="AB12" s="188"/>
      <c r="AC12" s="188"/>
      <c r="AD12" s="188"/>
    </row>
    <row r="13" spans="1:30" ht="14.25">
      <c r="A13" s="145"/>
      <c r="B13" s="191"/>
      <c r="C13" s="191"/>
      <c r="D13" s="191"/>
      <c r="E13" s="191"/>
      <c r="F13" s="191"/>
      <c r="G13" s="191"/>
      <c r="H13" s="191"/>
      <c r="I13" s="191"/>
      <c r="O13" s="188"/>
      <c r="P13" s="188"/>
      <c r="Q13" s="188"/>
      <c r="R13" s="188"/>
      <c r="W13" s="188"/>
      <c r="X13" s="188"/>
      <c r="Y13" s="188"/>
      <c r="Z13" s="188"/>
      <c r="AA13" s="188"/>
      <c r="AB13" s="188"/>
      <c r="AC13" s="188"/>
      <c r="AD13" s="188"/>
    </row>
    <row r="14" spans="1:30" ht="14.25">
      <c r="A14" s="186" t="str">
        <f>HLOOKUP(INDICE!$F$2,Nombres!$C$3:$D$636,173,FALSE)</f>
        <v>Lending Yield</v>
      </c>
      <c r="B14" s="191">
        <v>0.030174382296457917</v>
      </c>
      <c r="C14" s="191">
        <v>0.029770912407578586</v>
      </c>
      <c r="D14" s="191">
        <v>0.02950139897040329</v>
      </c>
      <c r="E14" s="191">
        <v>0.02897582242199459</v>
      </c>
      <c r="F14" s="191">
        <v>0.02964671805327852</v>
      </c>
      <c r="G14" s="191">
        <v>0</v>
      </c>
      <c r="H14" s="191">
        <v>0</v>
      </c>
      <c r="I14" s="191">
        <v>0</v>
      </c>
      <c r="O14" s="188"/>
      <c r="P14" s="188"/>
      <c r="Q14" s="188"/>
      <c r="R14" s="188"/>
      <c r="W14" s="188"/>
      <c r="X14" s="188"/>
      <c r="Y14" s="188"/>
      <c r="Z14" s="188"/>
      <c r="AA14" s="188"/>
      <c r="AB14" s="188"/>
      <c r="AC14" s="188"/>
      <c r="AD14" s="188"/>
    </row>
    <row r="15" spans="1:30" ht="14.25">
      <c r="A15" s="186" t="str">
        <f>HLOOKUP(INDICE!$F$2,Nombres!$C$3:$D$636,174,FALSE)</f>
        <v>Cost of deposits</v>
      </c>
      <c r="B15" s="191">
        <v>-0.0002822828636173589</v>
      </c>
      <c r="C15" s="191">
        <v>-0.000212496075746828</v>
      </c>
      <c r="D15" s="191">
        <v>-0.00018936801327365524</v>
      </c>
      <c r="E15" s="191">
        <v>-0.0001902538254438967</v>
      </c>
      <c r="F15" s="191">
        <v>-0.0002230968022216293</v>
      </c>
      <c r="G15" s="191">
        <v>0</v>
      </c>
      <c r="H15" s="191">
        <v>0</v>
      </c>
      <c r="I15" s="191">
        <v>0</v>
      </c>
      <c r="O15" s="188"/>
      <c r="P15" s="188"/>
      <c r="Q15" s="188"/>
      <c r="R15" s="188"/>
      <c r="W15" s="188"/>
      <c r="X15" s="188"/>
      <c r="Y15" s="188"/>
      <c r="Z15" s="188"/>
      <c r="AA15" s="188"/>
      <c r="AB15" s="188"/>
      <c r="AC15" s="188"/>
      <c r="AD15" s="188"/>
    </row>
    <row r="16" spans="1:30" ht="14.25">
      <c r="A16" s="189" t="str">
        <f>HLOOKUP(INDICE!$F$2,Nombres!$C$3:$D$636,178,FALSE)</f>
        <v>Mexico  FC (Foreing currency)</v>
      </c>
      <c r="B16" s="192">
        <v>0.029892099432840557</v>
      </c>
      <c r="C16" s="192">
        <v>0.029558416331831757</v>
      </c>
      <c r="D16" s="192">
        <v>0.029312030957129635</v>
      </c>
      <c r="E16" s="192">
        <v>0.028785568596550695</v>
      </c>
      <c r="F16" s="192">
        <v>0.02942362125105689</v>
      </c>
      <c r="G16" s="192">
        <v>0</v>
      </c>
      <c r="H16" s="192">
        <v>0</v>
      </c>
      <c r="I16" s="192">
        <v>0</v>
      </c>
      <c r="O16" s="188"/>
      <c r="P16" s="188"/>
      <c r="Q16" s="188"/>
      <c r="R16" s="188"/>
      <c r="W16" s="188"/>
      <c r="X16" s="188"/>
      <c r="Y16" s="188"/>
      <c r="Z16" s="188"/>
      <c r="AA16" s="188"/>
      <c r="AB16" s="188"/>
      <c r="AC16" s="188"/>
      <c r="AD16" s="188"/>
    </row>
    <row r="17" spans="1:30" ht="14.25">
      <c r="A17" s="145"/>
      <c r="B17" s="191"/>
      <c r="C17" s="191"/>
      <c r="D17" s="191"/>
      <c r="E17" s="191"/>
      <c r="F17" s="191"/>
      <c r="G17" s="191"/>
      <c r="H17" s="191"/>
      <c r="I17" s="191"/>
      <c r="O17" s="188"/>
      <c r="P17" s="188"/>
      <c r="Q17" s="188"/>
      <c r="R17" s="188"/>
      <c r="W17" s="188"/>
      <c r="X17" s="188"/>
      <c r="Y17" s="188"/>
      <c r="Z17" s="188"/>
      <c r="AA17" s="188"/>
      <c r="AB17" s="188"/>
      <c r="AC17" s="188"/>
      <c r="AD17" s="188"/>
    </row>
    <row r="18" spans="1:30" ht="14.25">
      <c r="A18" s="186" t="str">
        <f>HLOOKUP(INDICE!$F$2,Nombres!$C$3:$D$636,173,FALSE)</f>
        <v>Lending Yield</v>
      </c>
      <c r="B18" s="187">
        <v>0.14296907634056272</v>
      </c>
      <c r="C18" s="187">
        <v>0.1556028031922443</v>
      </c>
      <c r="D18" s="187">
        <v>0.1626449959832971</v>
      </c>
      <c r="E18" s="187">
        <v>0.16480238585276782</v>
      </c>
      <c r="F18" s="187">
        <v>0.17752588226577382</v>
      </c>
      <c r="G18" s="187">
        <v>0</v>
      </c>
      <c r="H18" s="187">
        <v>0</v>
      </c>
      <c r="I18" s="187">
        <v>0</v>
      </c>
      <c r="J18" s="296"/>
      <c r="K18" s="296"/>
      <c r="L18" s="296"/>
      <c r="M18" s="296"/>
      <c r="O18" s="188"/>
      <c r="P18" s="188"/>
      <c r="Q18" s="188"/>
      <c r="R18" s="188"/>
      <c r="W18" s="188"/>
      <c r="X18" s="188"/>
      <c r="Y18" s="188"/>
      <c r="Z18" s="188"/>
      <c r="AA18" s="188"/>
      <c r="AB18" s="188"/>
      <c r="AC18" s="188"/>
      <c r="AD18" s="188"/>
    </row>
    <row r="19" spans="1:30" ht="14.25">
      <c r="A19" s="186" t="str">
        <f>HLOOKUP(INDICE!$F$2,Nombres!$C$3:$D$636,174,FALSE)</f>
        <v>Cost of deposits</v>
      </c>
      <c r="B19" s="187">
        <v>-0.11751316698854768</v>
      </c>
      <c r="C19" s="187">
        <v>-0.12680247724077123</v>
      </c>
      <c r="D19" s="187">
        <v>-0.12832951194832729</v>
      </c>
      <c r="E19" s="187">
        <v>-0.11589034648448437</v>
      </c>
      <c r="F19" s="187">
        <v>-0.12530942865274364</v>
      </c>
      <c r="G19" s="187">
        <v>0</v>
      </c>
      <c r="H19" s="187">
        <v>0</v>
      </c>
      <c r="I19" s="187">
        <v>0</v>
      </c>
      <c r="J19" s="296"/>
      <c r="K19" s="296"/>
      <c r="L19" s="296"/>
      <c r="M19" s="296"/>
      <c r="O19" s="188"/>
      <c r="P19" s="188"/>
      <c r="Q19" s="188"/>
      <c r="R19" s="188"/>
      <c r="W19" s="188"/>
      <c r="X19" s="188"/>
      <c r="Y19" s="188"/>
      <c r="Z19" s="188"/>
      <c r="AA19" s="188"/>
      <c r="AB19" s="188"/>
      <c r="AC19" s="188"/>
      <c r="AD19" s="188"/>
    </row>
    <row r="20" spans="1:30" ht="14.25">
      <c r="A20" s="189" t="str">
        <f>HLOOKUP(INDICE!$F$2,Nombres!$C$3:$D$636,179,FALSE)</f>
        <v>Turkey TRY</v>
      </c>
      <c r="B20" s="190">
        <v>0.02545590935201504</v>
      </c>
      <c r="C20" s="190">
        <v>0.028800325951473055</v>
      </c>
      <c r="D20" s="190">
        <v>0.03431548403496981</v>
      </c>
      <c r="E20" s="190">
        <v>0.04891203936828345</v>
      </c>
      <c r="F20" s="190">
        <v>0.05221645361303018</v>
      </c>
      <c r="G20" s="190">
        <v>0</v>
      </c>
      <c r="H20" s="190">
        <v>0</v>
      </c>
      <c r="I20" s="190">
        <v>0</v>
      </c>
      <c r="J20" s="296"/>
      <c r="K20" s="296"/>
      <c r="L20" s="296"/>
      <c r="M20" s="296"/>
      <c r="O20" s="188"/>
      <c r="P20" s="188"/>
      <c r="Q20" s="188"/>
      <c r="R20" s="188"/>
      <c r="W20" s="188"/>
      <c r="X20" s="188"/>
      <c r="Y20" s="188"/>
      <c r="Z20" s="188"/>
      <c r="AA20" s="188"/>
      <c r="AB20" s="188"/>
      <c r="AC20" s="188"/>
      <c r="AD20" s="188"/>
    </row>
    <row r="21" spans="1:30" ht="14.25">
      <c r="A21" s="189"/>
      <c r="B21" s="190"/>
      <c r="C21" s="190"/>
      <c r="D21" s="190"/>
      <c r="E21" s="190"/>
      <c r="F21" s="190"/>
      <c r="G21" s="190"/>
      <c r="H21" s="190"/>
      <c r="I21" s="190"/>
      <c r="J21" s="296"/>
      <c r="K21" s="296"/>
      <c r="L21" s="296"/>
      <c r="M21" s="296"/>
      <c r="O21" s="188"/>
      <c r="P21" s="188"/>
      <c r="Q21" s="188"/>
      <c r="R21" s="188"/>
      <c r="W21" s="188"/>
      <c r="X21" s="188"/>
      <c r="Y21" s="188"/>
      <c r="Z21" s="188"/>
      <c r="AA21" s="188"/>
      <c r="AB21" s="188"/>
      <c r="AC21" s="188"/>
      <c r="AD21" s="188"/>
    </row>
    <row r="22" spans="1:30" ht="14.25">
      <c r="A22" s="186" t="str">
        <f>HLOOKUP(INDICE!$F$2,Nombres!$C$3:$D$636,173,FALSE)</f>
        <v>Lending Yield</v>
      </c>
      <c r="B22" s="193">
        <v>0.05017027201428375</v>
      </c>
      <c r="C22" s="193">
        <v>0.05039928855800079</v>
      </c>
      <c r="D22" s="193">
        <v>0.048929059926155205</v>
      </c>
      <c r="E22" s="193">
        <v>0.04865460905160399</v>
      </c>
      <c r="F22" s="193">
        <v>0.051878005521567495</v>
      </c>
      <c r="G22" s="193">
        <v>0</v>
      </c>
      <c r="H22" s="193">
        <v>0</v>
      </c>
      <c r="I22" s="193">
        <v>0</v>
      </c>
      <c r="J22" s="296"/>
      <c r="K22" s="296"/>
      <c r="L22" s="296"/>
      <c r="M22" s="296"/>
      <c r="O22" s="188"/>
      <c r="P22" s="188"/>
      <c r="Q22" s="188"/>
      <c r="R22" s="188"/>
      <c r="W22" s="188"/>
      <c r="X22" s="188"/>
      <c r="Y22" s="188"/>
      <c r="Z22" s="188"/>
      <c r="AA22" s="188"/>
      <c r="AB22" s="188"/>
      <c r="AC22" s="188"/>
      <c r="AD22" s="188"/>
    </row>
    <row r="23" spans="1:30" ht="14.25">
      <c r="A23" s="186" t="str">
        <f>HLOOKUP(INDICE!$F$2,Nombres!$C$3:$D$636,174,FALSE)</f>
        <v>Cost of deposits</v>
      </c>
      <c r="B23" s="193">
        <v>-0.003909204429493572</v>
      </c>
      <c r="C23" s="193">
        <v>-0.0034245561499075816</v>
      </c>
      <c r="D23" s="193">
        <v>-0.0023701396601340163</v>
      </c>
      <c r="E23" s="193">
        <v>-0.0021495394083072676</v>
      </c>
      <c r="F23" s="193">
        <v>-0.0020077497649421522</v>
      </c>
      <c r="G23" s="193">
        <v>0</v>
      </c>
      <c r="H23" s="193">
        <v>0</v>
      </c>
      <c r="I23" s="193">
        <v>0</v>
      </c>
      <c r="J23" s="296"/>
      <c r="K23" s="296"/>
      <c r="L23" s="296"/>
      <c r="M23" s="296"/>
      <c r="O23" s="188"/>
      <c r="P23" s="188"/>
      <c r="Q23" s="188"/>
      <c r="R23" s="188"/>
      <c r="W23" s="188"/>
      <c r="X23" s="188"/>
      <c r="Y23" s="188"/>
      <c r="Z23" s="188"/>
      <c r="AA23" s="188"/>
      <c r="AB23" s="188"/>
      <c r="AC23" s="188"/>
      <c r="AD23" s="188"/>
    </row>
    <row r="24" spans="1:30" ht="14.25">
      <c r="A24" s="189" t="str">
        <f>HLOOKUP(INDICE!$F$2,Nombres!$C$3:$D$636,180,FALSE)</f>
        <v>Turkey FC (Foreing currency)</v>
      </c>
      <c r="B24" s="190">
        <v>0.04626106758479018</v>
      </c>
      <c r="C24" s="190">
        <v>0.04697473240809321</v>
      </c>
      <c r="D24" s="190">
        <v>0.04655892026602119</v>
      </c>
      <c r="E24" s="190">
        <v>0.046505069643296724</v>
      </c>
      <c r="F24" s="190">
        <v>0.04987025575662534</v>
      </c>
      <c r="G24" s="190">
        <v>0</v>
      </c>
      <c r="H24" s="190">
        <v>0</v>
      </c>
      <c r="I24" s="190">
        <v>0</v>
      </c>
      <c r="J24" s="296"/>
      <c r="K24" s="296"/>
      <c r="L24" s="296"/>
      <c r="M24" s="296"/>
      <c r="O24" s="188"/>
      <c r="P24" s="188"/>
      <c r="Q24" s="188"/>
      <c r="R24" s="188"/>
      <c r="W24" s="188"/>
      <c r="X24" s="188"/>
      <c r="Y24" s="188"/>
      <c r="Z24" s="188"/>
      <c r="AA24" s="188"/>
      <c r="AB24" s="188"/>
      <c r="AC24" s="188"/>
      <c r="AD24" s="188"/>
    </row>
    <row r="25" spans="1:30" ht="14.25">
      <c r="A25" s="145"/>
      <c r="B25" s="191"/>
      <c r="C25" s="191"/>
      <c r="D25" s="191"/>
      <c r="E25" s="191"/>
      <c r="F25" s="191"/>
      <c r="G25" s="191"/>
      <c r="H25" s="191"/>
      <c r="I25" s="191"/>
      <c r="O25" s="188"/>
      <c r="P25" s="188"/>
      <c r="Q25" s="188"/>
      <c r="R25" s="188"/>
      <c r="W25" s="188"/>
      <c r="X25" s="188"/>
      <c r="Y25" s="188"/>
      <c r="Z25" s="188"/>
      <c r="AA25" s="188"/>
      <c r="AB25" s="188"/>
      <c r="AC25" s="188"/>
      <c r="AD25" s="188"/>
    </row>
    <row r="26" spans="1:30" ht="14.25">
      <c r="A26" s="186" t="str">
        <f>HLOOKUP(INDICE!$F$2,Nombres!$C$3:$D$636,173,FALSE)</f>
        <v>Lending Yield</v>
      </c>
      <c r="B26" s="187">
        <v>0.27287944816889914</v>
      </c>
      <c r="C26" s="187">
        <v>0.2545189075122043</v>
      </c>
      <c r="D26" s="187">
        <v>0.2646468795186635</v>
      </c>
      <c r="E26" s="187">
        <v>0.2743612191968006</v>
      </c>
      <c r="F26" s="187">
        <v>0.2973933995524442</v>
      </c>
      <c r="G26" s="187">
        <v>0</v>
      </c>
      <c r="H26" s="187">
        <v>0</v>
      </c>
      <c r="I26" s="187">
        <v>0</v>
      </c>
      <c r="J26" s="296"/>
      <c r="K26" s="296"/>
      <c r="L26" s="296"/>
      <c r="M26" s="296"/>
      <c r="O26" s="188"/>
      <c r="P26" s="188"/>
      <c r="Q26" s="188"/>
      <c r="R26" s="188"/>
      <c r="W26" s="188"/>
      <c r="X26" s="188"/>
      <c r="Y26" s="188"/>
      <c r="Z26" s="188"/>
      <c r="AA26" s="188"/>
      <c r="AB26" s="188"/>
      <c r="AC26" s="188"/>
      <c r="AD26" s="188"/>
    </row>
    <row r="27" spans="1:30" ht="14.25">
      <c r="A27" s="186" t="str">
        <f>HLOOKUP(INDICE!$F$2,Nombres!$C$3:$D$636,174,FALSE)</f>
        <v>Cost of deposits</v>
      </c>
      <c r="B27" s="187">
        <v>-0.11808404827847262</v>
      </c>
      <c r="C27" s="187">
        <v>-0.13245229274081424</v>
      </c>
      <c r="D27" s="187">
        <v>-0.1372979585825155</v>
      </c>
      <c r="E27" s="187">
        <v>-0.1276625198599774</v>
      </c>
      <c r="F27" s="187">
        <v>-0.14988952400084696</v>
      </c>
      <c r="G27" s="187">
        <v>0</v>
      </c>
      <c r="H27" s="187">
        <v>0</v>
      </c>
      <c r="I27" s="187">
        <v>0</v>
      </c>
      <c r="J27" s="296"/>
      <c r="K27" s="296"/>
      <c r="L27" s="296"/>
      <c r="M27" s="296"/>
      <c r="O27" s="188"/>
      <c r="P27" s="188"/>
      <c r="Q27" s="188"/>
      <c r="R27" s="188"/>
      <c r="W27" s="188"/>
      <c r="X27" s="188"/>
      <c r="Y27" s="188"/>
      <c r="Z27" s="188"/>
      <c r="AA27" s="188"/>
      <c r="AB27" s="188"/>
      <c r="AC27" s="188"/>
      <c r="AD27" s="188"/>
    </row>
    <row r="28" spans="1:30" ht="14.25">
      <c r="A28" s="189" t="str">
        <f>HLOOKUP(INDICE!$F$2,Nombres!$C$3:$D$636,181,FALSE)</f>
        <v>Argentina</v>
      </c>
      <c r="B28" s="194">
        <v>0.1547953998904265</v>
      </c>
      <c r="C28" s="194">
        <v>0.12206661477139005</v>
      </c>
      <c r="D28" s="194">
        <v>0.127348920936148</v>
      </c>
      <c r="E28" s="194">
        <v>0.14669869933682322</v>
      </c>
      <c r="F28" s="194">
        <v>0.14750387555159725</v>
      </c>
      <c r="G28" s="194">
        <v>0</v>
      </c>
      <c r="H28" s="194">
        <v>0</v>
      </c>
      <c r="I28" s="194">
        <v>0</v>
      </c>
      <c r="J28" s="296"/>
      <c r="K28" s="296"/>
      <c r="L28" s="296"/>
      <c r="M28" s="296"/>
      <c r="O28" s="188"/>
      <c r="P28" s="188"/>
      <c r="Q28" s="188"/>
      <c r="R28" s="188"/>
      <c r="W28" s="188"/>
      <c r="X28" s="188"/>
      <c r="Y28" s="188"/>
      <c r="Z28" s="188"/>
      <c r="AA28" s="188"/>
      <c r="AB28" s="188"/>
      <c r="AC28" s="188"/>
      <c r="AD28" s="188"/>
    </row>
    <row r="29" spans="1:30" ht="14.25">
      <c r="A29" s="145"/>
      <c r="B29" s="191"/>
      <c r="C29" s="191"/>
      <c r="D29" s="191"/>
      <c r="E29" s="191"/>
      <c r="F29" s="191"/>
      <c r="G29" s="191"/>
      <c r="H29" s="191"/>
      <c r="I29" s="191"/>
      <c r="O29" s="188"/>
      <c r="P29" s="188"/>
      <c r="Q29" s="188"/>
      <c r="R29" s="188"/>
      <c r="W29" s="188"/>
      <c r="X29" s="188"/>
      <c r="Y29" s="188"/>
      <c r="Z29" s="188"/>
      <c r="AA29" s="188"/>
      <c r="AB29" s="188"/>
      <c r="AC29" s="188"/>
      <c r="AD29" s="188"/>
    </row>
    <row r="30" spans="1:30" ht="14.25">
      <c r="A30" s="186" t="str">
        <f>HLOOKUP(INDICE!$F$2,Nombres!$C$3:$D$636,173,FALSE)</f>
        <v>Lending Yield</v>
      </c>
      <c r="B30" s="187">
        <v>0.0907840059161003</v>
      </c>
      <c r="C30" s="187">
        <v>0.08721585256993951</v>
      </c>
      <c r="D30" s="187">
        <v>0.0862644469234545</v>
      </c>
      <c r="E30" s="187">
        <v>0.08565940458006299</v>
      </c>
      <c r="F30" s="187">
        <v>0.08900064858658696</v>
      </c>
      <c r="G30" s="187">
        <v>0</v>
      </c>
      <c r="H30" s="187">
        <v>0</v>
      </c>
      <c r="I30" s="187">
        <v>0</v>
      </c>
      <c r="J30" s="296"/>
      <c r="K30" s="296"/>
      <c r="L30" s="296"/>
      <c r="M30" s="296"/>
      <c r="O30" s="188"/>
      <c r="P30" s="188"/>
      <c r="Q30" s="188"/>
      <c r="R30" s="188"/>
      <c r="W30" s="188"/>
      <c r="X30" s="188"/>
      <c r="Y30" s="188"/>
      <c r="Z30" s="188"/>
      <c r="AA30" s="188"/>
      <c r="AB30" s="188"/>
      <c r="AC30" s="188"/>
      <c r="AD30" s="188"/>
    </row>
    <row r="31" spans="1:30" ht="14.25">
      <c r="A31" s="186" t="str">
        <f>HLOOKUP(INDICE!$F$2,Nombres!$C$3:$D$636,174,FALSE)</f>
        <v>Cost of deposits</v>
      </c>
      <c r="B31" s="187">
        <v>-0.025658619101376113</v>
      </c>
      <c r="C31" s="187">
        <v>-0.024167549353759893</v>
      </c>
      <c r="D31" s="187">
        <v>-0.024142178980391872</v>
      </c>
      <c r="E31" s="187">
        <v>-0.02448387872201383</v>
      </c>
      <c r="F31" s="187">
        <v>-0.027742387054646944</v>
      </c>
      <c r="G31" s="187">
        <v>0</v>
      </c>
      <c r="H31" s="187">
        <v>0</v>
      </c>
      <c r="I31" s="187">
        <v>0</v>
      </c>
      <c r="J31" s="296"/>
      <c r="K31" s="296"/>
      <c r="L31" s="296"/>
      <c r="M31" s="296"/>
      <c r="O31" s="188"/>
      <c r="P31" s="188"/>
      <c r="Q31" s="188"/>
      <c r="R31" s="188"/>
      <c r="W31" s="188"/>
      <c r="X31" s="188"/>
      <c r="Y31" s="188"/>
      <c r="Z31" s="188"/>
      <c r="AA31" s="188"/>
      <c r="AB31" s="188"/>
      <c r="AC31" s="188"/>
      <c r="AD31" s="188"/>
    </row>
    <row r="32" spans="1:30" ht="14.25">
      <c r="A32" s="189" t="str">
        <f>HLOOKUP(INDICE!$F$2,Nombres!$C$3:$D$636,182,FALSE)</f>
        <v>Colombia</v>
      </c>
      <c r="B32" s="190">
        <v>0.06512538681472418</v>
      </c>
      <c r="C32" s="190">
        <v>0.06304830321617962</v>
      </c>
      <c r="D32" s="190">
        <v>0.06212226794306263</v>
      </c>
      <c r="E32" s="190">
        <v>0.06117552585804916</v>
      </c>
      <c r="F32" s="190">
        <v>0.061258261531940014</v>
      </c>
      <c r="G32" s="190">
        <v>0</v>
      </c>
      <c r="H32" s="190">
        <v>0</v>
      </c>
      <c r="I32" s="190">
        <v>0</v>
      </c>
      <c r="J32" s="296"/>
      <c r="K32" s="296"/>
      <c r="L32" s="296"/>
      <c r="M32" s="296"/>
      <c r="O32" s="188"/>
      <c r="P32" s="188"/>
      <c r="Q32" s="188"/>
      <c r="R32" s="188"/>
      <c r="W32" s="188"/>
      <c r="X32" s="188"/>
      <c r="Y32" s="188"/>
      <c r="Z32" s="188"/>
      <c r="AA32" s="188"/>
      <c r="AB32" s="188"/>
      <c r="AC32" s="188"/>
      <c r="AD32" s="188"/>
    </row>
    <row r="33" spans="1:30" ht="14.25">
      <c r="A33" s="145"/>
      <c r="B33" s="191"/>
      <c r="C33" s="191"/>
      <c r="D33" s="191"/>
      <c r="E33" s="191"/>
      <c r="F33" s="191"/>
      <c r="G33" s="191"/>
      <c r="H33" s="191"/>
      <c r="I33" s="191"/>
      <c r="O33" s="188"/>
      <c r="P33" s="188"/>
      <c r="Q33" s="188"/>
      <c r="R33" s="188"/>
      <c r="W33" s="188"/>
      <c r="X33" s="188"/>
      <c r="Y33" s="188"/>
      <c r="Z33" s="188"/>
      <c r="AA33" s="188"/>
      <c r="AB33" s="188"/>
      <c r="AC33" s="188"/>
      <c r="AD33" s="188"/>
    </row>
    <row r="34" spans="1:30" ht="14.25">
      <c r="A34" s="186" t="str">
        <f>HLOOKUP(INDICE!$F$2,Nombres!$C$3:$D$636,173,FALSE)</f>
        <v>Lending Yield</v>
      </c>
      <c r="B34" s="187">
        <v>0.05374959984534193</v>
      </c>
      <c r="C34" s="187">
        <v>0.051655784908604035</v>
      </c>
      <c r="D34" s="187">
        <v>0.054590015457192394</v>
      </c>
      <c r="E34" s="187">
        <v>0.05664259862586235</v>
      </c>
      <c r="F34" s="187">
        <v>0.05709508322320697</v>
      </c>
      <c r="G34" s="187">
        <v>0</v>
      </c>
      <c r="H34" s="187">
        <v>0</v>
      </c>
      <c r="I34" s="187">
        <v>0</v>
      </c>
      <c r="J34" s="296"/>
      <c r="K34" s="296"/>
      <c r="L34" s="296"/>
      <c r="M34" s="296"/>
      <c r="O34" s="188"/>
      <c r="P34" s="188"/>
      <c r="Q34" s="188"/>
      <c r="R34" s="188"/>
      <c r="W34" s="188"/>
      <c r="X34" s="188"/>
      <c r="Y34" s="188"/>
      <c r="Z34" s="188"/>
      <c r="AA34" s="188"/>
      <c r="AB34" s="188"/>
      <c r="AC34" s="188"/>
      <c r="AD34" s="188"/>
    </row>
    <row r="35" spans="1:30" ht="14.25">
      <c r="A35" s="186" t="str">
        <f>HLOOKUP(INDICE!$F$2,Nombres!$C$3:$D$636,174,FALSE)</f>
        <v>Cost of deposits</v>
      </c>
      <c r="B35" s="187">
        <v>-0.0032830542140836853</v>
      </c>
      <c r="C35" s="187">
        <v>-0.0025482861281171123</v>
      </c>
      <c r="D35" s="187">
        <v>-0.0023624693349372783</v>
      </c>
      <c r="E35" s="187">
        <v>-0.002570644383853652</v>
      </c>
      <c r="F35" s="187">
        <v>-0.0038206178808957826</v>
      </c>
      <c r="G35" s="187">
        <v>0</v>
      </c>
      <c r="H35" s="187">
        <v>0</v>
      </c>
      <c r="I35" s="187">
        <v>0</v>
      </c>
      <c r="J35" s="296"/>
      <c r="K35" s="296"/>
      <c r="L35" s="296"/>
      <c r="M35" s="296"/>
      <c r="O35" s="188"/>
      <c r="P35" s="188"/>
      <c r="Q35" s="188"/>
      <c r="R35" s="188"/>
      <c r="W35" s="188"/>
      <c r="X35" s="188"/>
      <c r="Y35" s="188"/>
      <c r="Z35" s="188"/>
      <c r="AA35" s="188"/>
      <c r="AB35" s="188"/>
      <c r="AC35" s="188"/>
      <c r="AD35" s="188"/>
    </row>
    <row r="36" spans="1:30" ht="14.25">
      <c r="A36" s="189" t="str">
        <f>HLOOKUP(INDICE!$F$2,Nombres!$C$3:$D$636,183,FALSE)</f>
        <v>Peru</v>
      </c>
      <c r="B36" s="190">
        <v>0.05046654563125824</v>
      </c>
      <c r="C36" s="190">
        <v>0.049107498780486925</v>
      </c>
      <c r="D36" s="190">
        <v>0.052227546122255115</v>
      </c>
      <c r="E36" s="190">
        <v>0.054071954242008696</v>
      </c>
      <c r="F36" s="190">
        <v>0.053274465342311186</v>
      </c>
      <c r="G36" s="190">
        <v>0</v>
      </c>
      <c r="H36" s="190">
        <v>0</v>
      </c>
      <c r="I36" s="190">
        <v>0</v>
      </c>
      <c r="J36" s="296"/>
      <c r="K36" s="296"/>
      <c r="L36" s="296"/>
      <c r="M36" s="296"/>
      <c r="O36" s="188"/>
      <c r="P36" s="188"/>
      <c r="Q36" s="188"/>
      <c r="R36" s="188"/>
      <c r="W36" s="188"/>
      <c r="X36" s="188"/>
      <c r="Y36" s="188"/>
      <c r="Z36" s="188"/>
      <c r="AA36" s="188"/>
      <c r="AB36" s="188"/>
      <c r="AC36" s="188"/>
      <c r="AD36" s="188"/>
    </row>
    <row r="37" spans="1:30" ht="14.25">
      <c r="A37" s="145"/>
      <c r="B37" s="191"/>
      <c r="C37" s="191"/>
      <c r="D37" s="191"/>
      <c r="E37" s="191"/>
      <c r="F37" s="191"/>
      <c r="G37" s="191"/>
      <c r="H37" s="191"/>
      <c r="I37" s="191"/>
      <c r="O37" s="188"/>
      <c r="P37" s="188"/>
      <c r="Q37" s="188"/>
      <c r="R37" s="188"/>
      <c r="W37" s="188"/>
      <c r="X37" s="188"/>
      <c r="Y37" s="188"/>
      <c r="Z37" s="188"/>
      <c r="AA37" s="188"/>
      <c r="AB37" s="188"/>
      <c r="AC37" s="188"/>
      <c r="AD37" s="188"/>
    </row>
    <row r="38" spans="1:30" ht="14.25">
      <c r="A38" s="195" t="str">
        <f>HLOOKUP(INDICE!$F$2,Nombres!$C$3:$D$636,184,FALSE)</f>
        <v>(*) Difference between lending yield on loans and cost of deposits from customers.</v>
      </c>
      <c r="B38" s="184"/>
      <c r="C38" s="184"/>
      <c r="D38" s="184"/>
      <c r="E38" s="184"/>
      <c r="F38" s="306"/>
      <c r="G38" s="306"/>
      <c r="H38" s="184"/>
      <c r="I38" s="184"/>
      <c r="O38" s="188"/>
      <c r="P38" s="188"/>
      <c r="Q38" s="188"/>
      <c r="R38" s="188"/>
      <c r="W38" s="188"/>
      <c r="X38" s="188"/>
      <c r="Y38" s="188"/>
      <c r="Z38" s="188"/>
      <c r="AA38" s="188"/>
      <c r="AB38" s="188"/>
      <c r="AC38" s="188"/>
      <c r="AD38" s="188"/>
    </row>
    <row r="39" spans="1:30" ht="14.25">
      <c r="A39" s="195"/>
      <c r="B39" s="184"/>
      <c r="C39" s="184"/>
      <c r="D39" s="184"/>
      <c r="E39" s="184"/>
      <c r="F39" s="184"/>
      <c r="G39" s="280"/>
      <c r="H39" s="184"/>
      <c r="I39" s="184"/>
      <c r="O39" s="188"/>
      <c r="P39" s="188"/>
      <c r="Q39" s="188"/>
      <c r="R39" s="188"/>
      <c r="W39" s="188"/>
      <c r="X39" s="188"/>
      <c r="Y39" s="188"/>
      <c r="Z39" s="188"/>
      <c r="AA39" s="188"/>
      <c r="AB39" s="188"/>
      <c r="AC39" s="188"/>
      <c r="AD39" s="188"/>
    </row>
    <row r="40" spans="1:30" ht="14.25">
      <c r="A40" s="195"/>
      <c r="O40" s="188"/>
      <c r="P40" s="188"/>
      <c r="Q40" s="188"/>
      <c r="R40" s="188"/>
      <c r="W40" s="188"/>
      <c r="X40" s="188"/>
      <c r="Y40" s="188"/>
      <c r="Z40" s="188"/>
      <c r="AA40" s="188"/>
      <c r="AB40" s="188"/>
      <c r="AC40" s="188"/>
      <c r="AD40" s="188"/>
    </row>
    <row r="41" spans="15:18" ht="14.25">
      <c r="O41" s="188"/>
      <c r="P41" s="188"/>
      <c r="Q41" s="188"/>
      <c r="R41" s="188"/>
    </row>
    <row r="996" ht="14.25">
      <c r="A996" t="s">
        <v>392</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G6" sqref="G6"/>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5" t="str">
        <f>HLOOKUP(INDICE!$F$2,Nombres!$C$3:$D$636,161,FALSE)</f>
        <v>Exchange rates</v>
      </c>
      <c r="B1" s="95"/>
      <c r="C1" s="96"/>
      <c r="D1" s="96"/>
      <c r="E1" s="96"/>
      <c r="F1" s="96"/>
      <c r="G1" s="96"/>
      <c r="H1" s="96"/>
      <c r="I1" s="96"/>
      <c r="J1" s="118"/>
      <c r="K1" s="97"/>
      <c r="L1" s="97"/>
      <c r="M1" s="97"/>
      <c r="N1" s="163"/>
      <c r="O1" s="163"/>
      <c r="P1" s="163"/>
      <c r="Q1" s="163"/>
      <c r="R1" s="163"/>
      <c r="S1" s="163"/>
      <c r="T1" s="163"/>
      <c r="U1" s="163"/>
      <c r="V1" s="163"/>
      <c r="W1" s="163"/>
    </row>
    <row r="2" spans="1:13" ht="14.25">
      <c r="A2" s="164" t="str">
        <f>HLOOKUP(INDICE!$F$2,Nombres!$C$3:$D$636,162,FALSE)</f>
        <v>(Expressed in currency/euro)</v>
      </c>
      <c r="B2" s="164"/>
      <c r="C2" s="165"/>
      <c r="D2" s="165"/>
      <c r="E2" s="165"/>
      <c r="F2" s="165"/>
      <c r="G2" s="165"/>
      <c r="H2" s="165"/>
      <c r="I2" s="165"/>
      <c r="J2" s="118"/>
      <c r="K2" s="97"/>
      <c r="L2" s="97"/>
      <c r="M2" s="97"/>
    </row>
    <row r="3" spans="1:9" ht="19.5">
      <c r="A3" s="166"/>
      <c r="B3" s="166"/>
      <c r="C3" s="307" t="str">
        <f>HLOOKUP(INDICE!$F$2,Nombres!$C$3:$D$636,163,FALSE)</f>
        <v>Year-end exchange rates (*)</v>
      </c>
      <c r="D3" s="307"/>
      <c r="E3" s="307"/>
      <c r="F3" s="167"/>
      <c r="G3" s="168"/>
      <c r="H3" s="307" t="str">
        <f>HLOOKUP(INDICE!$F$2,Nombres!$C$3:$D$636,164,FALSE)</f>
        <v>Average exchange rates (**)</v>
      </c>
      <c r="I3" s="307"/>
    </row>
    <row r="4" spans="1:9" ht="14.25">
      <c r="A4" s="100"/>
      <c r="B4" s="100"/>
      <c r="C4" s="76"/>
      <c r="D4" s="169" t="str">
        <f>HLOOKUP(INDICE!$F$2,Nombres!$C$3:$D$636,165,FALSE)</f>
        <v>∆% on</v>
      </c>
      <c r="E4" s="169" t="str">
        <f>HLOOKUP(INDICE!$F$2,Nombres!$C$3:$D$636,165,FALSE)</f>
        <v>∆% on</v>
      </c>
      <c r="F4" s="167"/>
      <c r="G4" s="168"/>
      <c r="H4" s="170"/>
      <c r="I4" s="169" t="str">
        <f>HLOOKUP(INDICE!$F$2,Nombres!$C$3:$D$636,165,FALSE)</f>
        <v>∆% on</v>
      </c>
    </row>
    <row r="5" spans="1:9" ht="14.25">
      <c r="A5" s="100"/>
      <c r="B5" s="100"/>
      <c r="C5" s="171">
        <v>44651</v>
      </c>
      <c r="D5" s="171">
        <f>DATE(YEAR(C5),MONTH(C5)-12,DAY(C5))</f>
        <v>44286</v>
      </c>
      <c r="E5" s="171">
        <v>44561</v>
      </c>
      <c r="F5" s="172"/>
      <c r="G5" s="173"/>
      <c r="H5" s="171">
        <f>+C5</f>
        <v>44651</v>
      </c>
      <c r="I5" s="174">
        <f>+D5</f>
        <v>44286</v>
      </c>
    </row>
    <row r="6" spans="1:9" ht="14.25">
      <c r="A6" s="59" t="str">
        <f>HLOOKUP(INDICE!$F$2,Nombres!$C$3:$D$636,152,FALSE)</f>
        <v>Mexican peso</v>
      </c>
      <c r="B6" s="59"/>
      <c r="C6" s="175">
        <v>22.090300000155988</v>
      </c>
      <c r="D6" s="176">
        <v>0.08874030682397005</v>
      </c>
      <c r="E6" s="176">
        <v>0.04769061531962904</v>
      </c>
      <c r="F6" s="177"/>
      <c r="G6" s="58"/>
      <c r="H6" s="175">
        <v>22.99187299995187</v>
      </c>
      <c r="I6" s="176">
        <v>0.06677790016763163</v>
      </c>
    </row>
    <row r="7" spans="1:9" ht="14.25">
      <c r="A7" s="59" t="str">
        <f>HLOOKUP(INDICE!$F$2,Nombres!$C$3:$D$636,153,FALSE)</f>
        <v>U.S. dollar</v>
      </c>
      <c r="B7" s="59"/>
      <c r="C7" s="175">
        <v>1.1100999999997925</v>
      </c>
      <c r="D7" s="176">
        <v>0.05621115214835948</v>
      </c>
      <c r="E7" s="176">
        <v>0.020268444284224252</v>
      </c>
      <c r="F7" s="145"/>
      <c r="G7" s="58"/>
      <c r="H7" s="175">
        <v>1.1216840000002786</v>
      </c>
      <c r="I7" s="176">
        <v>0.07414120197875862</v>
      </c>
    </row>
    <row r="8" spans="1:9" ht="14.25">
      <c r="A8" s="59" t="str">
        <f>HLOOKUP(INDICE!$F$2,Nombres!$C$3:$D$636,154,FALSE)</f>
        <v>Argentine peso</v>
      </c>
      <c r="B8" s="276" t="s">
        <v>421</v>
      </c>
      <c r="C8" s="277">
        <v>123.12862899355372</v>
      </c>
      <c r="D8" s="176">
        <v>-0.12432138751107924</v>
      </c>
      <c r="E8" s="176">
        <v>-0.054853034986144356</v>
      </c>
      <c r="F8" s="145"/>
      <c r="G8" s="58"/>
      <c r="H8" s="273" t="s">
        <v>414</v>
      </c>
      <c r="I8" s="273" t="s">
        <v>414</v>
      </c>
    </row>
    <row r="9" spans="1:9" ht="14.25">
      <c r="A9" s="59" t="str">
        <f>HLOOKUP(INDICE!$F$2,Nombres!$C$3:$D$636,155,FALSE)</f>
        <v>Chilean peso</v>
      </c>
      <c r="B9" s="59"/>
      <c r="C9" s="175">
        <v>873.8263159238635</v>
      </c>
      <c r="D9" s="176">
        <v>-0.017654928630378652</v>
      </c>
      <c r="E9" s="176">
        <v>0.09483529701910332</v>
      </c>
      <c r="F9" s="145"/>
      <c r="G9" s="58"/>
      <c r="H9" s="175">
        <v>907.7425400696847</v>
      </c>
      <c r="I9" s="176">
        <v>-0.03872575353589802</v>
      </c>
    </row>
    <row r="10" spans="1:9" ht="14.25">
      <c r="A10" s="59" t="str">
        <f>HLOOKUP(INDICE!$F$2,Nombres!$C$3:$D$636,156,FALSE)</f>
        <v>Colombian peso</v>
      </c>
      <c r="B10" s="59"/>
      <c r="C10" s="175">
        <v>4160.821319499213</v>
      </c>
      <c r="D10" s="176">
        <v>0.05304377340433697</v>
      </c>
      <c r="E10" s="176">
        <v>0.08369513594514788</v>
      </c>
      <c r="F10" s="145"/>
      <c r="G10" s="58"/>
      <c r="H10" s="175">
        <v>4389.230885079453</v>
      </c>
      <c r="I10" s="176">
        <v>-0.023934659596308028</v>
      </c>
    </row>
    <row r="11" spans="1:9" ht="14.25">
      <c r="A11" s="59" t="str">
        <f>HLOOKUP(INDICE!$F$2,Nombres!$C$3:$D$636,157,FALSE)</f>
        <v>Peruvian sol</v>
      </c>
      <c r="B11" s="59"/>
      <c r="C11" s="175">
        <v>4.118470999998545</v>
      </c>
      <c r="D11" s="176">
        <v>0.07124294428598144</v>
      </c>
      <c r="E11" s="176">
        <v>0.09372216048103699</v>
      </c>
      <c r="F11" s="145"/>
      <c r="G11" s="58"/>
      <c r="H11" s="175">
        <v>4.265103000000446</v>
      </c>
      <c r="I11" s="176">
        <v>0.034095073436365864</v>
      </c>
    </row>
    <row r="12" spans="1:9" ht="14.25">
      <c r="A12" s="59" t="str">
        <f>HLOOKUP(INDICE!$F$2,Nombres!$C$3:$D$636,158,FALSE)</f>
        <v>Turkish lira</v>
      </c>
      <c r="B12" s="59"/>
      <c r="C12" s="175">
        <v>16.282300000026623</v>
      </c>
      <c r="D12" s="176">
        <v>-0.40272565915148884</v>
      </c>
      <c r="E12" s="176">
        <v>-0.0644135042390912</v>
      </c>
      <c r="F12" s="145"/>
      <c r="G12" s="58"/>
      <c r="H12" s="175">
        <v>15.672472999913435</v>
      </c>
      <c r="I12" s="176">
        <v>-0.43113100274265115</v>
      </c>
    </row>
    <row r="13" spans="1:9" ht="14.25">
      <c r="A13" s="99"/>
      <c r="B13" s="99"/>
      <c r="D13" s="178"/>
      <c r="E13" s="178"/>
      <c r="F13" s="178"/>
      <c r="G13" s="178"/>
      <c r="H13" s="99"/>
      <c r="I13" s="99"/>
    </row>
    <row r="14" spans="1:9" ht="14.25">
      <c r="A14" s="99"/>
      <c r="B14" s="99"/>
      <c r="C14" s="179"/>
      <c r="D14" s="178"/>
      <c r="E14" s="178"/>
      <c r="F14" s="178"/>
      <c r="G14" s="178"/>
      <c r="H14" s="99"/>
      <c r="I14" s="99"/>
    </row>
    <row r="15" spans="1:9" ht="14.25">
      <c r="A15" s="117" t="str">
        <f>HLOOKUP(INDICE!$F$2,Nombres!$C$3:$D$636,159,FALSE)</f>
        <v>(*) Used in the constant euros comparisons for the balance sheet and business activity</v>
      </c>
      <c r="B15" s="117"/>
      <c r="C15" s="129"/>
      <c r="D15" s="129"/>
      <c r="E15" s="129"/>
      <c r="F15" s="178"/>
      <c r="G15" s="178"/>
      <c r="H15" s="99"/>
      <c r="I15" s="99"/>
    </row>
    <row r="16" spans="1:9" ht="14.25">
      <c r="A16" s="117" t="str">
        <f>HLOOKUP(INDICE!$F$2,Nombres!$C$3:$D$636,160,FALSE)</f>
        <v>(**) Used in the constant euros comparisons for the profit and loss</v>
      </c>
      <c r="B16" s="117"/>
      <c r="C16" s="129"/>
      <c r="D16" s="129"/>
      <c r="E16" s="129"/>
      <c r="F16" s="178"/>
      <c r="G16" s="178"/>
      <c r="H16" s="99"/>
      <c r="I16" s="99"/>
    </row>
    <row r="17" ht="14.25">
      <c r="A17" s="117" t="str">
        <f>HLOOKUP(INDICE!$F$2,Nombres!$C$3:$D$636,256,FALSE)</f>
        <v>(1) According to IAS 29 "Financial information in hyperinflationary economies", the year-end exchange rate is used for the conversion of the Argentina income statement. </v>
      </c>
    </row>
    <row r="20" ht="14.25">
      <c r="D20" s="178"/>
    </row>
    <row r="25" spans="3:5" ht="14.25">
      <c r="C25" s="297"/>
      <c r="D25" s="297"/>
      <c r="E25" s="297"/>
    </row>
    <row r="27" ht="14.25">
      <c r="E27" s="297"/>
    </row>
    <row r="1000" ht="14.25">
      <c r="A1000" t="s">
        <v>392</v>
      </c>
    </row>
  </sheetData>
  <sheetProtection/>
  <mergeCells count="2">
    <mergeCell ref="C3:E3"/>
    <mergeCell ref="H3:I3"/>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G1" sqref="G1:I16384"/>
    </sheetView>
  </sheetViews>
  <sheetFormatPr defaultColWidth="11.421875" defaultRowHeight="15"/>
  <cols>
    <col min="1" max="1" width="42.421875" style="209" customWidth="1"/>
    <col min="2" max="2" width="13.57421875" style="209" bestFit="1" customWidth="1"/>
    <col min="3" max="4" width="11.421875" style="209" customWidth="1"/>
    <col min="5" max="5" width="11.7109375" style="209" bestFit="1" customWidth="1"/>
    <col min="6" max="6" width="11.421875" style="209" customWidth="1"/>
    <col min="7" max="9" width="11.421875" style="209" hidden="1" customWidth="1"/>
    <col min="10" max="10" width="4.7109375" style="208" customWidth="1"/>
    <col min="11" max="11" width="11.421875" style="209" customWidth="1"/>
    <col min="12" max="12" width="11.7109375" style="209" bestFit="1" customWidth="1"/>
    <col min="13" max="16384" width="11.421875" style="209" customWidth="1"/>
  </cols>
  <sheetData>
    <row r="1" spans="1:12" ht="16.5">
      <c r="A1" s="206" t="str">
        <f>HLOOKUP(INDICE!$F$2,Nombres!$C$3:$D$636,113,FALSE)</f>
        <v>Breakdown of performing loans under management</v>
      </c>
      <c r="B1" s="207"/>
      <c r="C1" s="207"/>
      <c r="D1" s="207"/>
      <c r="E1" s="207"/>
      <c r="F1" s="207"/>
      <c r="G1" s="207"/>
      <c r="H1" s="207"/>
      <c r="I1" s="207"/>
      <c r="L1" s="210"/>
    </row>
    <row r="2" spans="1:12" ht="14.25">
      <c r="A2" s="211" t="str">
        <f>HLOOKUP(INDICE!$F$2,Nombres!$C$3:$D$636,73,FALSE)</f>
        <v>(Constant million euros)    </v>
      </c>
      <c r="B2" s="210"/>
      <c r="C2" s="210"/>
      <c r="D2" s="210"/>
      <c r="E2" s="210"/>
      <c r="F2" s="210"/>
      <c r="L2" s="210"/>
    </row>
    <row r="3" spans="1:12" ht="14.25">
      <c r="A3" s="212"/>
      <c r="B3" s="210"/>
      <c r="C3" s="210"/>
      <c r="D3" s="210"/>
      <c r="E3" s="210"/>
      <c r="F3" s="210"/>
      <c r="L3" s="210"/>
    </row>
    <row r="4" spans="1:9" ht="15.75" customHeight="1">
      <c r="A4" s="213"/>
      <c r="B4" s="308" t="str">
        <f>HLOOKUP(INDICE!$F$2,Nombres!$C$3:$D$636,7,FALSE)</f>
        <v>Spain</v>
      </c>
      <c r="C4" s="308"/>
      <c r="D4" s="308"/>
      <c r="E4" s="308"/>
      <c r="F4" s="308"/>
      <c r="G4" s="308"/>
      <c r="H4" s="308"/>
      <c r="I4" s="308"/>
    </row>
    <row r="5" spans="1:12" ht="14.25">
      <c r="A5" s="214"/>
      <c r="B5" s="121">
        <f>+España!B30</f>
        <v>44286</v>
      </c>
      <c r="C5" s="121">
        <f>+España!C30</f>
        <v>44377</v>
      </c>
      <c r="D5" s="121">
        <f>+España!D30</f>
        <v>44469</v>
      </c>
      <c r="E5" s="121">
        <f>+España!E30</f>
        <v>44561</v>
      </c>
      <c r="F5" s="121">
        <f>+España!F30</f>
        <v>44651</v>
      </c>
      <c r="G5" s="121">
        <f>+España!G30</f>
        <v>44742</v>
      </c>
      <c r="H5" s="121">
        <f>+España!H30</f>
        <v>44834</v>
      </c>
      <c r="I5" s="121">
        <f>+España!I30</f>
        <v>44926</v>
      </c>
      <c r="L5" s="121"/>
    </row>
    <row r="6" spans="1:14" ht="14.25">
      <c r="A6" s="215" t="str">
        <f>HLOOKUP(INDICE!$F$2,Nombres!$C$3:$D$636,209,FALSE)</f>
        <v>Mortages</v>
      </c>
      <c r="B6" s="216">
        <v>69627.90255</v>
      </c>
      <c r="C6" s="216">
        <v>69670.178127</v>
      </c>
      <c r="D6" s="216">
        <v>69522.5832</v>
      </c>
      <c r="E6" s="216">
        <v>69478.950925</v>
      </c>
      <c r="F6" s="216">
        <v>69407.809482</v>
      </c>
      <c r="G6" s="216">
        <v>0</v>
      </c>
      <c r="H6" s="216">
        <v>0</v>
      </c>
      <c r="I6" s="216">
        <v>0</v>
      </c>
      <c r="L6" s="216"/>
      <c r="N6" s="268"/>
    </row>
    <row r="7" spans="1:14" ht="14.25">
      <c r="A7" s="215" t="str">
        <f>HLOOKUP(INDICE!$F$2,Nombres!$C$3:$D$636,210,FALSE)</f>
        <v>Consumer &amp; Credit Cards</v>
      </c>
      <c r="B7" s="216">
        <v>13943.287111</v>
      </c>
      <c r="C7" s="216">
        <v>14549.699296</v>
      </c>
      <c r="D7" s="216">
        <v>14789.349513000001</v>
      </c>
      <c r="E7" s="216">
        <v>15178.645015000002</v>
      </c>
      <c r="F7" s="216">
        <v>15277.776342000001</v>
      </c>
      <c r="G7" s="216">
        <v>0</v>
      </c>
      <c r="H7" s="216">
        <v>0</v>
      </c>
      <c r="I7" s="216">
        <v>0</v>
      </c>
      <c r="J7" s="298"/>
      <c r="L7" s="216"/>
      <c r="N7" s="268"/>
    </row>
    <row r="8" spans="1:14" ht="14.25">
      <c r="A8" s="215" t="str">
        <f>HLOOKUP(INDICE!$F$2,Nombres!$C$3:$D$636,211,FALSE)</f>
        <v>Very small business</v>
      </c>
      <c r="B8" s="216">
        <v>15357.717637</v>
      </c>
      <c r="C8" s="216">
        <v>15370.643759999999</v>
      </c>
      <c r="D8" s="216">
        <v>15362.27056</v>
      </c>
      <c r="E8" s="216">
        <v>15518.812504999998</v>
      </c>
      <c r="F8" s="216">
        <v>15713.614394000004</v>
      </c>
      <c r="G8" s="216">
        <v>0</v>
      </c>
      <c r="H8" s="216">
        <v>0</v>
      </c>
      <c r="I8" s="216">
        <v>0</v>
      </c>
      <c r="J8" s="298"/>
      <c r="L8" s="216"/>
      <c r="N8" s="268"/>
    </row>
    <row r="9" spans="1:14" ht="14.25">
      <c r="A9" s="215" t="str">
        <f>HLOOKUP(INDICE!$F$2,Nombres!$C$3:$D$636,212,FALSE)</f>
        <v>Mid-size companies</v>
      </c>
      <c r="B9" s="216">
        <v>18358.452911</v>
      </c>
      <c r="C9" s="216">
        <v>18984.634033</v>
      </c>
      <c r="D9" s="216">
        <v>19328.344112</v>
      </c>
      <c r="E9" s="216">
        <v>20049.488617999996</v>
      </c>
      <c r="F9" s="216">
        <v>20906.228528</v>
      </c>
      <c r="G9" s="216">
        <v>0</v>
      </c>
      <c r="H9" s="216">
        <v>0</v>
      </c>
      <c r="I9" s="216">
        <v>0</v>
      </c>
      <c r="J9" s="298"/>
      <c r="L9" s="216"/>
      <c r="N9" s="268"/>
    </row>
    <row r="10" spans="1:14" ht="14.25">
      <c r="A10" s="215" t="str">
        <f>HLOOKUP(INDICE!$F$2,Nombres!$C$3:$D$636,213,FALSE)</f>
        <v>Corporates + CIB</v>
      </c>
      <c r="B10" s="216">
        <v>23286.409966</v>
      </c>
      <c r="C10" s="216">
        <v>22899.869162</v>
      </c>
      <c r="D10" s="216">
        <v>22789.49358037</v>
      </c>
      <c r="E10" s="216">
        <v>24100.984218</v>
      </c>
      <c r="F10" s="216">
        <v>24253.373602000003</v>
      </c>
      <c r="G10" s="216">
        <v>0</v>
      </c>
      <c r="H10" s="216">
        <v>0</v>
      </c>
      <c r="I10" s="216">
        <v>0</v>
      </c>
      <c r="L10" s="216"/>
      <c r="N10" s="268"/>
    </row>
    <row r="11" spans="1:14" ht="14.25">
      <c r="A11" s="215" t="str">
        <f>HLOOKUP(INDICE!$F$2,Nombres!$C$3:$D$636,214,FALSE)</f>
        <v>Public Sector</v>
      </c>
      <c r="B11" s="216">
        <v>13792.066191999998</v>
      </c>
      <c r="C11" s="216">
        <v>15820.083642999998</v>
      </c>
      <c r="D11" s="216">
        <v>13945.046287</v>
      </c>
      <c r="E11" s="216">
        <v>13631.872726999998</v>
      </c>
      <c r="F11" s="216">
        <v>13377.211038999998</v>
      </c>
      <c r="G11" s="216">
        <v>0</v>
      </c>
      <c r="H11" s="216">
        <v>0</v>
      </c>
      <c r="I11" s="216">
        <v>0</v>
      </c>
      <c r="L11" s="216"/>
      <c r="N11" s="268"/>
    </row>
    <row r="12" spans="1:14" ht="15.75" customHeight="1">
      <c r="A12" s="215" t="str">
        <f>HLOOKUP(INDICE!$F$2,Nombres!$C$3:$D$636,215,FALSE)</f>
        <v>Other</v>
      </c>
      <c r="B12" s="216">
        <v>9123.19071299998</v>
      </c>
      <c r="C12" s="216">
        <v>9938.73175499999</v>
      </c>
      <c r="D12" s="216">
        <v>10129.211839999994</v>
      </c>
      <c r="E12" s="216">
        <v>10275.935511999998</v>
      </c>
      <c r="F12" s="216">
        <v>10158.67316299998</v>
      </c>
      <c r="G12" s="216">
        <v>0</v>
      </c>
      <c r="H12" s="216">
        <v>0</v>
      </c>
      <c r="I12" s="216">
        <v>0</v>
      </c>
      <c r="L12" s="216"/>
      <c r="N12" s="268"/>
    </row>
    <row r="13" spans="1:14" ht="14.25">
      <c r="A13" s="217" t="str">
        <f>HLOOKUP(INDICE!$F$2,Nombres!$C$3:$D$636,112,FALSE)</f>
        <v>Performing Loans under management (*)</v>
      </c>
      <c r="B13" s="218">
        <v>163489.02707999997</v>
      </c>
      <c r="C13" s="218">
        <v>167233.83977599998</v>
      </c>
      <c r="D13" s="218">
        <v>165866.29909237</v>
      </c>
      <c r="E13" s="218">
        <v>168234.68951999999</v>
      </c>
      <c r="F13" s="218">
        <v>169094.68654999995</v>
      </c>
      <c r="G13" s="218">
        <v>0</v>
      </c>
      <c r="H13" s="218">
        <v>0</v>
      </c>
      <c r="I13" s="218">
        <v>0</v>
      </c>
      <c r="L13" s="217"/>
      <c r="N13" s="268"/>
    </row>
    <row r="14" spans="1:14" ht="14.25">
      <c r="A14" s="210"/>
      <c r="B14" s="219">
        <f>+SUM(B6:B12)-B13</f>
        <v>0</v>
      </c>
      <c r="C14" s="219">
        <f aca="true" t="shared" si="0" ref="C14:I14">+SUM(C6:C12)-C13</f>
        <v>0</v>
      </c>
      <c r="D14" s="219">
        <f t="shared" si="0"/>
        <v>0</v>
      </c>
      <c r="E14" s="219">
        <f t="shared" si="0"/>
        <v>0</v>
      </c>
      <c r="F14" s="219">
        <f t="shared" si="0"/>
        <v>0</v>
      </c>
      <c r="G14" s="219">
        <f t="shared" si="0"/>
        <v>0</v>
      </c>
      <c r="H14" s="219">
        <f t="shared" si="0"/>
        <v>0</v>
      </c>
      <c r="I14" s="219">
        <f t="shared" si="0"/>
        <v>0</v>
      </c>
      <c r="L14" s="220"/>
      <c r="N14" s="268"/>
    </row>
    <row r="15" spans="1:14" ht="14.25">
      <c r="A15" s="299"/>
      <c r="B15" s="216"/>
      <c r="C15" s="216"/>
      <c r="D15" s="216"/>
      <c r="E15" s="216"/>
      <c r="F15" s="216"/>
      <c r="G15" s="216"/>
      <c r="H15" s="216"/>
      <c r="I15" s="216"/>
      <c r="L15" s="216"/>
      <c r="N15" s="268"/>
    </row>
    <row r="16" spans="1:12" ht="14.25">
      <c r="A16" s="210"/>
      <c r="B16" s="221"/>
      <c r="C16" s="221"/>
      <c r="D16" s="221"/>
      <c r="E16" s="221"/>
      <c r="F16" s="221"/>
      <c r="L16" s="221"/>
    </row>
    <row r="17" spans="1:12" ht="14.25">
      <c r="A17" s="213"/>
      <c r="B17" s="308" t="str">
        <f>HLOOKUP(INDICE!$F$2,Nombres!$C$3:$D$636,204,FALSE)</f>
        <v>Mexico (***)</v>
      </c>
      <c r="C17" s="308"/>
      <c r="D17" s="308"/>
      <c r="E17" s="308"/>
      <c r="F17" s="308"/>
      <c r="G17" s="308"/>
      <c r="H17" s="308"/>
      <c r="I17" s="308"/>
      <c r="L17" s="224"/>
    </row>
    <row r="18" spans="1:12" ht="14.25">
      <c r="A18" s="214"/>
      <c r="B18" s="121">
        <f>+B$5</f>
        <v>44286</v>
      </c>
      <c r="C18" s="121">
        <f aca="true" t="shared" si="1" ref="C18:I18">+C$5</f>
        <v>44377</v>
      </c>
      <c r="D18" s="121">
        <f t="shared" si="1"/>
        <v>44469</v>
      </c>
      <c r="E18" s="121">
        <f t="shared" si="1"/>
        <v>44561</v>
      </c>
      <c r="F18" s="121">
        <f t="shared" si="1"/>
        <v>44651</v>
      </c>
      <c r="G18" s="121">
        <f t="shared" si="1"/>
        <v>44742</v>
      </c>
      <c r="H18" s="121">
        <f t="shared" si="1"/>
        <v>44834</v>
      </c>
      <c r="I18" s="121">
        <f t="shared" si="1"/>
        <v>44926</v>
      </c>
      <c r="L18" s="53"/>
    </row>
    <row r="19" spans="1:14" ht="14.25">
      <c r="A19" s="215" t="str">
        <f>HLOOKUP(INDICE!$F$2,Nombres!$C$3:$D$636,105,FALSE)</f>
        <v>Mortages</v>
      </c>
      <c r="B19" s="216">
        <v>11427.219289962857</v>
      </c>
      <c r="C19" s="216">
        <v>11677.494248260196</v>
      </c>
      <c r="D19" s="216">
        <v>11971.741328927437</v>
      </c>
      <c r="E19" s="216">
        <v>12337.858698074515</v>
      </c>
      <c r="F19" s="216">
        <v>12667.65615826196</v>
      </c>
      <c r="G19" s="216">
        <v>0</v>
      </c>
      <c r="H19" s="216">
        <v>0</v>
      </c>
      <c r="I19" s="216">
        <v>0</v>
      </c>
      <c r="L19" s="216"/>
      <c r="N19" s="268"/>
    </row>
    <row r="20" spans="1:14" ht="14.25">
      <c r="A20" s="215" t="str">
        <f>HLOOKUP(INDICE!$F$2,Nombres!$C$3:$D$636,106,FALSE)</f>
        <v>Consumer</v>
      </c>
      <c r="B20" s="216">
        <v>8071.198902824357</v>
      </c>
      <c r="C20" s="216">
        <v>8165.913991659527</v>
      </c>
      <c r="D20" s="216">
        <v>8346.606219560537</v>
      </c>
      <c r="E20" s="216">
        <v>8422.158141749376</v>
      </c>
      <c r="F20" s="216">
        <v>8759.287952353028</v>
      </c>
      <c r="G20" s="216">
        <v>0</v>
      </c>
      <c r="H20" s="216">
        <v>0</v>
      </c>
      <c r="I20" s="216">
        <v>0</v>
      </c>
      <c r="L20" s="216"/>
      <c r="N20" s="268"/>
    </row>
    <row r="21" spans="1:14" ht="15.75" customHeight="1">
      <c r="A21" s="215" t="str">
        <f>HLOOKUP(INDICE!$F$2,Nombres!$C$3:$D$636,107,FALSE)</f>
        <v>Credit Cards</v>
      </c>
      <c r="B21" s="216">
        <v>4591.964619532719</v>
      </c>
      <c r="C21" s="216">
        <v>4814.446186560116</v>
      </c>
      <c r="D21" s="216">
        <v>4998.804288282645</v>
      </c>
      <c r="E21" s="216">
        <v>5361.086087520936</v>
      </c>
      <c r="F21" s="216">
        <v>5397.976973129287</v>
      </c>
      <c r="G21" s="216">
        <v>0</v>
      </c>
      <c r="H21" s="216">
        <v>0</v>
      </c>
      <c r="I21" s="216">
        <v>0</v>
      </c>
      <c r="L21" s="216"/>
      <c r="N21" s="268"/>
    </row>
    <row r="22" spans="1:14" ht="14.25">
      <c r="A22" s="215" t="str">
        <f>HLOOKUP(INDICE!$F$2,Nombres!$C$3:$D$636,110,FALSE)</f>
        <v>SMEs</v>
      </c>
      <c r="B22" s="216">
        <v>3214.209880575865</v>
      </c>
      <c r="C22" s="216">
        <v>3389.02368502476</v>
      </c>
      <c r="D22" s="216">
        <v>3542.952644872191</v>
      </c>
      <c r="E22" s="216">
        <v>3597.3707916795543</v>
      </c>
      <c r="F22" s="216">
        <v>3848.8070905175477</v>
      </c>
      <c r="G22" s="216">
        <v>0</v>
      </c>
      <c r="H22" s="216">
        <v>0</v>
      </c>
      <c r="I22" s="216">
        <v>0</v>
      </c>
      <c r="L22" s="216"/>
      <c r="N22" s="268"/>
    </row>
    <row r="23" spans="1:14" ht="14.25">
      <c r="A23" s="215" t="str">
        <f>HLOOKUP(INDICE!$F$2,Nombres!$C$3:$D$636,216,FALSE)</f>
        <v>Other Retail</v>
      </c>
      <c r="B23" s="216">
        <v>77.87317950629178</v>
      </c>
      <c r="C23" s="216">
        <v>77.83934529444545</v>
      </c>
      <c r="D23" s="216">
        <v>77.8005853178912</v>
      </c>
      <c r="E23" s="216">
        <v>77.86222912264</v>
      </c>
      <c r="F23" s="216">
        <v>77.80782566410988</v>
      </c>
      <c r="G23" s="216">
        <v>0</v>
      </c>
      <c r="H23" s="216">
        <v>0</v>
      </c>
      <c r="I23" s="216">
        <v>0</v>
      </c>
      <c r="L23" s="216"/>
      <c r="N23" s="268"/>
    </row>
    <row r="24" spans="1:14" ht="14.25">
      <c r="A24" s="215" t="str">
        <f>HLOOKUP(INDICE!$F$2,Nombres!$C$3:$D$636,217,FALSE)</f>
        <v>Other Commercial</v>
      </c>
      <c r="B24" s="216">
        <v>23480.445049998718</v>
      </c>
      <c r="C24" s="216">
        <v>23009.914023423724</v>
      </c>
      <c r="D24" s="216">
        <v>22828.648444408507</v>
      </c>
      <c r="E24" s="216">
        <v>23573.24255425788</v>
      </c>
      <c r="F24" s="216">
        <v>24825.515326722427</v>
      </c>
      <c r="G24" s="216">
        <v>0</v>
      </c>
      <c r="H24" s="216">
        <v>0</v>
      </c>
      <c r="I24" s="216">
        <v>0</v>
      </c>
      <c r="L24" s="216"/>
      <c r="N24" s="268"/>
    </row>
    <row r="25" spans="1:14" ht="14.25">
      <c r="A25" s="215" t="str">
        <f>HLOOKUP(INDICE!$F$2,Nombres!$C$3:$D$636,108,FALSE)</f>
        <v>Public Sector</v>
      </c>
      <c r="B25" s="216">
        <v>5057.294242104269</v>
      </c>
      <c r="C25" s="216">
        <v>5126.0746287685615</v>
      </c>
      <c r="D25" s="216">
        <v>5226.565297609331</v>
      </c>
      <c r="E25" s="216">
        <v>5337.229462667662</v>
      </c>
      <c r="F25" s="216">
        <v>5295.712679547339</v>
      </c>
      <c r="G25" s="216">
        <v>0</v>
      </c>
      <c r="H25" s="216">
        <v>0</v>
      </c>
      <c r="I25" s="216">
        <v>0</v>
      </c>
      <c r="L25" s="216"/>
      <c r="N25" s="268"/>
    </row>
    <row r="26" spans="1:14" ht="14.25">
      <c r="A26" s="217" t="str">
        <f>HLOOKUP(INDICE!$F$2,Nombres!$C$3:$D$636,112,FALSE)</f>
        <v>Performing Loans under management (*)</v>
      </c>
      <c r="B26" s="218">
        <v>55920.205164505074</v>
      </c>
      <c r="C26" s="218">
        <v>56260.70610899133</v>
      </c>
      <c r="D26" s="218">
        <v>56993.11880897854</v>
      </c>
      <c r="E26" s="218">
        <v>58706.80796507256</v>
      </c>
      <c r="F26" s="218">
        <v>60872.7640061957</v>
      </c>
      <c r="G26" s="218">
        <v>0</v>
      </c>
      <c r="H26" s="218">
        <v>0</v>
      </c>
      <c r="I26" s="218">
        <v>0</v>
      </c>
      <c r="J26" s="294"/>
      <c r="L26" s="222"/>
      <c r="N26" s="268"/>
    </row>
    <row r="27" spans="1:14" ht="14.25">
      <c r="A27" s="225" t="str">
        <f>HLOOKUP(INDICE!$F$2,Nombres!$C$3:$D$636,205,FALSE)</f>
        <v>According to Local GAAP(***) </v>
      </c>
      <c r="B27" s="219">
        <f>+SUM(B19:B25)-B26</f>
        <v>0</v>
      </c>
      <c r="C27" s="219">
        <f aca="true" t="shared" si="2" ref="C27:I27">+SUM(C19:C25)-C26</f>
        <v>0</v>
      </c>
      <c r="D27" s="219">
        <f t="shared" si="2"/>
        <v>0</v>
      </c>
      <c r="E27" s="219">
        <f t="shared" si="2"/>
        <v>0</v>
      </c>
      <c r="F27" s="219">
        <f t="shared" si="2"/>
        <v>0</v>
      </c>
      <c r="G27" s="219">
        <f t="shared" si="2"/>
        <v>0</v>
      </c>
      <c r="H27" s="219">
        <f t="shared" si="2"/>
        <v>0</v>
      </c>
      <c r="I27" s="219">
        <f t="shared" si="2"/>
        <v>0</v>
      </c>
      <c r="L27" s="223"/>
      <c r="N27" s="268"/>
    </row>
    <row r="28" spans="1:14" ht="14.25">
      <c r="A28" s="299"/>
      <c r="B28" s="216"/>
      <c r="C28" s="216"/>
      <c r="D28" s="216"/>
      <c r="E28" s="216"/>
      <c r="F28" s="216"/>
      <c r="G28" s="216"/>
      <c r="H28" s="216"/>
      <c r="I28" s="216"/>
      <c r="L28" s="216"/>
      <c r="N28" s="268"/>
    </row>
    <row r="29" spans="2:12" ht="14.25">
      <c r="B29" s="221"/>
      <c r="C29" s="221"/>
      <c r="D29" s="221"/>
      <c r="E29" s="221"/>
      <c r="F29" s="221"/>
      <c r="L29" s="221"/>
    </row>
    <row r="30" spans="1:13" ht="15.75" customHeight="1">
      <c r="A30" s="213"/>
      <c r="B30" s="308" t="str">
        <f>HLOOKUP(INDICE!$F$2,Nombres!$C$3:$D$636,12,FALSE)</f>
        <v>Turkey </v>
      </c>
      <c r="C30" s="308"/>
      <c r="D30" s="308"/>
      <c r="E30" s="308"/>
      <c r="F30" s="308"/>
      <c r="G30" s="308"/>
      <c r="H30" s="308"/>
      <c r="I30" s="308"/>
      <c r="L30" s="226"/>
      <c r="M30" s="226"/>
    </row>
    <row r="31" spans="1:13" ht="14.25">
      <c r="A31" s="214"/>
      <c r="B31" s="121">
        <f>+B$5</f>
        <v>44286</v>
      </c>
      <c r="C31" s="121">
        <f aca="true" t="shared" si="3" ref="C31:I31">+C$5</f>
        <v>44377</v>
      </c>
      <c r="D31" s="121">
        <f t="shared" si="3"/>
        <v>44469</v>
      </c>
      <c r="E31" s="121">
        <f t="shared" si="3"/>
        <v>44561</v>
      </c>
      <c r="F31" s="121">
        <f t="shared" si="3"/>
        <v>44651</v>
      </c>
      <c r="G31" s="121">
        <f t="shared" si="3"/>
        <v>44742</v>
      </c>
      <c r="H31" s="121">
        <f t="shared" si="3"/>
        <v>44834</v>
      </c>
      <c r="I31" s="121">
        <f t="shared" si="3"/>
        <v>44926</v>
      </c>
      <c r="L31" s="53"/>
      <c r="M31" s="226"/>
    </row>
    <row r="32" spans="1:14" ht="14.25">
      <c r="A32" s="215" t="str">
        <f>HLOOKUP(INDICE!$F$2,Nombres!$C$3:$D$636,105,FALSE)</f>
        <v>Mortages</v>
      </c>
      <c r="B32" s="216">
        <v>1381.0507224033743</v>
      </c>
      <c r="C32" s="216">
        <v>1420.0874961197717</v>
      </c>
      <c r="D32" s="216">
        <v>1511.685006015176</v>
      </c>
      <c r="E32" s="216">
        <v>1563.8820803523865</v>
      </c>
      <c r="F32" s="216">
        <v>1550.78462449</v>
      </c>
      <c r="G32" s="216">
        <v>0</v>
      </c>
      <c r="H32" s="216">
        <v>0</v>
      </c>
      <c r="I32" s="216">
        <v>0</v>
      </c>
      <c r="L32" s="216"/>
      <c r="M32" s="226"/>
      <c r="N32" s="268"/>
    </row>
    <row r="33" spans="1:14" ht="14.25">
      <c r="A33" s="215" t="str">
        <f>HLOOKUP(INDICE!$F$2,Nombres!$C$3:$D$636,106,FALSE)</f>
        <v>Consumer</v>
      </c>
      <c r="B33" s="216">
        <v>3479.4485394642297</v>
      </c>
      <c r="C33" s="216">
        <v>3774.3190332281342</v>
      </c>
      <c r="D33" s="216">
        <v>4122.768951014948</v>
      </c>
      <c r="E33" s="216">
        <v>4617.244904213704</v>
      </c>
      <c r="F33" s="216">
        <v>4833.61971925</v>
      </c>
      <c r="G33" s="216">
        <v>0</v>
      </c>
      <c r="H33" s="216">
        <v>0</v>
      </c>
      <c r="I33" s="216">
        <v>0</v>
      </c>
      <c r="L33" s="216"/>
      <c r="M33" s="226"/>
      <c r="N33" s="268"/>
    </row>
    <row r="34" spans="1:14" ht="14.25">
      <c r="A34" s="215" t="str">
        <f>HLOOKUP(INDICE!$F$2,Nombres!$C$3:$D$636,107,FALSE)</f>
        <v>Credit Cards</v>
      </c>
      <c r="B34" s="216">
        <v>1960.6169321897087</v>
      </c>
      <c r="C34" s="216">
        <v>2072.061361233141</v>
      </c>
      <c r="D34" s="216">
        <v>2335.8275105583116</v>
      </c>
      <c r="E34" s="216">
        <v>2633.07533903668</v>
      </c>
      <c r="F34" s="216">
        <v>2938.6339999999996</v>
      </c>
      <c r="G34" s="216">
        <v>0</v>
      </c>
      <c r="H34" s="216">
        <v>0</v>
      </c>
      <c r="I34" s="216">
        <v>0</v>
      </c>
      <c r="L34" s="216"/>
      <c r="M34" s="226"/>
      <c r="N34" s="268"/>
    </row>
    <row r="35" spans="1:14" ht="14.25">
      <c r="A35" s="215" t="str">
        <f>HLOOKUP(INDICE!$F$2,Nombres!$C$3:$D$636,108,FALSE)</f>
        <v>Public Sector</v>
      </c>
      <c r="B35" s="216">
        <v>98.09394864359608</v>
      </c>
      <c r="C35" s="216">
        <v>97.68955209032511</v>
      </c>
      <c r="D35" s="216">
        <v>86.96048244427186</v>
      </c>
      <c r="E35" s="216">
        <v>217.48924356406818</v>
      </c>
      <c r="F35" s="216">
        <v>278.987</v>
      </c>
      <c r="G35" s="216">
        <v>0</v>
      </c>
      <c r="H35" s="216">
        <v>0</v>
      </c>
      <c r="I35" s="216">
        <v>0</v>
      </c>
      <c r="L35" s="216"/>
      <c r="M35" s="226"/>
      <c r="N35" s="268"/>
    </row>
    <row r="36" spans="1:14" ht="14.25">
      <c r="A36" s="215" t="str">
        <f>HLOOKUP(INDICE!$F$2,Nombres!$C$3:$D$636,109,FALSE)</f>
        <v>Financial and Non Financial Companies</v>
      </c>
      <c r="B36" s="216">
        <v>14250.767477564314</v>
      </c>
      <c r="C36" s="216">
        <v>14922.365911821174</v>
      </c>
      <c r="D36" s="216">
        <v>15634.745011087236</v>
      </c>
      <c r="E36" s="216">
        <v>19225.26866480886</v>
      </c>
      <c r="F36" s="216">
        <v>22953.273</v>
      </c>
      <c r="G36" s="216">
        <v>0</v>
      </c>
      <c r="H36" s="216">
        <v>0</v>
      </c>
      <c r="I36" s="216">
        <v>0</v>
      </c>
      <c r="L36" s="215"/>
      <c r="M36" s="226"/>
      <c r="N36" s="268"/>
    </row>
    <row r="37" spans="1:14" ht="14.25">
      <c r="A37" s="215" t="str">
        <f>HLOOKUP(INDICE!$F$2,Nombres!$C$3:$D$636,111,FALSE)</f>
        <v>Others</v>
      </c>
      <c r="B37" s="216">
        <v>407.07339064339465</v>
      </c>
      <c r="C37" s="216">
        <v>425.98120113349296</v>
      </c>
      <c r="D37" s="216">
        <v>451.4421356389524</v>
      </c>
      <c r="E37" s="216">
        <v>380.9541348699789</v>
      </c>
      <c r="F37" s="216">
        <v>423.78665626000054</v>
      </c>
      <c r="G37" s="216">
        <v>0</v>
      </c>
      <c r="H37" s="216">
        <v>0</v>
      </c>
      <c r="I37" s="216">
        <v>0</v>
      </c>
      <c r="L37" s="215"/>
      <c r="M37" s="226"/>
      <c r="N37" s="268"/>
    </row>
    <row r="38" spans="1:14" ht="14.25">
      <c r="A38" s="217" t="str">
        <f>HLOOKUP(INDICE!$F$2,Nombres!$C$3:$D$636,112,FALSE)</f>
        <v>Performing Loans under management (*)</v>
      </c>
      <c r="B38" s="218">
        <v>21577.051010908617</v>
      </c>
      <c r="C38" s="218">
        <v>22712.504555626037</v>
      </c>
      <c r="D38" s="218">
        <v>24143.429096758897</v>
      </c>
      <c r="E38" s="218">
        <v>28637.91436684568</v>
      </c>
      <c r="F38" s="218">
        <v>32979.085</v>
      </c>
      <c r="G38" s="218">
        <v>0</v>
      </c>
      <c r="H38" s="218">
        <v>0</v>
      </c>
      <c r="I38" s="218">
        <v>0</v>
      </c>
      <c r="L38" s="215"/>
      <c r="M38" s="226"/>
      <c r="N38" s="268"/>
    </row>
    <row r="39" spans="1:14" ht="15.75" customHeight="1">
      <c r="A39" s="217"/>
      <c r="B39" s="218"/>
      <c r="C39" s="218"/>
      <c r="D39" s="218"/>
      <c r="E39" s="218"/>
      <c r="F39" s="218"/>
      <c r="G39" s="218"/>
      <c r="H39" s="218"/>
      <c r="I39" s="218"/>
      <c r="L39" s="215"/>
      <c r="M39" s="226"/>
      <c r="N39" s="268"/>
    </row>
    <row r="40" spans="1:13" ht="15.75" customHeight="1">
      <c r="A40" s="217"/>
      <c r="B40" s="218"/>
      <c r="C40" s="218"/>
      <c r="D40" s="218"/>
      <c r="E40" s="218"/>
      <c r="F40" s="218"/>
      <c r="G40" s="218"/>
      <c r="H40" s="218"/>
      <c r="I40" s="218"/>
      <c r="L40" s="215"/>
      <c r="M40" s="226"/>
    </row>
    <row r="41" spans="1:13" ht="14.25">
      <c r="A41" s="217"/>
      <c r="B41" s="218"/>
      <c r="C41" s="218"/>
      <c r="D41" s="218"/>
      <c r="E41" s="218"/>
      <c r="F41" s="218"/>
      <c r="G41" s="218"/>
      <c r="H41" s="218"/>
      <c r="I41" s="218"/>
      <c r="L41" s="215"/>
      <c r="M41" s="226"/>
    </row>
    <row r="42" spans="1:13" ht="15.75" customHeight="1">
      <c r="A42" s="213"/>
      <c r="B42" s="308" t="str">
        <f>HLOOKUP(INDICE!$F$2,Nombres!$C$3:$D$636,296,FALSE)</f>
        <v>Turkey Bank only</v>
      </c>
      <c r="C42" s="308"/>
      <c r="D42" s="308"/>
      <c r="E42" s="308"/>
      <c r="F42" s="308"/>
      <c r="G42" s="308"/>
      <c r="H42" s="308"/>
      <c r="I42" s="308"/>
      <c r="L42" s="226"/>
      <c r="M42" s="226"/>
    </row>
    <row r="43" spans="1:13" ht="14.25">
      <c r="A43" s="214"/>
      <c r="B43" s="121">
        <f>+B$5</f>
        <v>44286</v>
      </c>
      <c r="C43" s="121">
        <f aca="true" t="shared" si="4" ref="C43:I43">+C$5</f>
        <v>44377</v>
      </c>
      <c r="D43" s="121">
        <f t="shared" si="4"/>
        <v>44469</v>
      </c>
      <c r="E43" s="121">
        <f t="shared" si="4"/>
        <v>44561</v>
      </c>
      <c r="F43" s="121">
        <f t="shared" si="4"/>
        <v>44651</v>
      </c>
      <c r="G43" s="121">
        <f t="shared" si="4"/>
        <v>44742</v>
      </c>
      <c r="H43" s="121">
        <f t="shared" si="4"/>
        <v>44834</v>
      </c>
      <c r="I43" s="121">
        <f t="shared" si="4"/>
        <v>44926</v>
      </c>
      <c r="L43" s="53"/>
      <c r="M43" s="226"/>
    </row>
    <row r="44" spans="1:13" ht="14.25">
      <c r="A44" s="215" t="str">
        <f>HLOOKUP(INDICE!$F$2,Nombres!$C$3:$D$636,285,FALSE)</f>
        <v>Retail Loans TL</v>
      </c>
      <c r="B44" s="216">
        <v>7042.136263147531</v>
      </c>
      <c r="C44" s="216">
        <v>7537.828383615582</v>
      </c>
      <c r="D44" s="216">
        <v>8307.182829392468</v>
      </c>
      <c r="E44" s="216">
        <v>8988.45392766237</v>
      </c>
      <c r="F44" s="216">
        <v>9585.687655130112</v>
      </c>
      <c r="G44" s="216">
        <v>0</v>
      </c>
      <c r="H44" s="216">
        <v>0</v>
      </c>
      <c r="I44" s="216">
        <v>0</v>
      </c>
      <c r="L44" s="216"/>
      <c r="M44" s="226"/>
    </row>
    <row r="45" spans="1:14" ht="14.25">
      <c r="A45" s="215" t="str">
        <f>HLOOKUP(INDICE!$F$2,Nombres!$C$3:$D$636,286,FALSE)</f>
        <v>Commercial Loans TL</v>
      </c>
      <c r="B45" s="216">
        <v>6288.180636940108</v>
      </c>
      <c r="C45" s="216">
        <v>6679.980769426313</v>
      </c>
      <c r="D45" s="216">
        <v>7089.480143248192</v>
      </c>
      <c r="E45" s="216">
        <v>7130.592091538067</v>
      </c>
      <c r="F45" s="216">
        <v>9178.470271771175</v>
      </c>
      <c r="G45" s="216">
        <v>0</v>
      </c>
      <c r="H45" s="216">
        <v>0</v>
      </c>
      <c r="I45" s="216">
        <v>0</v>
      </c>
      <c r="L45" s="216"/>
      <c r="M45" s="226"/>
      <c r="N45" s="268"/>
    </row>
    <row r="46" spans="1:14" ht="14.25">
      <c r="A46" s="217" t="str">
        <f>HLOOKUP(INDICE!$F$2,Nombres!$C$3:$D$636,287,FALSE)</f>
        <v>Total Loans TL</v>
      </c>
      <c r="B46" s="218">
        <v>13330.31690008764</v>
      </c>
      <c r="C46" s="218">
        <v>14217.809153041897</v>
      </c>
      <c r="D46" s="218">
        <v>15396.662972640663</v>
      </c>
      <c r="E46" s="218">
        <v>16119.046019200436</v>
      </c>
      <c r="F46" s="218">
        <v>18764.157926901287</v>
      </c>
      <c r="G46" s="218">
        <v>0</v>
      </c>
      <c r="H46" s="218">
        <v>0</v>
      </c>
      <c r="I46" s="218">
        <v>0</v>
      </c>
      <c r="L46" s="216"/>
      <c r="M46" s="226"/>
      <c r="N46" s="268"/>
    </row>
    <row r="47" spans="1:14" ht="14.25">
      <c r="A47" s="217" t="str">
        <f>HLOOKUP(INDICE!$F$2,Nombres!$C$3:$D$636,288,FALSE)</f>
        <v>Total Loans FC</v>
      </c>
      <c r="B47" s="218">
        <v>10606.661827881053</v>
      </c>
      <c r="C47" s="218">
        <v>10562.095553897083</v>
      </c>
      <c r="D47" s="218">
        <v>10303.949102412698</v>
      </c>
      <c r="E47" s="218">
        <v>9728.911150788459</v>
      </c>
      <c r="F47" s="218">
        <v>10053.797655711702</v>
      </c>
      <c r="G47" s="218">
        <v>0</v>
      </c>
      <c r="H47" s="218">
        <v>0</v>
      </c>
      <c r="I47" s="218">
        <v>0</v>
      </c>
      <c r="L47" s="215"/>
      <c r="M47" s="226"/>
      <c r="N47" s="268"/>
    </row>
    <row r="48" spans="1:14" ht="14.25">
      <c r="A48" s="225" t="str">
        <f>HLOOKUP(INDICE!$F$2,Nombres!$C$3:$D$636,295,FALSE)</f>
        <v>(TL Turkish Lira FC Foreign Currency)</v>
      </c>
      <c r="B48" s="219">
        <f>+SUM(B32:B37)-B38</f>
        <v>0</v>
      </c>
      <c r="C48" s="219">
        <f aca="true" t="shared" si="5" ref="C48:I48">+SUM(C32:C37)-C38</f>
        <v>0</v>
      </c>
      <c r="D48" s="219">
        <f t="shared" si="5"/>
        <v>0</v>
      </c>
      <c r="E48" s="219">
        <f t="shared" si="5"/>
        <v>0</v>
      </c>
      <c r="F48" s="219">
        <f t="shared" si="5"/>
        <v>0</v>
      </c>
      <c r="G48" s="219">
        <f t="shared" si="5"/>
        <v>0</v>
      </c>
      <c r="H48" s="219">
        <f t="shared" si="5"/>
        <v>0</v>
      </c>
      <c r="I48" s="219">
        <f t="shared" si="5"/>
        <v>0</v>
      </c>
      <c r="L48" s="217"/>
      <c r="M48" s="226"/>
      <c r="N48" s="268"/>
    </row>
    <row r="49" spans="1:14" ht="14.25">
      <c r="A49" s="210"/>
      <c r="B49" s="220"/>
      <c r="C49" s="220"/>
      <c r="D49" s="220"/>
      <c r="E49" s="220"/>
      <c r="F49" s="220"/>
      <c r="G49" s="220"/>
      <c r="H49" s="220"/>
      <c r="I49" s="220"/>
      <c r="L49" s="220"/>
      <c r="M49" s="226"/>
      <c r="N49" s="268"/>
    </row>
    <row r="50" spans="1:14" ht="14.25">
      <c r="A50" s="210"/>
      <c r="B50" s="220"/>
      <c r="C50" s="220"/>
      <c r="D50" s="220"/>
      <c r="E50" s="220"/>
      <c r="F50" s="220"/>
      <c r="G50" s="220"/>
      <c r="H50" s="220"/>
      <c r="I50" s="220"/>
      <c r="L50" s="220"/>
      <c r="N50" s="268"/>
    </row>
    <row r="51" spans="1:14" ht="15.75" customHeight="1">
      <c r="A51" s="213"/>
      <c r="B51" s="308" t="str">
        <f>HLOOKUP(INDICE!$F$2,Nombres!$C$3:$D$636,283,FALSE)</f>
        <v>South America </v>
      </c>
      <c r="C51" s="308"/>
      <c r="D51" s="308"/>
      <c r="E51" s="308"/>
      <c r="F51" s="308"/>
      <c r="G51" s="308"/>
      <c r="H51" s="308"/>
      <c r="I51" s="308"/>
      <c r="N51" s="268"/>
    </row>
    <row r="52" spans="1:14" ht="14.25">
      <c r="A52" s="214"/>
      <c r="B52" s="121">
        <f>+B$5</f>
        <v>44286</v>
      </c>
      <c r="C52" s="121">
        <f aca="true" t="shared" si="6" ref="C52:I52">+C$5</f>
        <v>44377</v>
      </c>
      <c r="D52" s="121">
        <f t="shared" si="6"/>
        <v>44469</v>
      </c>
      <c r="E52" s="121">
        <f t="shared" si="6"/>
        <v>44561</v>
      </c>
      <c r="F52" s="121">
        <f t="shared" si="6"/>
        <v>44651</v>
      </c>
      <c r="G52" s="121">
        <f t="shared" si="6"/>
        <v>44742</v>
      </c>
      <c r="H52" s="121">
        <f t="shared" si="6"/>
        <v>44834</v>
      </c>
      <c r="I52" s="121">
        <f t="shared" si="6"/>
        <v>44926</v>
      </c>
      <c r="N52" s="268"/>
    </row>
    <row r="53" spans="1:12" ht="14.25">
      <c r="A53" s="215" t="s">
        <v>7</v>
      </c>
      <c r="B53" s="216">
        <v>2402.585098106721</v>
      </c>
      <c r="C53" s="216">
        <v>2563.744872362875</v>
      </c>
      <c r="D53" s="216">
        <v>2755.6565931438336</v>
      </c>
      <c r="E53" s="216">
        <v>3150.1410075151425</v>
      </c>
      <c r="F53" s="216">
        <v>3387.40326067</v>
      </c>
      <c r="G53" s="216">
        <v>0</v>
      </c>
      <c r="H53" s="216">
        <v>0</v>
      </c>
      <c r="I53" s="216">
        <v>0</v>
      </c>
      <c r="L53" s="216"/>
    </row>
    <row r="54" spans="1:12" ht="14.25">
      <c r="A54" s="215" t="s">
        <v>8</v>
      </c>
      <c r="B54" s="216">
        <v>1471.845655742961</v>
      </c>
      <c r="C54" s="216">
        <v>1479.0158860502597</v>
      </c>
      <c r="D54" s="216">
        <v>1493.7260394565355</v>
      </c>
      <c r="E54" s="216">
        <v>1549.545577082968</v>
      </c>
      <c r="F54" s="216">
        <v>1653.7520000000002</v>
      </c>
      <c r="G54" s="216">
        <v>0</v>
      </c>
      <c r="H54" s="216">
        <v>0</v>
      </c>
      <c r="I54" s="216">
        <v>0</v>
      </c>
      <c r="L54" s="216"/>
    </row>
    <row r="55" spans="1:12" ht="15.75" customHeight="1">
      <c r="A55" s="215" t="s">
        <v>9</v>
      </c>
      <c r="B55" s="216">
        <v>11968.217304635533</v>
      </c>
      <c r="C55" s="216">
        <v>12231.559604586158</v>
      </c>
      <c r="D55" s="216">
        <v>12581.282477171362</v>
      </c>
      <c r="E55" s="216">
        <v>13365.933517591046</v>
      </c>
      <c r="F55" s="216">
        <v>14068.58674614</v>
      </c>
      <c r="G55" s="216">
        <v>0</v>
      </c>
      <c r="H55" s="216">
        <v>0</v>
      </c>
      <c r="I55" s="216">
        <v>0</v>
      </c>
      <c r="L55" s="216"/>
    </row>
    <row r="56" spans="1:12" ht="14.25">
      <c r="A56" s="215" t="s">
        <v>10</v>
      </c>
      <c r="B56" s="216">
        <v>16382.640896376335</v>
      </c>
      <c r="C56" s="216">
        <v>17246.71924043945</v>
      </c>
      <c r="D56" s="216">
        <v>16973.309258229485</v>
      </c>
      <c r="E56" s="216">
        <v>17010.065856324563</v>
      </c>
      <c r="F56" s="216">
        <v>16806.482830819998</v>
      </c>
      <c r="G56" s="216">
        <v>0</v>
      </c>
      <c r="H56" s="216">
        <v>0</v>
      </c>
      <c r="I56" s="216">
        <v>0</v>
      </c>
      <c r="L56" s="216"/>
    </row>
    <row r="57" spans="1:14" ht="14.25">
      <c r="A57" s="215" t="s">
        <v>11</v>
      </c>
      <c r="B57" s="216">
        <v>1905.8801832075</v>
      </c>
      <c r="C57" s="216">
        <v>1906.217234234275</v>
      </c>
      <c r="D57" s="216">
        <v>1906.3126053126362</v>
      </c>
      <c r="E57" s="216">
        <v>2143.3847934625305</v>
      </c>
      <c r="F57" s="216">
        <v>2016.0007096600002</v>
      </c>
      <c r="G57" s="216">
        <v>0</v>
      </c>
      <c r="H57" s="216">
        <v>0</v>
      </c>
      <c r="I57" s="216">
        <v>0</v>
      </c>
      <c r="L57" s="216"/>
      <c r="N57" s="268"/>
    </row>
    <row r="58" spans="1:14" ht="14.25">
      <c r="A58" s="217" t="str">
        <f>HLOOKUP(INDICE!$F$2,Nombres!$C$3:$D$636,112,FALSE)</f>
        <v>Performing Loans under management (*)</v>
      </c>
      <c r="B58" s="218">
        <v>34131.16913806905</v>
      </c>
      <c r="C58" s="218">
        <v>35427.25683767301</v>
      </c>
      <c r="D58" s="218">
        <v>35710.28697331386</v>
      </c>
      <c r="E58" s="218">
        <v>37219.07075197624</v>
      </c>
      <c r="F58" s="218">
        <v>37932.22554729</v>
      </c>
      <c r="G58" s="218">
        <v>0</v>
      </c>
      <c r="H58" s="218">
        <v>0</v>
      </c>
      <c r="I58" s="218">
        <v>0</v>
      </c>
      <c r="L58" s="217"/>
      <c r="N58" s="268"/>
    </row>
    <row r="59" spans="1:14" ht="14.25">
      <c r="A59" s="210"/>
      <c r="B59" s="219">
        <f>+SUM(B53:B57)-B58</f>
        <v>0</v>
      </c>
      <c r="C59" s="219">
        <f aca="true" t="shared" si="7" ref="C59:I59">+SUM(C53:C57)-C58</f>
        <v>0</v>
      </c>
      <c r="D59" s="219">
        <f t="shared" si="7"/>
        <v>0</v>
      </c>
      <c r="E59" s="219">
        <f t="shared" si="7"/>
        <v>0</v>
      </c>
      <c r="F59" s="219">
        <f t="shared" si="7"/>
        <v>0</v>
      </c>
      <c r="G59" s="219">
        <f t="shared" si="7"/>
        <v>0</v>
      </c>
      <c r="H59" s="219">
        <f t="shared" si="7"/>
        <v>0</v>
      </c>
      <c r="I59" s="219">
        <f t="shared" si="7"/>
        <v>0</v>
      </c>
      <c r="L59" s="220"/>
      <c r="N59" s="268"/>
    </row>
    <row r="60" spans="1:14" ht="15" customHeight="1">
      <c r="A60" s="210"/>
      <c r="B60" s="210"/>
      <c r="C60" s="210"/>
      <c r="D60" s="210"/>
      <c r="E60" s="210"/>
      <c r="F60" s="210"/>
      <c r="L60" s="210"/>
      <c r="N60" s="268"/>
    </row>
    <row r="61" spans="1:14" ht="15" customHeight="1">
      <c r="A61" s="227" t="str">
        <f>HLOOKUP(INDICE!$F$2,Nombres!$C$3:$D$636,71,FALSE)</f>
        <v>(*) Excluding repos. </v>
      </c>
      <c r="B61" s="210"/>
      <c r="C61" s="210"/>
      <c r="D61" s="210"/>
      <c r="E61" s="210"/>
      <c r="F61" s="210"/>
      <c r="L61" s="210"/>
      <c r="N61" s="268"/>
    </row>
    <row r="62" spans="1:14" ht="15" customHeight="1">
      <c r="A62" s="227" t="str">
        <f>HLOOKUP(INDICE!$F$2,Nombres!$C$3:$D$636,299,FALSE)</f>
        <v>(***) Paraguay excluded </v>
      </c>
      <c r="B62" s="210"/>
      <c r="C62" s="210"/>
      <c r="D62" s="210"/>
      <c r="E62" s="210"/>
      <c r="F62" s="210"/>
      <c r="L62" s="210"/>
      <c r="N62" s="268"/>
    </row>
    <row r="63" spans="1:12" ht="14.25">
      <c r="A63" s="210"/>
      <c r="B63" s="210"/>
      <c r="C63" s="210"/>
      <c r="D63" s="210"/>
      <c r="E63" s="210"/>
      <c r="F63" s="210"/>
      <c r="L63" s="210"/>
    </row>
    <row r="64" spans="1:12" ht="14.25">
      <c r="A64" s="210"/>
      <c r="B64" s="210"/>
      <c r="C64" s="210"/>
      <c r="D64" s="210"/>
      <c r="E64" s="210"/>
      <c r="F64" s="210"/>
      <c r="L64" s="210"/>
    </row>
    <row r="65" spans="1:12" ht="14.25">
      <c r="A65" s="210"/>
      <c r="B65" s="210"/>
      <c r="C65" s="210"/>
      <c r="D65" s="210"/>
      <c r="E65" s="210"/>
      <c r="F65" s="210"/>
      <c r="L65" s="210"/>
    </row>
    <row r="66" spans="1:12" ht="14.25">
      <c r="A66" s="210"/>
      <c r="B66" s="210"/>
      <c r="C66" s="210"/>
      <c r="D66" s="210"/>
      <c r="E66" s="210"/>
      <c r="F66" s="210"/>
      <c r="L66" s="210"/>
    </row>
    <row r="67" spans="1:12" ht="14.25">
      <c r="A67" s="210"/>
      <c r="B67" s="210"/>
      <c r="C67" s="210"/>
      <c r="D67" s="210"/>
      <c r="E67" s="210"/>
      <c r="F67" s="210"/>
      <c r="L67" s="210"/>
    </row>
    <row r="68" spans="1:12" ht="14.25">
      <c r="A68" s="210"/>
      <c r="B68" s="210"/>
      <c r="C68" s="210"/>
      <c r="D68" s="210"/>
      <c r="E68" s="210"/>
      <c r="F68" s="210"/>
      <c r="L68" s="210"/>
    </row>
    <row r="69" spans="1:12" ht="14.25">
      <c r="A69" s="210"/>
      <c r="B69" s="210"/>
      <c r="C69" s="210"/>
      <c r="D69" s="210"/>
      <c r="E69" s="210"/>
      <c r="F69" s="210"/>
      <c r="L69" s="210"/>
    </row>
    <row r="70" spans="1:12" ht="14.25">
      <c r="A70" s="210"/>
      <c r="B70" s="210"/>
      <c r="C70" s="210"/>
      <c r="D70" s="210"/>
      <c r="E70" s="210"/>
      <c r="F70" s="210"/>
      <c r="L70" s="210"/>
    </row>
    <row r="996" ht="14.25">
      <c r="A996" s="209" t="s">
        <v>392</v>
      </c>
    </row>
  </sheetData>
  <sheetProtection/>
  <mergeCells count="5">
    <mergeCell ref="B4:I4"/>
    <mergeCell ref="B17:I17"/>
    <mergeCell ref="B30:I30"/>
    <mergeCell ref="B42:I42"/>
    <mergeCell ref="B51:I51"/>
  </mergeCells>
  <conditionalFormatting sqref="B14:I14">
    <cfRule type="cellIs" priority="6" dxfId="128" operator="notBetween">
      <formula>0.5</formula>
      <formula>-0.5</formula>
    </cfRule>
  </conditionalFormatting>
  <conditionalFormatting sqref="B27:I27">
    <cfRule type="cellIs" priority="5" dxfId="128" operator="notBetween">
      <formula>0.5</formula>
      <formula>-0.5</formula>
    </cfRule>
  </conditionalFormatting>
  <conditionalFormatting sqref="C27:I27">
    <cfRule type="cellIs" priority="4" dxfId="128" operator="notBetween">
      <formula>0.5</formula>
      <formula>-0.5</formula>
    </cfRule>
  </conditionalFormatting>
  <conditionalFormatting sqref="B48">
    <cfRule type="cellIs" priority="3" dxfId="128" operator="notBetween">
      <formula>0.5</formula>
      <formula>-0.5</formula>
    </cfRule>
  </conditionalFormatting>
  <conditionalFormatting sqref="C48:I48">
    <cfRule type="cellIs" priority="2" dxfId="128" operator="notBetween">
      <formula>0.5</formula>
      <formula>-0.5</formula>
    </cfRule>
  </conditionalFormatting>
  <conditionalFormatting sqref="B59:I59">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G1" sqref="G1:I16384"/>
    </sheetView>
  </sheetViews>
  <sheetFormatPr defaultColWidth="11.421875" defaultRowHeight="15"/>
  <cols>
    <col min="1" max="1" width="35.7109375" style="209" customWidth="1"/>
    <col min="2" max="2" width="12.28125" style="209" customWidth="1"/>
    <col min="3" max="6" width="11.421875" style="209" customWidth="1"/>
    <col min="7" max="9" width="11.421875" style="209" hidden="1" customWidth="1"/>
    <col min="10" max="11" width="5.7109375" style="209" customWidth="1"/>
    <col min="12" max="12" width="19.57421875" style="209" customWidth="1"/>
    <col min="13" max="16384" width="11.421875" style="209" customWidth="1"/>
  </cols>
  <sheetData>
    <row r="1" spans="1:9" ht="16.5">
      <c r="A1" s="206" t="str">
        <f>HLOOKUP(INDICE!$F$2,Nombres!$C$3:$D$636,120,FALSE)</f>
        <v>Breakdown of customer funds under management</v>
      </c>
      <c r="B1" s="207"/>
      <c r="C1" s="207"/>
      <c r="D1" s="207"/>
      <c r="E1" s="207"/>
      <c r="F1" s="207"/>
      <c r="G1" s="207"/>
      <c r="H1" s="207"/>
      <c r="I1" s="207"/>
    </row>
    <row r="2" spans="1:6" ht="14.25">
      <c r="A2" s="211" t="str">
        <f>HLOOKUP(INDICE!$F$2,Nombres!$C$3:$D$636,73,FALSE)</f>
        <v>(Constant million euros)    </v>
      </c>
      <c r="B2" s="210"/>
      <c r="C2" s="210"/>
      <c r="D2" s="210"/>
      <c r="E2" s="210"/>
      <c r="F2" s="210"/>
    </row>
    <row r="3" spans="1:12" ht="15.75" customHeight="1">
      <c r="A3" s="213"/>
      <c r="B3" s="308" t="str">
        <f>HLOOKUP(INDICE!$F$2,Nombres!$C$3:$D$636,7,FALSE)</f>
        <v>Spain</v>
      </c>
      <c r="C3" s="308"/>
      <c r="D3" s="308"/>
      <c r="E3" s="308"/>
      <c r="F3" s="308"/>
      <c r="G3" s="308"/>
      <c r="H3" s="308"/>
      <c r="I3" s="308"/>
      <c r="L3" s="228"/>
    </row>
    <row r="4" spans="1:9" ht="14.25">
      <c r="A4" s="214"/>
      <c r="B4" s="121">
        <f>+España!B30</f>
        <v>44286</v>
      </c>
      <c r="C4" s="121">
        <f>+España!C30</f>
        <v>44377</v>
      </c>
      <c r="D4" s="121">
        <f>+España!D30</f>
        <v>44469</v>
      </c>
      <c r="E4" s="121">
        <f>+España!E30</f>
        <v>44561</v>
      </c>
      <c r="F4" s="121">
        <f>+España!F30</f>
        <v>44651</v>
      </c>
      <c r="G4" s="121">
        <f>+España!G30</f>
        <v>44742</v>
      </c>
      <c r="H4" s="121">
        <f>+España!H30</f>
        <v>44834</v>
      </c>
      <c r="I4" s="121">
        <f>+España!I30</f>
        <v>44926</v>
      </c>
    </row>
    <row r="5" spans="1:12" ht="14.25">
      <c r="A5" s="215" t="str">
        <f>HLOOKUP(INDICE!$F$2,Nombres!$C$3:$D$636,114,FALSE)</f>
        <v>Demand deposits</v>
      </c>
      <c r="B5" s="216">
        <v>168710.114432</v>
      </c>
      <c r="C5" s="216">
        <v>176043.216854</v>
      </c>
      <c r="D5" s="216">
        <v>178825.393642</v>
      </c>
      <c r="E5" s="216">
        <v>187799.701281</v>
      </c>
      <c r="F5" s="216">
        <v>189479.81666299998</v>
      </c>
      <c r="G5" s="216">
        <v>0</v>
      </c>
      <c r="H5" s="216">
        <v>0</v>
      </c>
      <c r="I5" s="216">
        <v>0</v>
      </c>
      <c r="L5" s="215"/>
    </row>
    <row r="6" spans="1:12" ht="14.25">
      <c r="A6" s="215" t="str">
        <f>HLOOKUP(INDICE!$F$2,Nombres!$C$3:$D$636,115,FALSE)</f>
        <v>Time deposits</v>
      </c>
      <c r="B6" s="216">
        <v>27294.733647999998</v>
      </c>
      <c r="C6" s="216">
        <v>23537.501437</v>
      </c>
      <c r="D6" s="216">
        <v>20774.126148</v>
      </c>
      <c r="E6" s="216">
        <v>18108.518429</v>
      </c>
      <c r="F6" s="216">
        <v>16447.146971</v>
      </c>
      <c r="G6" s="216">
        <v>0</v>
      </c>
      <c r="H6" s="216">
        <v>0</v>
      </c>
      <c r="I6" s="216">
        <v>0</v>
      </c>
      <c r="L6" s="215"/>
    </row>
    <row r="7" spans="1:12" ht="14.25">
      <c r="A7" s="215" t="str">
        <f>HLOOKUP(INDICE!$F$2,Nombres!$C$3:$D$636,116,FALSE)</f>
        <v>Off balance sheet funds (*)</v>
      </c>
      <c r="B7" s="216">
        <v>85953.18231096</v>
      </c>
      <c r="C7" s="216">
        <v>88987.55831479999</v>
      </c>
      <c r="D7" s="216">
        <v>89922.14088796</v>
      </c>
      <c r="E7" s="216">
        <v>94095.01092594</v>
      </c>
      <c r="F7" s="216">
        <v>90827.85125446998</v>
      </c>
      <c r="G7" s="216">
        <v>0</v>
      </c>
      <c r="H7" s="216">
        <v>0</v>
      </c>
      <c r="I7" s="216">
        <v>0</v>
      </c>
      <c r="L7" s="215"/>
    </row>
    <row r="8" spans="1:12" ht="14.25">
      <c r="A8" s="217" t="str">
        <f>HLOOKUP(INDICE!$F$2,Nombres!$C$3:$D$636,208,FALSE)</f>
        <v>Customer funds under management (**)</v>
      </c>
      <c r="B8" s="217">
        <v>281958.03039096005</v>
      </c>
      <c r="C8" s="217">
        <v>288568.2766058001</v>
      </c>
      <c r="D8" s="217">
        <v>289521.6606779601</v>
      </c>
      <c r="E8" s="217">
        <v>300003.23063594</v>
      </c>
      <c r="F8" s="217">
        <v>296754.81488846993</v>
      </c>
      <c r="G8" s="217">
        <v>0</v>
      </c>
      <c r="H8" s="217">
        <v>0</v>
      </c>
      <c r="I8" s="217">
        <v>0</v>
      </c>
      <c r="L8" s="217"/>
    </row>
    <row r="9" spans="1:12" ht="14.25">
      <c r="A9" s="215" t="str">
        <f>HLOOKUP(INDICE!$F$2,Nombres!$C$3:$D$636,118,FALSE)</f>
        <v>Demand + Time deposits</v>
      </c>
      <c r="B9" s="221">
        <f>+B5+B6</f>
        <v>196004.84808</v>
      </c>
      <c r="C9" s="221">
        <f aca="true" t="shared" si="0" ref="C9:I9">+C5+C6</f>
        <v>199580.718291</v>
      </c>
      <c r="D9" s="221">
        <f t="shared" si="0"/>
        <v>199599.51979000002</v>
      </c>
      <c r="E9" s="221">
        <f t="shared" si="0"/>
        <v>205908.21970999998</v>
      </c>
      <c r="F9" s="221">
        <f t="shared" si="0"/>
        <v>205926.96363399999</v>
      </c>
      <c r="G9" s="258">
        <f t="shared" si="0"/>
        <v>0</v>
      </c>
      <c r="H9" s="258">
        <f t="shared" si="0"/>
        <v>0</v>
      </c>
      <c r="I9" s="258">
        <f t="shared" si="0"/>
        <v>0</v>
      </c>
      <c r="L9" s="210"/>
    </row>
    <row r="10" spans="1:9" ht="14.25">
      <c r="A10" s="210"/>
      <c r="B10" s="219">
        <f>+B5+B6+B7-B8</f>
        <v>0</v>
      </c>
      <c r="C10" s="219">
        <f aca="true" t="shared" si="1" ref="C10:I10">+C5+C6+C7-C8</f>
        <v>0</v>
      </c>
      <c r="D10" s="219">
        <f t="shared" si="1"/>
        <v>0</v>
      </c>
      <c r="E10" s="219">
        <f t="shared" si="1"/>
        <v>0</v>
      </c>
      <c r="F10" s="219">
        <f t="shared" si="1"/>
        <v>0</v>
      </c>
      <c r="G10" s="219">
        <f t="shared" si="1"/>
        <v>0</v>
      </c>
      <c r="H10" s="219">
        <f t="shared" si="1"/>
        <v>0</v>
      </c>
      <c r="I10" s="219">
        <f t="shared" si="1"/>
        <v>0</v>
      </c>
    </row>
    <row r="11" spans="1:9" ht="14.25">
      <c r="A11" s="210"/>
      <c r="B11" s="229"/>
      <c r="C11" s="221"/>
      <c r="D11" s="221"/>
      <c r="E11" s="221"/>
      <c r="F11" s="221"/>
      <c r="G11" s="221"/>
      <c r="H11" s="221"/>
      <c r="I11" s="221"/>
    </row>
    <row r="12" spans="1:12" ht="15.75" customHeight="1">
      <c r="A12" s="213"/>
      <c r="B12" s="308" t="str">
        <f>HLOOKUP(INDICE!$F$2,Nombres!$C$3:$D$636,204,FALSE)</f>
        <v>Mexico (***)</v>
      </c>
      <c r="C12" s="308"/>
      <c r="D12" s="308"/>
      <c r="E12" s="308"/>
      <c r="F12" s="308"/>
      <c r="G12" s="308"/>
      <c r="H12" s="308"/>
      <c r="I12" s="308"/>
      <c r="L12" s="228"/>
    </row>
    <row r="13" spans="1:9" ht="14.25">
      <c r="A13" s="214"/>
      <c r="B13" s="121">
        <f>+B$4</f>
        <v>44286</v>
      </c>
      <c r="C13" s="121">
        <f aca="true" t="shared" si="2" ref="C13:I13">+C$4</f>
        <v>44377</v>
      </c>
      <c r="D13" s="121">
        <f t="shared" si="2"/>
        <v>44469</v>
      </c>
      <c r="E13" s="121">
        <f t="shared" si="2"/>
        <v>44561</v>
      </c>
      <c r="F13" s="121">
        <f t="shared" si="2"/>
        <v>44651</v>
      </c>
      <c r="G13" s="121">
        <f t="shared" si="2"/>
        <v>44742</v>
      </c>
      <c r="H13" s="121">
        <f t="shared" si="2"/>
        <v>44834</v>
      </c>
      <c r="I13" s="121">
        <f t="shared" si="2"/>
        <v>44926</v>
      </c>
    </row>
    <row r="14" spans="1:12" ht="14.25">
      <c r="A14" s="215" t="str">
        <f>HLOOKUP(INDICE!$F$2,Nombres!$C$3:$D$636,114,FALSE)</f>
        <v>Demand deposits</v>
      </c>
      <c r="B14" s="216">
        <v>50332.58514157211</v>
      </c>
      <c r="C14" s="216">
        <v>51086.12361274139</v>
      </c>
      <c r="D14" s="216">
        <v>51948.31279139887</v>
      </c>
      <c r="E14" s="216">
        <v>56113.31670422072</v>
      </c>
      <c r="F14" s="216">
        <v>58776.45288817769</v>
      </c>
      <c r="G14" s="216">
        <v>0</v>
      </c>
      <c r="H14" s="216">
        <v>0</v>
      </c>
      <c r="I14" s="216">
        <v>0</v>
      </c>
      <c r="J14" s="216"/>
      <c r="L14" s="215"/>
    </row>
    <row r="15" spans="1:12" ht="14.25">
      <c r="A15" s="215" t="str">
        <f>HLOOKUP(INDICE!$F$2,Nombres!$C$3:$D$636,115,FALSE)</f>
        <v>Time deposits</v>
      </c>
      <c r="B15" s="216">
        <v>10700.539021632612</v>
      </c>
      <c r="C15" s="216">
        <v>10058.376890513193</v>
      </c>
      <c r="D15" s="216">
        <v>10232.950357659116</v>
      </c>
      <c r="E15" s="216">
        <v>10006.247085754341</v>
      </c>
      <c r="F15" s="216">
        <v>10173.44037507828</v>
      </c>
      <c r="G15" s="216">
        <v>0</v>
      </c>
      <c r="H15" s="216">
        <v>0</v>
      </c>
      <c r="I15" s="216">
        <v>0</v>
      </c>
      <c r="J15" s="216"/>
      <c r="L15" s="215"/>
    </row>
    <row r="16" spans="1:12" ht="14.25">
      <c r="A16" s="215" t="str">
        <f>HLOOKUP(INDICE!$F$2,Nombres!$C$3:$D$636,116,FALSE)</f>
        <v>Off balance sheet funds (*)</v>
      </c>
      <c r="B16" s="216">
        <v>32131.81265848789</v>
      </c>
      <c r="C16" s="216">
        <v>32845.80694913914</v>
      </c>
      <c r="D16" s="216">
        <v>33344.486100338254</v>
      </c>
      <c r="E16" s="216">
        <v>33923.997142767796</v>
      </c>
      <c r="F16" s="216">
        <v>34434.35610422</v>
      </c>
      <c r="G16" s="216">
        <v>0</v>
      </c>
      <c r="H16" s="216">
        <v>0</v>
      </c>
      <c r="I16" s="216">
        <v>0</v>
      </c>
      <c r="J16" s="216"/>
      <c r="L16" s="215"/>
    </row>
    <row r="17" spans="1:12" ht="14.25">
      <c r="A17" s="217" t="str">
        <f>HLOOKUP(INDICE!$F$2,Nombres!$C$3:$D$636,208,FALSE)</f>
        <v>Customer funds under management (**)</v>
      </c>
      <c r="B17" s="217">
        <v>93164.93682169261</v>
      </c>
      <c r="C17" s="217">
        <v>93990.30745239374</v>
      </c>
      <c r="D17" s="217">
        <v>95525.74924939623</v>
      </c>
      <c r="E17" s="217">
        <v>100043.56093274285</v>
      </c>
      <c r="F17" s="217">
        <v>103384.24936747598</v>
      </c>
      <c r="G17" s="217">
        <v>0</v>
      </c>
      <c r="H17" s="217">
        <v>0</v>
      </c>
      <c r="I17" s="217">
        <v>0</v>
      </c>
      <c r="J17" s="216"/>
      <c r="L17" s="215"/>
    </row>
    <row r="18" spans="1:12" ht="14.25">
      <c r="A18" s="215" t="str">
        <f>HLOOKUP(INDICE!$F$2,Nombres!$C$3:$D$636,118,FALSE)</f>
        <v>Demand + Time deposits</v>
      </c>
      <c r="B18" s="221">
        <f>+B14+B15</f>
        <v>61033.124163204724</v>
      </c>
      <c r="C18" s="221">
        <f aca="true" t="shared" si="3" ref="C18:I18">+C14+C15</f>
        <v>61144.50050325458</v>
      </c>
      <c r="D18" s="221">
        <f t="shared" si="3"/>
        <v>62181.26314905799</v>
      </c>
      <c r="E18" s="221">
        <f t="shared" si="3"/>
        <v>66119.56378997506</v>
      </c>
      <c r="F18" s="221">
        <f t="shared" si="3"/>
        <v>68949.89326325597</v>
      </c>
      <c r="G18" s="258">
        <f t="shared" si="3"/>
        <v>0</v>
      </c>
      <c r="H18" s="258">
        <f t="shared" si="3"/>
        <v>0</v>
      </c>
      <c r="I18" s="258">
        <f t="shared" si="3"/>
        <v>0</v>
      </c>
      <c r="J18" s="217"/>
      <c r="L18" s="217"/>
    </row>
    <row r="19" spans="1:9" ht="14.25">
      <c r="A19" s="225" t="str">
        <f>HLOOKUP(INDICE!$F$2,Nombres!$C$3:$D$636,205,FALSE)</f>
        <v>According to Local GAAP(***) </v>
      </c>
      <c r="B19" s="219">
        <f>+B14+B15+B16-B17</f>
        <v>0</v>
      </c>
      <c r="C19" s="219">
        <f aca="true" t="shared" si="4" ref="C19:I19">+C14+C15+C16-C17</f>
        <v>0</v>
      </c>
      <c r="D19" s="219">
        <f t="shared" si="4"/>
        <v>0</v>
      </c>
      <c r="E19" s="219">
        <f t="shared" si="4"/>
        <v>0</v>
      </c>
      <c r="F19" s="219">
        <f t="shared" si="4"/>
        <v>0</v>
      </c>
      <c r="G19" s="219">
        <f t="shared" si="4"/>
        <v>0</v>
      </c>
      <c r="H19" s="219">
        <f t="shared" si="4"/>
        <v>0</v>
      </c>
      <c r="I19" s="219">
        <f t="shared" si="4"/>
        <v>0</v>
      </c>
    </row>
    <row r="20" spans="1:12" ht="14.25">
      <c r="A20" s="210"/>
      <c r="B20" s="221"/>
      <c r="C20" s="221"/>
      <c r="D20" s="221"/>
      <c r="E20" s="221"/>
      <c r="F20" s="221"/>
      <c r="L20" s="228"/>
    </row>
    <row r="21" spans="1:12" ht="15.75" customHeight="1">
      <c r="A21" s="213"/>
      <c r="B21" s="308" t="str">
        <f>HLOOKUP(INDICE!$F$2,Nombres!$C$3:$D$636,12,FALSE)</f>
        <v>Turkey </v>
      </c>
      <c r="C21" s="308"/>
      <c r="D21" s="308"/>
      <c r="E21" s="308"/>
      <c r="F21" s="308"/>
      <c r="G21" s="308"/>
      <c r="H21" s="308"/>
      <c r="I21" s="308"/>
      <c r="L21" s="228"/>
    </row>
    <row r="22" spans="1:9" ht="14.25">
      <c r="A22" s="214"/>
      <c r="B22" s="121">
        <f>+B$4</f>
        <v>44286</v>
      </c>
      <c r="C22" s="121">
        <f aca="true" t="shared" si="5" ref="C22:I22">+C$4</f>
        <v>44377</v>
      </c>
      <c r="D22" s="121">
        <f t="shared" si="5"/>
        <v>44469</v>
      </c>
      <c r="E22" s="121">
        <f t="shared" si="5"/>
        <v>44561</v>
      </c>
      <c r="F22" s="121">
        <f t="shared" si="5"/>
        <v>44651</v>
      </c>
      <c r="G22" s="121">
        <f t="shared" si="5"/>
        <v>44742</v>
      </c>
      <c r="H22" s="121">
        <f t="shared" si="5"/>
        <v>44834</v>
      </c>
      <c r="I22" s="121">
        <f t="shared" si="5"/>
        <v>44926</v>
      </c>
    </row>
    <row r="23" spans="1:12" ht="14.25">
      <c r="A23" s="215" t="str">
        <f>HLOOKUP(INDICE!$F$2,Nombres!$C$3:$D$636,114,FALSE)</f>
        <v>Demand deposits</v>
      </c>
      <c r="B23" s="216">
        <v>11377.038727634084</v>
      </c>
      <c r="C23" s="216">
        <v>12760.359726085333</v>
      </c>
      <c r="D23" s="216">
        <v>13264.862041871302</v>
      </c>
      <c r="E23" s="216">
        <v>20681.993679265517</v>
      </c>
      <c r="F23" s="216">
        <v>22046.839999999997</v>
      </c>
      <c r="G23" s="216">
        <v>0</v>
      </c>
      <c r="H23" s="216">
        <v>0</v>
      </c>
      <c r="I23" s="216">
        <v>0</v>
      </c>
      <c r="L23" s="215"/>
    </row>
    <row r="24" spans="1:12" ht="14.25">
      <c r="A24" s="215" t="str">
        <f>HLOOKUP(INDICE!$F$2,Nombres!$C$3:$D$636,115,FALSE)</f>
        <v>Time deposits</v>
      </c>
      <c r="B24" s="216">
        <v>11371.204551872677</v>
      </c>
      <c r="C24" s="216">
        <v>12503.72070143889</v>
      </c>
      <c r="D24" s="216">
        <v>12843.30865459116</v>
      </c>
      <c r="E24" s="216">
        <v>15183.618270319856</v>
      </c>
      <c r="F24" s="216">
        <v>18108.070999999996</v>
      </c>
      <c r="G24" s="216">
        <v>0</v>
      </c>
      <c r="H24" s="216">
        <v>0</v>
      </c>
      <c r="I24" s="216">
        <v>0</v>
      </c>
      <c r="L24" s="215"/>
    </row>
    <row r="25" spans="1:12" ht="14.25">
      <c r="A25" s="215" t="str">
        <f>HLOOKUP(INDICE!$F$2,Nombres!$C$3:$D$636,116,FALSE)</f>
        <v>Off balance sheet funds (*)</v>
      </c>
      <c r="B25" s="216">
        <v>2190.0509111115516</v>
      </c>
      <c r="C25" s="216">
        <v>2494.5369484045664</v>
      </c>
      <c r="D25" s="216">
        <v>2887.150884873673</v>
      </c>
      <c r="E25" s="216">
        <v>3643.8324673859943</v>
      </c>
      <c r="F25" s="216">
        <v>4421.579</v>
      </c>
      <c r="G25" s="216">
        <v>0</v>
      </c>
      <c r="H25" s="216">
        <v>0</v>
      </c>
      <c r="I25" s="216">
        <v>0</v>
      </c>
      <c r="L25" s="215"/>
    </row>
    <row r="26" spans="1:12" ht="14.25">
      <c r="A26" s="217" t="str">
        <f>HLOOKUP(INDICE!$F$2,Nombres!$C$3:$D$636,208,FALSE)</f>
        <v>Customer funds under management (**)</v>
      </c>
      <c r="B26" s="217">
        <v>24938.294190618315</v>
      </c>
      <c r="C26" s="217">
        <v>27758.61737592879</v>
      </c>
      <c r="D26" s="217">
        <v>28995.32158133614</v>
      </c>
      <c r="E26" s="217">
        <v>39509.44441697136</v>
      </c>
      <c r="F26" s="217">
        <v>44576.49</v>
      </c>
      <c r="G26" s="217">
        <v>0</v>
      </c>
      <c r="H26" s="217">
        <v>0</v>
      </c>
      <c r="I26" s="217">
        <v>0</v>
      </c>
      <c r="L26" s="217"/>
    </row>
    <row r="27" spans="1:9" ht="14.25">
      <c r="A27" s="215" t="str">
        <f>HLOOKUP(INDICE!$F$2,Nombres!$C$3:$D$636,118,FALSE)</f>
        <v>Demand + Time deposits</v>
      </c>
      <c r="B27" s="221">
        <f>+B23+B24</f>
        <v>22748.24327950676</v>
      </c>
      <c r="C27" s="221">
        <f aca="true" t="shared" si="6" ref="C27:I27">+C23+C24</f>
        <v>25264.080427524223</v>
      </c>
      <c r="D27" s="221">
        <f t="shared" si="6"/>
        <v>26108.17069646246</v>
      </c>
      <c r="E27" s="221">
        <f t="shared" si="6"/>
        <v>35865.61194958537</v>
      </c>
      <c r="F27" s="221">
        <f>+F23+F24</f>
        <v>40154.91099999999</v>
      </c>
      <c r="G27" s="258">
        <f t="shared" si="6"/>
        <v>0</v>
      </c>
      <c r="H27" s="258">
        <f t="shared" si="6"/>
        <v>0</v>
      </c>
      <c r="I27" s="258">
        <f t="shared" si="6"/>
        <v>0</v>
      </c>
    </row>
    <row r="28" spans="1:9" ht="14.25">
      <c r="A28" s="210"/>
      <c r="B28" s="219">
        <f>+B23+B24+B25-B26</f>
        <v>0</v>
      </c>
      <c r="C28" s="219">
        <f aca="true" t="shared" si="7" ref="C28:I28">+C23+C24+C25-C26</f>
        <v>0</v>
      </c>
      <c r="D28" s="219">
        <f t="shared" si="7"/>
        <v>0</v>
      </c>
      <c r="E28" s="219">
        <f t="shared" si="7"/>
        <v>0</v>
      </c>
      <c r="F28" s="219">
        <f t="shared" si="7"/>
        <v>0</v>
      </c>
      <c r="G28" s="219">
        <f t="shared" si="7"/>
        <v>0</v>
      </c>
      <c r="H28" s="219">
        <f t="shared" si="7"/>
        <v>0</v>
      </c>
      <c r="I28" s="219">
        <f t="shared" si="7"/>
        <v>0</v>
      </c>
    </row>
    <row r="29" spans="1:9" ht="14.25">
      <c r="A29" s="217"/>
      <c r="B29" s="217"/>
      <c r="C29" s="217"/>
      <c r="D29" s="217"/>
      <c r="E29" s="217"/>
      <c r="F29" s="217"/>
      <c r="G29" s="217"/>
      <c r="H29" s="217"/>
      <c r="I29" s="217"/>
    </row>
    <row r="30" spans="1:12" ht="15.75" customHeight="1">
      <c r="A30" s="213"/>
      <c r="B30" s="308" t="str">
        <f>HLOOKUP(INDICE!$F$2,Nombres!$C$3:$D$636,296,FALSE)</f>
        <v>Turkey Bank only</v>
      </c>
      <c r="C30" s="308"/>
      <c r="D30" s="308"/>
      <c r="E30" s="308"/>
      <c r="F30" s="308"/>
      <c r="G30" s="308"/>
      <c r="H30" s="308"/>
      <c r="I30" s="308"/>
      <c r="L30" s="228"/>
    </row>
    <row r="31" spans="1:9" ht="14.25">
      <c r="A31" s="214"/>
      <c r="B31" s="121">
        <f>+B$4</f>
        <v>44286</v>
      </c>
      <c r="C31" s="121">
        <f aca="true" t="shared" si="8" ref="C31:I31">+C$4</f>
        <v>44377</v>
      </c>
      <c r="D31" s="121">
        <f t="shared" si="8"/>
        <v>44469</v>
      </c>
      <c r="E31" s="121">
        <f t="shared" si="8"/>
        <v>44561</v>
      </c>
      <c r="F31" s="121">
        <f t="shared" si="8"/>
        <v>44651</v>
      </c>
      <c r="G31" s="121">
        <f t="shared" si="8"/>
        <v>44742</v>
      </c>
      <c r="H31" s="121">
        <f t="shared" si="8"/>
        <v>44834</v>
      </c>
      <c r="I31" s="121">
        <f t="shared" si="8"/>
        <v>44926</v>
      </c>
    </row>
    <row r="32" spans="1:9" ht="14.25">
      <c r="A32" s="215" t="str">
        <f>HLOOKUP(INDICE!$F$2,Nombres!$C$3:$D$636,289,FALSE)</f>
        <v>Demand Deposits TL</v>
      </c>
      <c r="B32" s="216">
        <v>2428.0703756582325</v>
      </c>
      <c r="C32" s="216">
        <v>2708.6641342801704</v>
      </c>
      <c r="D32" s="216">
        <v>2864.3923300927995</v>
      </c>
      <c r="E32" s="216">
        <v>3127.59876098033</v>
      </c>
      <c r="F32" s="216">
        <v>3685.838165437929</v>
      </c>
      <c r="G32" s="216">
        <v>0</v>
      </c>
      <c r="H32" s="216">
        <v>0</v>
      </c>
      <c r="I32" s="216">
        <v>0</v>
      </c>
    </row>
    <row r="33" spans="1:9" ht="14.25">
      <c r="A33" s="215" t="str">
        <f>HLOOKUP(INDICE!$F$2,Nombres!$C$3:$D$636,290,FALSE)</f>
        <v>Total Time Deposits TL</v>
      </c>
      <c r="B33" s="216">
        <v>6421.5685261332865</v>
      </c>
      <c r="C33" s="216">
        <v>7390.461151403671</v>
      </c>
      <c r="D33" s="216">
        <v>7604.470701254738</v>
      </c>
      <c r="E33" s="216">
        <v>7762.527672912303</v>
      </c>
      <c r="F33" s="216">
        <v>10302.69238419511</v>
      </c>
      <c r="G33" s="216">
        <v>0</v>
      </c>
      <c r="H33" s="216">
        <v>0</v>
      </c>
      <c r="I33" s="216">
        <v>0</v>
      </c>
    </row>
    <row r="34" spans="1:9" ht="14.25">
      <c r="A34" s="217" t="str">
        <f>HLOOKUP(INDICE!$F$2,Nombres!$C$3:$D$636,291,FALSE)</f>
        <v>Total Deposits TL</v>
      </c>
      <c r="B34" s="217">
        <v>8849.638901791519</v>
      </c>
      <c r="C34" s="217">
        <v>10099.12528568384</v>
      </c>
      <c r="D34" s="217">
        <v>10468.863031347537</v>
      </c>
      <c r="E34" s="217">
        <v>10890.126433892634</v>
      </c>
      <c r="F34" s="217">
        <v>13988.53054963304</v>
      </c>
      <c r="G34" s="217">
        <v>0</v>
      </c>
      <c r="H34" s="217">
        <v>0</v>
      </c>
      <c r="I34" s="217">
        <v>0</v>
      </c>
    </row>
    <row r="35" spans="1:9" ht="14.25">
      <c r="A35" s="215" t="str">
        <f>HLOOKUP(INDICE!$F$2,Nombres!$C$3:$D$636,292,FALSE)</f>
        <v>Demand Deposits FC</v>
      </c>
      <c r="B35" s="216">
        <v>11286.24390573306</v>
      </c>
      <c r="C35" s="216">
        <v>11647.030972091172</v>
      </c>
      <c r="D35" s="216">
        <v>12460.706157855626</v>
      </c>
      <c r="E35" s="216">
        <v>14314.562316453254</v>
      </c>
      <c r="F35" s="216">
        <v>13839.618395867063</v>
      </c>
      <c r="G35" s="216">
        <v>0</v>
      </c>
      <c r="H35" s="216">
        <v>0</v>
      </c>
      <c r="I35" s="216">
        <v>0</v>
      </c>
    </row>
    <row r="36" spans="1:9" ht="14.25">
      <c r="A36" s="215" t="str">
        <f>HLOOKUP(INDICE!$F$2,Nombres!$C$3:$D$636,293,FALSE)</f>
        <v>Total Time Deposits FC</v>
      </c>
      <c r="B36" s="216">
        <v>9009.63999866769</v>
      </c>
      <c r="C36" s="216">
        <v>9299.523933337523</v>
      </c>
      <c r="D36" s="216">
        <v>8809.210499681525</v>
      </c>
      <c r="E36" s="216">
        <v>8483.709529116482</v>
      </c>
      <c r="F36" s="216">
        <v>7348.033010258605</v>
      </c>
      <c r="G36" s="216">
        <v>0</v>
      </c>
      <c r="H36" s="216">
        <v>0</v>
      </c>
      <c r="I36" s="216">
        <v>0</v>
      </c>
    </row>
    <row r="37" spans="1:9" ht="14.25">
      <c r="A37" s="217" t="str">
        <f>HLOOKUP(INDICE!$F$2,Nombres!$C$3:$D$636,294,FALSE)</f>
        <v>Total Deposits FC</v>
      </c>
      <c r="B37" s="217">
        <v>20295.88390440075</v>
      </c>
      <c r="C37" s="217">
        <v>20946.554905428697</v>
      </c>
      <c r="D37" s="217">
        <v>21269.916657537153</v>
      </c>
      <c r="E37" s="217">
        <v>22798.271845569736</v>
      </c>
      <c r="F37" s="217">
        <v>21187.651406125668</v>
      </c>
      <c r="G37" s="217">
        <v>0</v>
      </c>
      <c r="H37" s="217">
        <v>0</v>
      </c>
      <c r="I37" s="217">
        <v>0</v>
      </c>
    </row>
    <row r="38" spans="1:9" ht="14.25">
      <c r="A38" s="225" t="str">
        <f>HLOOKUP(INDICE!$F$2,Nombres!$C$3:$D$636,295,FALSE)</f>
        <v>(TL Turkish Lira FC Foreign Currency)</v>
      </c>
      <c r="B38" s="217"/>
      <c r="C38" s="217"/>
      <c r="D38" s="217"/>
      <c r="E38" s="217"/>
      <c r="F38" s="217"/>
      <c r="G38" s="217"/>
      <c r="H38" s="217"/>
      <c r="I38" s="217"/>
    </row>
    <row r="39" spans="1:9" ht="15.75" customHeight="1">
      <c r="A39" s="217"/>
      <c r="B39" s="217"/>
      <c r="C39" s="217"/>
      <c r="D39" s="217"/>
      <c r="E39" s="217"/>
      <c r="F39" s="217"/>
      <c r="G39" s="217"/>
      <c r="H39" s="217"/>
      <c r="I39" s="217"/>
    </row>
    <row r="40" spans="1:12" ht="15.75" customHeight="1">
      <c r="A40" s="213"/>
      <c r="B40" s="308" t="str">
        <f>HLOOKUP(INDICE!$F$2,Nombres!$C$3:$D$636,283,FALSE)</f>
        <v>South America </v>
      </c>
      <c r="C40" s="308"/>
      <c r="D40" s="308"/>
      <c r="E40" s="308"/>
      <c r="F40" s="308"/>
      <c r="G40" s="308"/>
      <c r="H40" s="308"/>
      <c r="I40" s="308"/>
      <c r="L40" s="228"/>
    </row>
    <row r="41" spans="1:9" ht="14.25">
      <c r="A41" s="214"/>
      <c r="B41" s="121">
        <f>+B$4</f>
        <v>44286</v>
      </c>
      <c r="C41" s="121">
        <f aca="true" t="shared" si="9" ref="C41:I41">+C$4</f>
        <v>44377</v>
      </c>
      <c r="D41" s="121">
        <f t="shared" si="9"/>
        <v>44469</v>
      </c>
      <c r="E41" s="121">
        <f t="shared" si="9"/>
        <v>44561</v>
      </c>
      <c r="F41" s="121">
        <f t="shared" si="9"/>
        <v>44651</v>
      </c>
      <c r="G41" s="121">
        <f t="shared" si="9"/>
        <v>44742</v>
      </c>
      <c r="H41" s="121">
        <f t="shared" si="9"/>
        <v>44834</v>
      </c>
      <c r="I41" s="121">
        <f t="shared" si="9"/>
        <v>44926</v>
      </c>
    </row>
    <row r="42" spans="1:12" ht="14.25">
      <c r="A42" s="215" t="s">
        <v>7</v>
      </c>
      <c r="B42" s="216">
        <v>5283.106288562184</v>
      </c>
      <c r="C42" s="216">
        <v>6184.68494666124</v>
      </c>
      <c r="D42" s="216">
        <v>6672.937949559603</v>
      </c>
      <c r="E42" s="216">
        <v>7370.921903845775</v>
      </c>
      <c r="F42" s="216">
        <v>8452.060765499999</v>
      </c>
      <c r="G42" s="216">
        <v>0</v>
      </c>
      <c r="H42" s="216">
        <v>0</v>
      </c>
      <c r="I42" s="216">
        <v>0</v>
      </c>
      <c r="L42" s="215"/>
    </row>
    <row r="43" spans="1:12" ht="14.25">
      <c r="A43" s="215" t="s">
        <v>8</v>
      </c>
      <c r="B43" s="216">
        <v>5.196605427545297</v>
      </c>
      <c r="C43" s="216">
        <v>7.1858391149699345</v>
      </c>
      <c r="D43" s="216">
        <v>6.796812700076252</v>
      </c>
      <c r="E43" s="216">
        <v>8.214549233534331</v>
      </c>
      <c r="F43" s="216">
        <v>15.479</v>
      </c>
      <c r="G43" s="216">
        <v>0</v>
      </c>
      <c r="H43" s="216">
        <v>0</v>
      </c>
      <c r="I43" s="216">
        <v>0</v>
      </c>
      <c r="L43" s="215"/>
    </row>
    <row r="44" spans="1:12" ht="14.25">
      <c r="A44" s="215" t="s">
        <v>9</v>
      </c>
      <c r="B44" s="216">
        <v>13866.662104636329</v>
      </c>
      <c r="C44" s="216">
        <v>14428.929768862454</v>
      </c>
      <c r="D44" s="216">
        <v>14441.895385619287</v>
      </c>
      <c r="E44" s="216">
        <v>16460.320357736284</v>
      </c>
      <c r="F44" s="216">
        <v>16026.63110601</v>
      </c>
      <c r="G44" s="216">
        <v>0</v>
      </c>
      <c r="H44" s="216">
        <v>0</v>
      </c>
      <c r="I44" s="216">
        <v>0</v>
      </c>
      <c r="L44" s="215"/>
    </row>
    <row r="45" spans="1:12" ht="14.25">
      <c r="A45" s="215" t="s">
        <v>10</v>
      </c>
      <c r="B45" s="216">
        <v>18873.137014225227</v>
      </c>
      <c r="C45" s="216">
        <v>18222.49690749718</v>
      </c>
      <c r="D45" s="216">
        <v>18451.70771793063</v>
      </c>
      <c r="E45" s="216">
        <v>17039.047612834558</v>
      </c>
      <c r="F45" s="216">
        <v>16499.75132753</v>
      </c>
      <c r="G45" s="216">
        <v>0</v>
      </c>
      <c r="H45" s="216">
        <v>0</v>
      </c>
      <c r="I45" s="216">
        <v>0</v>
      </c>
      <c r="L45" s="215"/>
    </row>
    <row r="46" spans="1:12" ht="14.25">
      <c r="A46" s="215" t="s">
        <v>11</v>
      </c>
      <c r="B46" s="216">
        <f aca="true" t="shared" si="10" ref="B46:I46">+B47-B45-B44-B43-B42</f>
        <v>13902.218115551157</v>
      </c>
      <c r="C46" s="216">
        <f t="shared" si="10"/>
        <v>14306.076986092703</v>
      </c>
      <c r="D46" s="216">
        <f t="shared" si="10"/>
        <v>14388.392258339154</v>
      </c>
      <c r="E46" s="216">
        <f t="shared" si="10"/>
        <v>14573.934081652511</v>
      </c>
      <c r="F46" s="216">
        <f t="shared" si="10"/>
        <v>14876.799824710011</v>
      </c>
      <c r="G46" s="216">
        <f t="shared" si="10"/>
        <v>0</v>
      </c>
      <c r="H46" s="216">
        <f t="shared" si="10"/>
        <v>0</v>
      </c>
      <c r="I46" s="216">
        <f t="shared" si="10"/>
        <v>0</v>
      </c>
      <c r="L46" s="215"/>
    </row>
    <row r="47" spans="1:12" ht="14.25">
      <c r="A47" s="217" t="str">
        <f>HLOOKUP(INDICE!$F$2,Nombres!$C$3:$D$636,208,FALSE)</f>
        <v>Customer funds under management (**)</v>
      </c>
      <c r="B47" s="217">
        <v>51930.32012840244</v>
      </c>
      <c r="C47" s="217">
        <v>53149.37444822855</v>
      </c>
      <c r="D47" s="217">
        <v>53961.73012414875</v>
      </c>
      <c r="E47" s="217">
        <v>55452.438505302656</v>
      </c>
      <c r="F47" s="217">
        <v>55870.72202375001</v>
      </c>
      <c r="G47" s="217">
        <v>0</v>
      </c>
      <c r="H47" s="217">
        <v>0</v>
      </c>
      <c r="I47" s="217">
        <v>0</v>
      </c>
      <c r="L47" s="217"/>
    </row>
    <row r="48" spans="1:9" ht="14.25">
      <c r="A48" s="210"/>
      <c r="B48" s="219">
        <f>+B42+B43+B44+B45+B46-B47</f>
        <v>0</v>
      </c>
      <c r="C48" s="219">
        <f aca="true" t="shared" si="11" ref="C48:I48">+C42+C43+C44+C45+C46-C47</f>
        <v>0</v>
      </c>
      <c r="D48" s="219">
        <f t="shared" si="11"/>
        <v>0</v>
      </c>
      <c r="E48" s="219">
        <f t="shared" si="11"/>
        <v>0</v>
      </c>
      <c r="F48" s="219">
        <f t="shared" si="11"/>
        <v>0</v>
      </c>
      <c r="G48" s="219">
        <f t="shared" si="11"/>
        <v>0</v>
      </c>
      <c r="H48" s="219">
        <f t="shared" si="11"/>
        <v>0</v>
      </c>
      <c r="I48" s="219">
        <f t="shared" si="11"/>
        <v>0</v>
      </c>
    </row>
    <row r="51" ht="14.25">
      <c r="A51" s="227" t="str">
        <f>HLOOKUP(INDICE!$F$2,Nombres!$C$3:$D$636,206,FALSE)</f>
        <v>Includes investment funds, managed portfolios, pension funds and other off-balance sheet funds. (*) </v>
      </c>
    </row>
    <row r="52" ht="14.25">
      <c r="A52" s="227" t="str">
        <f>HLOOKUP(INDICE!$F$2,Nombres!$C$3:$D$636,207,FALSE)</f>
        <v>Excluding repos  (**)</v>
      </c>
    </row>
    <row r="53" ht="14.25">
      <c r="A53" s="227"/>
    </row>
    <row r="1001" ht="14.25">
      <c r="A1001" s="209" t="s">
        <v>392</v>
      </c>
    </row>
  </sheetData>
  <sheetProtection/>
  <mergeCells count="5">
    <mergeCell ref="B3:I3"/>
    <mergeCell ref="B12:I12"/>
    <mergeCell ref="B21:I21"/>
    <mergeCell ref="B30:I30"/>
    <mergeCell ref="B40:I40"/>
  </mergeCells>
  <conditionalFormatting sqref="B10:I10">
    <cfRule type="cellIs" priority="4" dxfId="128" operator="notBetween">
      <formula>0.5</formula>
      <formula>-0.5</formula>
    </cfRule>
  </conditionalFormatting>
  <conditionalFormatting sqref="B19:I19">
    <cfRule type="cellIs" priority="3" dxfId="128" operator="notBetween">
      <formula>0.5</formula>
      <formula>-0.5</formula>
    </cfRule>
  </conditionalFormatting>
  <conditionalFormatting sqref="B28:I28">
    <cfRule type="cellIs" priority="2" dxfId="128" operator="notBetween">
      <formula>0.5</formula>
      <formula>-0.5</formula>
    </cfRule>
  </conditionalFormatting>
  <conditionalFormatting sqref="B48:I4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N17" sqref="N17"/>
    </sheetView>
  </sheetViews>
  <sheetFormatPr defaultColWidth="11.421875" defaultRowHeight="15"/>
  <cols>
    <col min="1" max="1" width="33.7109375" style="0" customWidth="1"/>
    <col min="7" max="9" width="0" style="0" hidden="1" customWidth="1"/>
  </cols>
  <sheetData>
    <row r="1" spans="1:9" ht="16.5">
      <c r="A1" s="259" t="str">
        <f>HLOOKUP(INDICE!$F$2,Nombres!$C$3:$D$636,242,FALSE)</f>
        <v>ALCO Portfolio</v>
      </c>
      <c r="B1" s="207"/>
      <c r="C1" s="207"/>
      <c r="D1" s="207"/>
      <c r="E1" s="207"/>
      <c r="F1" s="207"/>
      <c r="G1" s="207"/>
      <c r="H1" s="207"/>
      <c r="I1" s="207"/>
    </row>
    <row r="2" spans="1:9" ht="14.25">
      <c r="A2" s="84" t="str">
        <f>HLOOKUP(INDICE!$F$2,Nombres!$C$3:$D$636,32,FALSE)</f>
        <v>(Million euros)</v>
      </c>
      <c r="B2" s="210"/>
      <c r="C2" s="210"/>
      <c r="D2" s="210"/>
      <c r="E2" s="210"/>
      <c r="F2" s="210"/>
      <c r="G2" s="209"/>
      <c r="H2" s="209"/>
      <c r="I2" s="209"/>
    </row>
    <row r="3" spans="1:9" ht="14.25">
      <c r="A3" s="212"/>
      <c r="B3" s="210"/>
      <c r="C3" s="210"/>
      <c r="D3" s="210"/>
      <c r="E3" s="210"/>
      <c r="F3" s="210"/>
      <c r="G3" s="209"/>
      <c r="H3" s="209"/>
      <c r="I3" s="209"/>
    </row>
    <row r="4" spans="1:9" ht="15.75" customHeight="1">
      <c r="A4" s="213"/>
      <c r="B4" s="309" t="str">
        <f>HLOOKUP(INDICE!$F$2,Nombres!$C$3:$D$636,239,FALSE)</f>
        <v>Total ALCO Portfolio</v>
      </c>
      <c r="C4" s="308"/>
      <c r="D4" s="308"/>
      <c r="E4" s="308"/>
      <c r="F4" s="308"/>
      <c r="G4" s="308"/>
      <c r="H4" s="308"/>
      <c r="I4" s="308"/>
    </row>
    <row r="5" spans="1:9" ht="14.25">
      <c r="A5" s="214"/>
      <c r="B5" s="121">
        <f>+España!B30</f>
        <v>44286</v>
      </c>
      <c r="C5" s="121">
        <f>+España!C30</f>
        <v>44377</v>
      </c>
      <c r="D5" s="121">
        <f>+España!D30</f>
        <v>44469</v>
      </c>
      <c r="E5" s="121">
        <v>44561</v>
      </c>
      <c r="F5" s="121">
        <f>+España!F30</f>
        <v>44651</v>
      </c>
      <c r="G5" s="121">
        <f>+España!G30</f>
        <v>44742</v>
      </c>
      <c r="H5" s="121">
        <f>+España!H30</f>
        <v>44834</v>
      </c>
      <c r="I5" s="121">
        <f>+España!I30</f>
        <v>44926</v>
      </c>
    </row>
    <row r="6" spans="1:9" ht="14.25">
      <c r="A6" s="260" t="str">
        <f>HLOOKUP(INDICE!$F$2,Nombres!$C$3:$D$636,230,FALSE)</f>
        <v>BBVA Group</v>
      </c>
      <c r="B6" s="218">
        <v>47683</v>
      </c>
      <c r="C6" s="218">
        <v>48674</v>
      </c>
      <c r="D6" s="218">
        <v>47667</v>
      </c>
      <c r="E6" s="218">
        <v>45403</v>
      </c>
      <c r="F6" s="218">
        <v>51977</v>
      </c>
      <c r="G6" s="218">
        <v>0</v>
      </c>
      <c r="H6" s="218">
        <v>0</v>
      </c>
      <c r="I6" s="218">
        <v>0</v>
      </c>
    </row>
    <row r="7" spans="1:9" ht="14.25">
      <c r="A7" s="261" t="str">
        <f>HLOOKUP(INDICE!$F$2,Nombres!$C$3:$D$636,231,FALSE)</f>
        <v>Euro Balance</v>
      </c>
      <c r="B7" s="216">
        <v>26943</v>
      </c>
      <c r="C7" s="216">
        <v>28156</v>
      </c>
      <c r="D7" s="216">
        <v>26923</v>
      </c>
      <c r="E7" s="216">
        <v>25768</v>
      </c>
      <c r="F7" s="216">
        <v>28795</v>
      </c>
      <c r="G7" s="216">
        <v>0</v>
      </c>
      <c r="H7" s="216">
        <v>0</v>
      </c>
      <c r="I7" s="216">
        <v>0</v>
      </c>
    </row>
    <row r="8" spans="1:9" ht="14.25">
      <c r="A8" s="262" t="str">
        <f>HLOOKUP(INDICE!$F$2,Nombres!$C$3:$D$636,232,FALSE)</f>
        <v>Spain</v>
      </c>
      <c r="B8" s="216">
        <v>14739</v>
      </c>
      <c r="C8" s="216">
        <v>14642</v>
      </c>
      <c r="D8" s="216">
        <v>14628</v>
      </c>
      <c r="E8" s="216">
        <v>14616</v>
      </c>
      <c r="F8" s="216">
        <v>16867</v>
      </c>
      <c r="G8" s="216">
        <v>0</v>
      </c>
      <c r="H8" s="216">
        <v>0</v>
      </c>
      <c r="I8" s="216">
        <v>0</v>
      </c>
    </row>
    <row r="9" spans="1:9" ht="14.25">
      <c r="A9" s="262" t="str">
        <f>HLOOKUP(INDICE!$F$2,Nombres!$C$3:$D$636,233,FALSE)</f>
        <v>Italy</v>
      </c>
      <c r="B9" s="216">
        <v>7054</v>
      </c>
      <c r="C9" s="216">
        <v>8704</v>
      </c>
      <c r="D9" s="216">
        <v>8691</v>
      </c>
      <c r="E9" s="216">
        <v>8268</v>
      </c>
      <c r="F9" s="216">
        <v>8254</v>
      </c>
      <c r="G9" s="216">
        <v>0</v>
      </c>
      <c r="H9" s="216">
        <v>0</v>
      </c>
      <c r="I9" s="216">
        <v>0</v>
      </c>
    </row>
    <row r="10" spans="1:9" ht="14.25">
      <c r="A10" s="263" t="str">
        <f>HLOOKUP(INDICE!$F$2,Nombres!$C$3:$D$636,234,FALSE)</f>
        <v>Rest</v>
      </c>
      <c r="B10" s="264">
        <v>5150</v>
      </c>
      <c r="C10" s="264">
        <v>4810</v>
      </c>
      <c r="D10" s="264">
        <v>3604</v>
      </c>
      <c r="E10" s="264">
        <v>2883</v>
      </c>
      <c r="F10" s="264">
        <v>3674</v>
      </c>
      <c r="G10" s="264">
        <v>0</v>
      </c>
      <c r="H10" s="264">
        <v>0</v>
      </c>
      <c r="I10" s="264">
        <v>0</v>
      </c>
    </row>
    <row r="11" spans="1:9" ht="14.25">
      <c r="A11" s="261" t="str">
        <f>HLOOKUP(INDICE!$F$2,Nombres!$C$3:$D$636,236,FALSE)</f>
        <v>Turkey</v>
      </c>
      <c r="B11" s="216">
        <v>6718</v>
      </c>
      <c r="C11" s="216">
        <v>6602</v>
      </c>
      <c r="D11" s="216">
        <v>6982</v>
      </c>
      <c r="E11" s="216">
        <v>5511</v>
      </c>
      <c r="F11" s="264">
        <v>6704</v>
      </c>
      <c r="G11" s="216">
        <v>0</v>
      </c>
      <c r="H11" s="216">
        <v>0</v>
      </c>
      <c r="I11" s="216">
        <v>0</v>
      </c>
    </row>
    <row r="12" spans="1:9" ht="14.25">
      <c r="A12" s="261" t="str">
        <f>HLOOKUP(INDICE!$F$2,Nombres!$C$3:$D$636,237,FALSE)</f>
        <v>Mexico</v>
      </c>
      <c r="B12" s="216">
        <v>10038</v>
      </c>
      <c r="C12" s="216">
        <v>9848</v>
      </c>
      <c r="D12" s="216">
        <v>9767</v>
      </c>
      <c r="E12" s="216">
        <v>10119</v>
      </c>
      <c r="F12" s="264">
        <v>10501</v>
      </c>
      <c r="G12" s="216">
        <v>0</v>
      </c>
      <c r="H12" s="216">
        <v>0</v>
      </c>
      <c r="I12" s="216">
        <v>0</v>
      </c>
    </row>
    <row r="13" spans="1:9" ht="14.25">
      <c r="A13" s="261" t="str">
        <f>HLOOKUP(INDICE!$F$2,Nombres!$C$3:$D$636,238,FALSE)</f>
        <v>South America</v>
      </c>
      <c r="B13" s="216">
        <v>3984</v>
      </c>
      <c r="C13" s="216">
        <v>4068</v>
      </c>
      <c r="D13" s="216">
        <v>3995</v>
      </c>
      <c r="E13" s="216">
        <v>4005</v>
      </c>
      <c r="F13" s="264">
        <v>5977</v>
      </c>
      <c r="G13" s="216">
        <v>0</v>
      </c>
      <c r="H13" s="216">
        <v>0</v>
      </c>
      <c r="I13" s="216">
        <v>0</v>
      </c>
    </row>
    <row r="14" spans="1:9" ht="14.25">
      <c r="A14" s="299"/>
      <c r="B14" s="265">
        <f aca="true" t="shared" si="0" ref="B14:G14">+B6-B8-B9-B10-B11-B12-B13</f>
        <v>0</v>
      </c>
      <c r="C14" s="265">
        <f t="shared" si="0"/>
        <v>0</v>
      </c>
      <c r="D14" s="265">
        <f t="shared" si="0"/>
        <v>0</v>
      </c>
      <c r="E14" s="265">
        <f t="shared" si="0"/>
        <v>1</v>
      </c>
      <c r="F14" s="265">
        <f t="shared" si="0"/>
        <v>0</v>
      </c>
      <c r="G14" s="265">
        <f t="shared" si="0"/>
        <v>0</v>
      </c>
      <c r="H14" s="265">
        <f>+H6-H8-H9-H10-H11-H12-H13</f>
        <v>0</v>
      </c>
      <c r="I14" s="265" t="e">
        <f>+I6-I8-I9-I10-#REF!-I11-I12-I13</f>
        <v>#REF!</v>
      </c>
    </row>
    <row r="15" spans="1:9" ht="14.25">
      <c r="A15" s="299"/>
      <c r="B15" s="265"/>
      <c r="C15" s="265"/>
      <c r="D15" s="265"/>
      <c r="E15" s="265"/>
      <c r="F15" s="265"/>
      <c r="G15" s="265"/>
      <c r="H15" s="265"/>
      <c r="I15" s="265"/>
    </row>
    <row r="16" spans="1:9" ht="14.25">
      <c r="A16" s="299"/>
      <c r="B16" s="265"/>
      <c r="C16" s="265"/>
      <c r="D16" s="265"/>
      <c r="E16" s="265"/>
      <c r="F16" s="265"/>
      <c r="G16" s="265"/>
      <c r="H16" s="265"/>
      <c r="I16" s="265"/>
    </row>
    <row r="17" spans="1:9" ht="15.75" customHeight="1">
      <c r="A17" s="213"/>
      <c r="B17" s="309" t="str">
        <f>HLOOKUP(INDICE!$F$2,Nombres!$C$3:$D$636,240,FALSE)</f>
        <v>ALCO Portfolio Hold to Collect</v>
      </c>
      <c r="C17" s="308"/>
      <c r="D17" s="308"/>
      <c r="E17" s="308"/>
      <c r="F17" s="308"/>
      <c r="G17" s="308"/>
      <c r="H17" s="308"/>
      <c r="I17" s="308"/>
    </row>
    <row r="18" spans="1:9" ht="15.75" customHeight="1">
      <c r="A18" s="214"/>
      <c r="B18" s="121">
        <f aca="true" t="shared" si="1" ref="B18:I18">+B$5</f>
        <v>44286</v>
      </c>
      <c r="C18" s="121">
        <f t="shared" si="1"/>
        <v>44377</v>
      </c>
      <c r="D18" s="121">
        <f t="shared" si="1"/>
        <v>44469</v>
      </c>
      <c r="E18" s="121">
        <f t="shared" si="1"/>
        <v>44561</v>
      </c>
      <c r="F18" s="121">
        <f t="shared" si="1"/>
        <v>44651</v>
      </c>
      <c r="G18" s="121">
        <f t="shared" si="1"/>
        <v>44742</v>
      </c>
      <c r="H18" s="121">
        <f t="shared" si="1"/>
        <v>44834</v>
      </c>
      <c r="I18" s="121">
        <f t="shared" si="1"/>
        <v>44926</v>
      </c>
    </row>
    <row r="19" spans="1:9" ht="14.25">
      <c r="A19" s="260" t="str">
        <f>HLOOKUP(INDICE!$F$2,Nombres!$C$3:$D$636,230,FALSE)</f>
        <v>BBVA Group</v>
      </c>
      <c r="B19" s="218">
        <v>21224</v>
      </c>
      <c r="C19" s="218">
        <v>20435</v>
      </c>
      <c r="D19" s="218">
        <v>20458</v>
      </c>
      <c r="E19" s="218">
        <v>19570</v>
      </c>
      <c r="F19" s="218">
        <v>20629.094219</v>
      </c>
      <c r="G19" s="218">
        <v>0</v>
      </c>
      <c r="H19" s="218">
        <v>0</v>
      </c>
      <c r="I19" s="218">
        <v>0</v>
      </c>
    </row>
    <row r="20" spans="1:9" ht="14.25">
      <c r="A20" s="261" t="str">
        <f>HLOOKUP(INDICE!$F$2,Nombres!$C$3:$D$636,231,FALSE)</f>
        <v>Euro Balance</v>
      </c>
      <c r="B20" s="216">
        <v>14990</v>
      </c>
      <c r="C20" s="216">
        <v>14956</v>
      </c>
      <c r="D20" s="216">
        <v>14937</v>
      </c>
      <c r="E20" s="216">
        <v>14505</v>
      </c>
      <c r="F20" s="216">
        <v>14488.094219</v>
      </c>
      <c r="G20" s="216">
        <v>0</v>
      </c>
      <c r="H20" s="216">
        <v>0</v>
      </c>
      <c r="I20" s="216">
        <v>0</v>
      </c>
    </row>
    <row r="21" spans="1:9" ht="14.25">
      <c r="A21" s="262" t="str">
        <f>HLOOKUP(INDICE!$F$2,Nombres!$C$3:$D$636,232,FALSE)</f>
        <v>Spain</v>
      </c>
      <c r="B21" s="216">
        <v>11223</v>
      </c>
      <c r="C21" s="216">
        <v>11199</v>
      </c>
      <c r="D21" s="216">
        <v>11187</v>
      </c>
      <c r="E21" s="216">
        <v>11178</v>
      </c>
      <c r="F21" s="216">
        <v>11169.094219</v>
      </c>
      <c r="G21" s="216">
        <v>0</v>
      </c>
      <c r="H21" s="216">
        <v>0</v>
      </c>
      <c r="I21" s="216">
        <v>0</v>
      </c>
    </row>
    <row r="22" spans="1:9" ht="14.25">
      <c r="A22" s="262" t="str">
        <f>HLOOKUP(INDICE!$F$2,Nombres!$C$3:$D$636,233,FALSE)</f>
        <v>Italy</v>
      </c>
      <c r="B22" s="216">
        <v>3681</v>
      </c>
      <c r="C22" s="216">
        <v>3676</v>
      </c>
      <c r="D22" s="216">
        <v>3671</v>
      </c>
      <c r="E22" s="216">
        <v>3250</v>
      </c>
      <c r="F22" s="216">
        <v>3245</v>
      </c>
      <c r="G22" s="216">
        <v>0</v>
      </c>
      <c r="H22" s="216">
        <v>0</v>
      </c>
      <c r="I22" s="216">
        <v>0</v>
      </c>
    </row>
    <row r="23" spans="1:9" ht="14.25">
      <c r="A23" s="263" t="str">
        <f>HLOOKUP(INDICE!$F$2,Nombres!$C$3:$D$636,234,FALSE)</f>
        <v>Rest</v>
      </c>
      <c r="B23" s="216">
        <v>86</v>
      </c>
      <c r="C23" s="216">
        <v>81</v>
      </c>
      <c r="D23" s="216">
        <v>79</v>
      </c>
      <c r="E23" s="216">
        <v>77</v>
      </c>
      <c r="F23" s="216">
        <v>74</v>
      </c>
      <c r="G23" s="216">
        <v>0</v>
      </c>
      <c r="H23" s="216">
        <v>0</v>
      </c>
      <c r="I23" s="216">
        <v>0</v>
      </c>
    </row>
    <row r="24" spans="1:9" ht="14.25">
      <c r="A24" s="261" t="str">
        <f>HLOOKUP(INDICE!$F$2,Nombres!$C$3:$D$636,236,FALSE)</f>
        <v>Turkey</v>
      </c>
      <c r="B24" s="216">
        <v>3639</v>
      </c>
      <c r="C24" s="216">
        <v>3326</v>
      </c>
      <c r="D24" s="216">
        <v>3363</v>
      </c>
      <c r="E24" s="216">
        <v>2681</v>
      </c>
      <c r="F24" s="216">
        <v>3641</v>
      </c>
      <c r="G24" s="216">
        <v>0</v>
      </c>
      <c r="H24" s="216">
        <v>0</v>
      </c>
      <c r="I24" s="216">
        <v>0</v>
      </c>
    </row>
    <row r="25" spans="1:9" ht="14.25">
      <c r="A25" s="261" t="str">
        <f>HLOOKUP(INDICE!$F$2,Nombres!$C$3:$D$636,237,FALSE)</f>
        <v>Mexico</v>
      </c>
      <c r="B25" s="216">
        <v>2461</v>
      </c>
      <c r="C25" s="216">
        <v>2001</v>
      </c>
      <c r="D25" s="216">
        <v>1987</v>
      </c>
      <c r="E25" s="216">
        <v>2190</v>
      </c>
      <c r="F25" s="216">
        <v>2294</v>
      </c>
      <c r="G25" s="216">
        <v>0</v>
      </c>
      <c r="H25" s="216">
        <v>0</v>
      </c>
      <c r="I25" s="216">
        <v>0</v>
      </c>
    </row>
    <row r="26" spans="1:9" ht="14.25">
      <c r="A26" s="261" t="str">
        <f>HLOOKUP(INDICE!$F$2,Nombres!$C$3:$D$636,238,FALSE)</f>
        <v>South America</v>
      </c>
      <c r="B26" s="216">
        <v>134</v>
      </c>
      <c r="C26" s="216">
        <v>152</v>
      </c>
      <c r="D26" s="216">
        <v>171</v>
      </c>
      <c r="E26" s="216">
        <v>194</v>
      </c>
      <c r="F26" s="216">
        <v>206</v>
      </c>
      <c r="G26" s="216">
        <v>0</v>
      </c>
      <c r="H26" s="216">
        <v>0</v>
      </c>
      <c r="I26" s="216">
        <v>0</v>
      </c>
    </row>
    <row r="27" spans="1:9" ht="14.25">
      <c r="A27" s="299"/>
      <c r="B27" s="265">
        <f aca="true" t="shared" si="2" ref="B27:G27">+B19-B21-B22-B23-B24-B25-B26</f>
        <v>0</v>
      </c>
      <c r="C27" s="265">
        <f t="shared" si="2"/>
        <v>0</v>
      </c>
      <c r="D27" s="265">
        <f t="shared" si="2"/>
        <v>0</v>
      </c>
      <c r="E27" s="265">
        <f t="shared" si="2"/>
        <v>0</v>
      </c>
      <c r="F27" s="265">
        <f t="shared" si="2"/>
        <v>-1.8189894035458565E-12</v>
      </c>
      <c r="G27" s="265">
        <f t="shared" si="2"/>
        <v>0</v>
      </c>
      <c r="H27" s="265">
        <f>+H19-H21-H22-H23-H24-H25-H26</f>
        <v>0</v>
      </c>
      <c r="I27" s="265" t="e">
        <f>+I19-I21-I22-I23-#REF!-I24-I25-I26</f>
        <v>#REF!</v>
      </c>
    </row>
    <row r="28" spans="1:9" ht="14.25">
      <c r="A28" s="299"/>
      <c r="B28" s="209"/>
      <c r="C28" s="209"/>
      <c r="D28" s="209"/>
      <c r="E28" s="209"/>
      <c r="F28" s="221"/>
      <c r="G28" s="221"/>
      <c r="H28" s="221"/>
      <c r="I28" s="221"/>
    </row>
    <row r="29" spans="1:9" ht="14.25">
      <c r="A29" s="210"/>
      <c r="B29" s="221"/>
      <c r="C29" s="221"/>
      <c r="D29" s="221"/>
      <c r="E29" s="221"/>
      <c r="F29" s="221"/>
      <c r="G29" s="209"/>
      <c r="H29" s="209"/>
      <c r="I29" s="209"/>
    </row>
    <row r="30" spans="1:9" ht="15.75" customHeight="1">
      <c r="A30" s="213"/>
      <c r="B30" s="309" t="str">
        <f>HLOOKUP(INDICE!$F$2,Nombres!$C$3:$D$636,241,FALSE)</f>
        <v>ALCO Portfolio Hold to Collect and Sell</v>
      </c>
      <c r="C30" s="308"/>
      <c r="D30" s="308"/>
      <c r="E30" s="308"/>
      <c r="F30" s="308"/>
      <c r="G30" s="308"/>
      <c r="H30" s="308"/>
      <c r="I30" s="308"/>
    </row>
    <row r="31" spans="1:9" ht="14.25">
      <c r="A31" s="214"/>
      <c r="B31" s="121">
        <f aca="true" t="shared" si="3" ref="B31:I31">+B$5</f>
        <v>44286</v>
      </c>
      <c r="C31" s="121">
        <f t="shared" si="3"/>
        <v>44377</v>
      </c>
      <c r="D31" s="121">
        <f t="shared" si="3"/>
        <v>44469</v>
      </c>
      <c r="E31" s="121">
        <f t="shared" si="3"/>
        <v>44561</v>
      </c>
      <c r="F31" s="121">
        <f t="shared" si="3"/>
        <v>44651</v>
      </c>
      <c r="G31" s="121">
        <f t="shared" si="3"/>
        <v>44742</v>
      </c>
      <c r="H31" s="121">
        <f t="shared" si="3"/>
        <v>44834</v>
      </c>
      <c r="I31" s="121">
        <f t="shared" si="3"/>
        <v>44926</v>
      </c>
    </row>
    <row r="32" spans="1:9" ht="15.75" customHeight="1">
      <c r="A32" s="260" t="str">
        <f>HLOOKUP(INDICE!$F$2,Nombres!$C$3:$D$636,230,FALSE)</f>
        <v>BBVA Group</v>
      </c>
      <c r="B32" s="218">
        <v>26459</v>
      </c>
      <c r="C32" s="218">
        <v>28239</v>
      </c>
      <c r="D32" s="218">
        <v>27209</v>
      </c>
      <c r="E32" s="218">
        <v>25832</v>
      </c>
      <c r="F32" s="218">
        <v>31347.905781</v>
      </c>
      <c r="G32" s="218">
        <v>0</v>
      </c>
      <c r="H32" s="218">
        <v>0</v>
      </c>
      <c r="I32" s="218">
        <v>0</v>
      </c>
    </row>
    <row r="33" spans="1:9" ht="14.25">
      <c r="A33" s="215" t="str">
        <f>HLOOKUP(INDICE!$F$2,Nombres!$C$3:$D$636,231,FALSE)</f>
        <v>Euro Balance</v>
      </c>
      <c r="B33" s="216">
        <v>11953</v>
      </c>
      <c r="C33" s="216">
        <v>13200</v>
      </c>
      <c r="D33" s="216">
        <v>11986</v>
      </c>
      <c r="E33" s="216">
        <v>11263</v>
      </c>
      <c r="F33" s="216">
        <v>14306.905781000001</v>
      </c>
      <c r="G33" s="216">
        <v>0</v>
      </c>
      <c r="H33" s="216">
        <v>0</v>
      </c>
      <c r="I33" s="216">
        <v>0</v>
      </c>
    </row>
    <row r="34" spans="1:9" ht="14.25">
      <c r="A34" s="263" t="str">
        <f>HLOOKUP(INDICE!$F$2,Nombres!$C$3:$D$636,232,FALSE)</f>
        <v>Spain</v>
      </c>
      <c r="B34" s="216">
        <v>3516</v>
      </c>
      <c r="C34" s="216">
        <v>3443</v>
      </c>
      <c r="D34" s="216">
        <v>3441</v>
      </c>
      <c r="E34" s="216">
        <v>3438</v>
      </c>
      <c r="F34" s="216">
        <v>5697.905781</v>
      </c>
      <c r="G34" s="216">
        <v>0</v>
      </c>
      <c r="H34" s="216">
        <v>0</v>
      </c>
      <c r="I34" s="216">
        <v>0</v>
      </c>
    </row>
    <row r="35" spans="1:9" ht="14.25">
      <c r="A35" s="263" t="str">
        <f>HLOOKUP(INDICE!$F$2,Nombres!$C$3:$D$636,233,FALSE)</f>
        <v>Italy</v>
      </c>
      <c r="B35" s="216">
        <v>3373</v>
      </c>
      <c r="C35" s="216">
        <v>5028</v>
      </c>
      <c r="D35" s="216">
        <v>5020</v>
      </c>
      <c r="E35" s="216">
        <v>5018</v>
      </c>
      <c r="F35" s="216">
        <v>5009</v>
      </c>
      <c r="G35" s="216">
        <v>0</v>
      </c>
      <c r="H35" s="216">
        <v>0</v>
      </c>
      <c r="I35" s="216">
        <v>0</v>
      </c>
    </row>
    <row r="36" spans="1:9" ht="14.25">
      <c r="A36" s="263" t="str">
        <f>HLOOKUP(INDICE!$F$2,Nombres!$C$3:$D$636,234,FALSE)</f>
        <v>Rest</v>
      </c>
      <c r="B36" s="216">
        <v>5064</v>
      </c>
      <c r="C36" s="216">
        <v>4729</v>
      </c>
      <c r="D36" s="216">
        <v>3525</v>
      </c>
      <c r="E36" s="216">
        <v>2806</v>
      </c>
      <c r="F36" s="216">
        <v>3600</v>
      </c>
      <c r="G36" s="216">
        <v>0</v>
      </c>
      <c r="H36" s="216">
        <v>0</v>
      </c>
      <c r="I36" s="216">
        <v>0</v>
      </c>
    </row>
    <row r="37" spans="1:9" ht="14.25">
      <c r="A37" s="215" t="str">
        <f>HLOOKUP(INDICE!$F$2,Nombres!$C$3:$D$636,236,FALSE)</f>
        <v>Turkey</v>
      </c>
      <c r="B37" s="216">
        <v>3079</v>
      </c>
      <c r="C37" s="216">
        <v>3276</v>
      </c>
      <c r="D37" s="216">
        <v>3619</v>
      </c>
      <c r="E37" s="216">
        <v>2830</v>
      </c>
      <c r="F37" s="216">
        <v>3063</v>
      </c>
      <c r="G37" s="216">
        <v>0</v>
      </c>
      <c r="H37" s="216">
        <v>0</v>
      </c>
      <c r="I37" s="216">
        <v>0</v>
      </c>
    </row>
    <row r="38" spans="1:9" ht="14.25">
      <c r="A38" s="215" t="str">
        <f>HLOOKUP(INDICE!$F$2,Nombres!$C$3:$D$636,237,FALSE)</f>
        <v>Mexico</v>
      </c>
      <c r="B38" s="216">
        <v>7577</v>
      </c>
      <c r="C38" s="216">
        <v>7847</v>
      </c>
      <c r="D38" s="216">
        <v>7780</v>
      </c>
      <c r="E38" s="216">
        <v>7929</v>
      </c>
      <c r="F38" s="216">
        <v>8207</v>
      </c>
      <c r="G38" s="216">
        <v>0</v>
      </c>
      <c r="H38" s="216">
        <v>0</v>
      </c>
      <c r="I38" s="216">
        <v>0</v>
      </c>
    </row>
    <row r="39" spans="1:9" ht="14.25">
      <c r="A39" s="215" t="str">
        <f>HLOOKUP(INDICE!$F$2,Nombres!$C$3:$D$636,238,FALSE)</f>
        <v>South America</v>
      </c>
      <c r="B39" s="216">
        <v>3850</v>
      </c>
      <c r="C39" s="216">
        <v>3916</v>
      </c>
      <c r="D39" s="216">
        <v>3824</v>
      </c>
      <c r="E39" s="216">
        <v>3811</v>
      </c>
      <c r="F39" s="216">
        <v>5771</v>
      </c>
      <c r="G39" s="216">
        <v>0</v>
      </c>
      <c r="H39" s="216">
        <v>0</v>
      </c>
      <c r="I39" s="216">
        <v>0</v>
      </c>
    </row>
    <row r="40" spans="2:9" ht="14.25">
      <c r="B40" s="265">
        <f aca="true" t="shared" si="4" ref="B40:G40">+B32-B34-B35-B36-B37-B38-B39</f>
        <v>0</v>
      </c>
      <c r="C40" s="265">
        <f t="shared" si="4"/>
        <v>0</v>
      </c>
      <c r="D40" s="265">
        <f t="shared" si="4"/>
        <v>0</v>
      </c>
      <c r="E40" s="265">
        <f t="shared" si="4"/>
        <v>0</v>
      </c>
      <c r="F40" s="265">
        <f t="shared" si="4"/>
        <v>0</v>
      </c>
      <c r="G40" s="265">
        <f t="shared" si="4"/>
        <v>0</v>
      </c>
      <c r="H40" s="265">
        <f>+H32-H34-H35-H36-H37-H38-H39</f>
        <v>0</v>
      </c>
      <c r="I40" s="265" t="e">
        <f>+I32-I34-I35-I36-#REF!-I37-I38-I39</f>
        <v>#REF!</v>
      </c>
    </row>
    <row r="997" ht="14.25">
      <c r="A997" s="209" t="s">
        <v>392</v>
      </c>
    </row>
  </sheetData>
  <sheetProtection/>
  <mergeCells count="3">
    <mergeCell ref="B4:I4"/>
    <mergeCell ref="B17:I17"/>
    <mergeCell ref="B30:I30"/>
  </mergeCells>
  <conditionalFormatting sqref="B14:D16 F14:I16">
    <cfRule type="cellIs" priority="6" dxfId="128" operator="notBetween">
      <formula>1</formula>
      <formula>-1</formula>
    </cfRule>
  </conditionalFormatting>
  <conditionalFormatting sqref="B27:D27 F27:I27">
    <cfRule type="cellIs" priority="5" dxfId="128" operator="notBetween">
      <formula>1</formula>
      <formula>-1</formula>
    </cfRule>
  </conditionalFormatting>
  <conditionalFormatting sqref="B40:D40 F40:I40">
    <cfRule type="cellIs" priority="4" dxfId="128" operator="notBetween">
      <formula>1</formula>
      <formula>-1</formula>
    </cfRule>
  </conditionalFormatting>
  <conditionalFormatting sqref="E14:E16">
    <cfRule type="cellIs" priority="3" dxfId="128" operator="notBetween">
      <formula>1</formula>
      <formula>-1</formula>
    </cfRule>
  </conditionalFormatting>
  <conditionalFormatting sqref="E27">
    <cfRule type="cellIs" priority="2" dxfId="128" operator="notBetween">
      <formula>1</formula>
      <formula>-1</formula>
    </cfRule>
  </conditionalFormatting>
  <conditionalFormatting sqref="E40">
    <cfRule type="cellIs" priority="1" dxfId="128" operator="notBetween">
      <formula>1</formula>
      <formula>-1</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3"/>
  <sheetViews>
    <sheetView showGridLines="0" zoomScale="80" zoomScaleNormal="80" zoomScalePageLayoutView="0" workbookViewId="0" topLeftCell="A1">
      <selection activeCell="A35" sqref="A35:I35"/>
    </sheetView>
  </sheetViews>
  <sheetFormatPr defaultColWidth="11.421875" defaultRowHeight="15"/>
  <cols>
    <col min="1" max="1" width="109.00390625" style="31" customWidth="1"/>
    <col min="2" max="4" width="11.421875" style="31" customWidth="1"/>
    <col min="5" max="5" width="10.421875" style="31" customWidth="1"/>
    <col min="6" max="6" width="11.421875" style="31" customWidth="1"/>
    <col min="7" max="7" width="11.8515625" style="31" hidden="1" customWidth="1"/>
    <col min="8" max="9" width="11.57421875" style="31" hidden="1" customWidth="1"/>
    <col min="10" max="16384" width="11.421875" style="31" customWidth="1"/>
  </cols>
  <sheetData>
    <row r="1" spans="1:9" ht="16.5">
      <c r="A1" s="29" t="str">
        <f>HLOOKUP(INDICE!$F$2,Nombres!$C$3:$D$636,91,FALSE)</f>
        <v>BBVA Group. Consolidated Income statement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3">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3450.8750000400005</v>
      </c>
      <c r="C8" s="41">
        <v>3504.2920000000004</v>
      </c>
      <c r="D8" s="41">
        <v>3752.5249999600005</v>
      </c>
      <c r="E8" s="42">
        <v>3978.2929999499997</v>
      </c>
      <c r="F8" s="41">
        <v>4158.0599999</v>
      </c>
      <c r="G8" s="50">
        <v>0</v>
      </c>
      <c r="H8" s="50">
        <v>0</v>
      </c>
      <c r="I8" s="50">
        <v>0</v>
      </c>
    </row>
    <row r="9" spans="1:9" ht="14.25">
      <c r="A9" s="43" t="str">
        <f>HLOOKUP(INDICE!$F$2,Nombres!$C$3:$D$636,34,FALSE)</f>
        <v>Net fees and commissions</v>
      </c>
      <c r="B9" s="44">
        <v>1132.9649999900003</v>
      </c>
      <c r="C9" s="44">
        <v>1181.81500011</v>
      </c>
      <c r="D9" s="44">
        <v>1203.1469999</v>
      </c>
      <c r="E9" s="45">
        <v>1247.10100003</v>
      </c>
      <c r="F9" s="44">
        <v>1240.57499995</v>
      </c>
      <c r="G9" s="44">
        <v>0</v>
      </c>
      <c r="H9" s="44">
        <v>0</v>
      </c>
      <c r="I9" s="44">
        <v>0</v>
      </c>
    </row>
    <row r="10" spans="1:9" ht="14.25">
      <c r="A10" s="43" t="str">
        <f>HLOOKUP(INDICE!$F$2,Nombres!$C$3:$D$636,35,FALSE)</f>
        <v>Net trading income</v>
      </c>
      <c r="B10" s="44">
        <v>581.4600000199999</v>
      </c>
      <c r="C10" s="44">
        <v>502.656</v>
      </c>
      <c r="D10" s="44">
        <v>387.42199997</v>
      </c>
      <c r="E10" s="45">
        <v>438.26500000000004</v>
      </c>
      <c r="F10" s="44">
        <v>579.65499999</v>
      </c>
      <c r="G10" s="44">
        <v>0</v>
      </c>
      <c r="H10" s="44">
        <v>0</v>
      </c>
      <c r="I10" s="44">
        <v>0</v>
      </c>
    </row>
    <row r="11" spans="1:9" ht="14.25">
      <c r="A11" s="43" t="str">
        <f>HLOOKUP(INDICE!$F$2,Nombres!$C$3:$D$636,96,FALSE)</f>
        <v>Dividend income</v>
      </c>
      <c r="B11" s="44">
        <v>5.848999999999975</v>
      </c>
      <c r="C11" s="44">
        <v>119.47300000000004</v>
      </c>
      <c r="D11" s="44">
        <v>4.162999999999932</v>
      </c>
      <c r="E11" s="45">
        <v>46.12000000000009</v>
      </c>
      <c r="F11" s="44">
        <v>3.8320000000000416</v>
      </c>
      <c r="G11" s="44">
        <v>0</v>
      </c>
      <c r="H11" s="44">
        <v>0</v>
      </c>
      <c r="I11" s="44">
        <v>0</v>
      </c>
    </row>
    <row r="12" spans="1:9" ht="14.25">
      <c r="A12" s="43" t="str">
        <f>HLOOKUP(INDICE!$F$2,Nombres!$C$3:$D$636,97,FALSE)</f>
        <v>Share of  profit/loss of invest. in subsidaries, joint ventures and associates</v>
      </c>
      <c r="B12" s="44">
        <v>-5.805</v>
      </c>
      <c r="C12" s="44">
        <v>0.3799999999999988</v>
      </c>
      <c r="D12" s="44">
        <v>3.6560000000000024</v>
      </c>
      <c r="E12" s="45">
        <v>2.5600000000000005</v>
      </c>
      <c r="F12" s="44">
        <v>4.848000000000002</v>
      </c>
      <c r="G12" s="44">
        <v>0</v>
      </c>
      <c r="H12" s="44">
        <v>0</v>
      </c>
      <c r="I12" s="44">
        <v>0</v>
      </c>
    </row>
    <row r="13" spans="1:9" ht="14.25">
      <c r="A13" s="43" t="str">
        <f>HLOOKUP(INDICE!$F$2,Nombres!$C$3:$D$636,98,FALSE)</f>
        <v>Other products and expenses</v>
      </c>
      <c r="B13" s="44">
        <v>-10.609000030000018</v>
      </c>
      <c r="C13" s="44">
        <v>-204.6449999799998</v>
      </c>
      <c r="D13" s="44">
        <v>-20.443999980000083</v>
      </c>
      <c r="E13" s="45">
        <v>-235.4909999700003</v>
      </c>
      <c r="F13" s="44">
        <v>-47.71800001000004</v>
      </c>
      <c r="G13" s="44">
        <v>0</v>
      </c>
      <c r="H13" s="44">
        <v>0</v>
      </c>
      <c r="I13" s="44">
        <v>0</v>
      </c>
    </row>
    <row r="14" spans="1:9" ht="14.25">
      <c r="A14" s="41" t="str">
        <f>HLOOKUP(INDICE!$F$2,Nombres!$C$3:$D$636,37,FALSE)</f>
        <v>Gross income</v>
      </c>
      <c r="B14" s="41">
        <f>+SUM(B8:B13)</f>
        <v>5154.73500002</v>
      </c>
      <c r="C14" s="41">
        <f aca="true" t="shared" si="0" ref="C14:I14">+SUM(C8:C13)</f>
        <v>5103.971000130001</v>
      </c>
      <c r="D14" s="41">
        <f t="shared" si="0"/>
        <v>5330.46899985</v>
      </c>
      <c r="E14" s="42">
        <f t="shared" si="0"/>
        <v>5476.84800001</v>
      </c>
      <c r="F14" s="41">
        <f t="shared" si="0"/>
        <v>5939.2519998299995</v>
      </c>
      <c r="G14" s="50">
        <f t="shared" si="0"/>
        <v>0</v>
      </c>
      <c r="H14" s="50">
        <f t="shared" si="0"/>
        <v>0</v>
      </c>
      <c r="I14" s="50">
        <f t="shared" si="0"/>
        <v>0</v>
      </c>
    </row>
    <row r="15" spans="1:9" ht="14.25">
      <c r="A15" s="43" t="str">
        <f>HLOOKUP(INDICE!$F$2,Nombres!$C$3:$D$636,38,FALSE)</f>
        <v>Operating expenses</v>
      </c>
      <c r="B15" s="44">
        <v>-2304.31200016</v>
      </c>
      <c r="C15" s="44">
        <v>-2293.6229998500003</v>
      </c>
      <c r="D15" s="44">
        <v>-2377.74100017</v>
      </c>
      <c r="E15" s="45">
        <v>-2554.11199977</v>
      </c>
      <c r="F15" s="44">
        <v>-2414.51799997</v>
      </c>
      <c r="G15" s="44">
        <v>0</v>
      </c>
      <c r="H15" s="44">
        <v>0</v>
      </c>
      <c r="I15" s="44">
        <v>0</v>
      </c>
    </row>
    <row r="16" spans="1:9" ht="14.25">
      <c r="A16" s="43" t="str">
        <f>HLOOKUP(INDICE!$F$2,Nombres!$C$3:$D$636,39,FALSE)</f>
        <v>  Administration expenses</v>
      </c>
      <c r="B16" s="44">
        <v>-1995.7850001400002</v>
      </c>
      <c r="C16" s="44">
        <v>-1987.0499998699997</v>
      </c>
      <c r="D16" s="44">
        <v>-2064.1050001699996</v>
      </c>
      <c r="E16" s="45">
        <v>-2248.9999998</v>
      </c>
      <c r="F16" s="44">
        <v>-2108.67999995</v>
      </c>
      <c r="G16" s="44">
        <v>0</v>
      </c>
      <c r="H16" s="44">
        <v>0</v>
      </c>
      <c r="I16" s="44">
        <v>0</v>
      </c>
    </row>
    <row r="17" spans="1:9" ht="14.25">
      <c r="A17" s="46" t="str">
        <f>HLOOKUP(INDICE!$F$2,Nombres!$C$3:$D$636,40,FALSE)</f>
        <v>  Personnel expenses</v>
      </c>
      <c r="B17" s="44">
        <v>-1184.2269999999999</v>
      </c>
      <c r="C17" s="44">
        <v>-1186.75299999</v>
      </c>
      <c r="D17" s="44">
        <v>-1276.17300011</v>
      </c>
      <c r="E17" s="45">
        <v>-1399.30299988</v>
      </c>
      <c r="F17" s="44">
        <v>-1239.86900001</v>
      </c>
      <c r="G17" s="44">
        <v>0</v>
      </c>
      <c r="H17" s="44">
        <v>0</v>
      </c>
      <c r="I17" s="44">
        <v>0</v>
      </c>
    </row>
    <row r="18" spans="1:9" ht="14.25">
      <c r="A18" s="46" t="str">
        <f>HLOOKUP(INDICE!$F$2,Nombres!$C$3:$D$636,41,FALSE)</f>
        <v>  General and administrative expenses</v>
      </c>
      <c r="B18" s="44">
        <v>-811.5580001400001</v>
      </c>
      <c r="C18" s="44">
        <v>-800.29699988</v>
      </c>
      <c r="D18" s="44">
        <v>-787.93200006</v>
      </c>
      <c r="E18" s="45">
        <v>-849.69699992</v>
      </c>
      <c r="F18" s="44">
        <v>-868.8109999400001</v>
      </c>
      <c r="G18" s="44">
        <v>0</v>
      </c>
      <c r="H18" s="44">
        <v>0</v>
      </c>
      <c r="I18" s="44">
        <v>0</v>
      </c>
    </row>
    <row r="19" spans="1:9" ht="14.25">
      <c r="A19" s="43" t="str">
        <f>HLOOKUP(INDICE!$F$2,Nombres!$C$3:$D$636,42,FALSE)</f>
        <v>  Depreciation</v>
      </c>
      <c r="B19" s="44">
        <v>-308.52700001999995</v>
      </c>
      <c r="C19" s="44">
        <v>-306.57299997999996</v>
      </c>
      <c r="D19" s="44">
        <v>-313.636</v>
      </c>
      <c r="E19" s="45">
        <v>-305.11199996999994</v>
      </c>
      <c r="F19" s="44">
        <v>-305.83800002</v>
      </c>
      <c r="G19" s="44">
        <v>0</v>
      </c>
      <c r="H19" s="44">
        <v>0</v>
      </c>
      <c r="I19" s="44">
        <v>0</v>
      </c>
    </row>
    <row r="20" spans="1:9" ht="14.25">
      <c r="A20" s="41" t="str">
        <f>HLOOKUP(INDICE!$F$2,Nombres!$C$3:$D$636,43,FALSE)</f>
        <v>Operating income</v>
      </c>
      <c r="B20" s="41">
        <f>+B14+B15</f>
        <v>2850.4229998600003</v>
      </c>
      <c r="C20" s="41">
        <f aca="true" t="shared" si="1" ref="C20:I20">+C14+C15</f>
        <v>2810.3480002800006</v>
      </c>
      <c r="D20" s="41">
        <f t="shared" si="1"/>
        <v>2952.72799968</v>
      </c>
      <c r="E20" s="42">
        <f t="shared" si="1"/>
        <v>2922.73600024</v>
      </c>
      <c r="F20" s="41">
        <f t="shared" si="1"/>
        <v>3524.7339998599996</v>
      </c>
      <c r="G20" s="50">
        <f t="shared" si="1"/>
        <v>0</v>
      </c>
      <c r="H20" s="50">
        <f t="shared" si="1"/>
        <v>0</v>
      </c>
      <c r="I20" s="50">
        <f t="shared" si="1"/>
        <v>0</v>
      </c>
    </row>
    <row r="21" spans="1:9" ht="14.25">
      <c r="A21" s="43" t="str">
        <f>HLOOKUP(INDICE!$F$2,Nombres!$C$3:$D$636,44,FALSE)</f>
        <v>Impaiment on financial assets not measured at fair value through profit or loss</v>
      </c>
      <c r="B21" s="44">
        <v>-923.2530000599997</v>
      </c>
      <c r="C21" s="44">
        <v>-656.48099991</v>
      </c>
      <c r="D21" s="44">
        <v>-622.39</v>
      </c>
      <c r="E21" s="45">
        <v>-832.1090000400001</v>
      </c>
      <c r="F21" s="44">
        <v>-737.9089999500001</v>
      </c>
      <c r="G21" s="44">
        <v>0</v>
      </c>
      <c r="H21" s="44">
        <v>0</v>
      </c>
      <c r="I21" s="44">
        <v>0</v>
      </c>
    </row>
    <row r="22" spans="1:9" ht="14.25">
      <c r="A22" s="43" t="str">
        <f>HLOOKUP(INDICE!$F$2,Nombres!$C$3:$D$636,247,FALSE)</f>
        <v>Provisions or reversal of provisions</v>
      </c>
      <c r="B22" s="44">
        <v>-151.16800002000002</v>
      </c>
      <c r="C22" s="44">
        <v>-22.92176699000005</v>
      </c>
      <c r="D22" s="44">
        <v>-50.1979999899999</v>
      </c>
      <c r="E22" s="45">
        <v>-39.6770000200001</v>
      </c>
      <c r="F22" s="44">
        <v>-48.441999970000026</v>
      </c>
      <c r="G22" s="44">
        <v>0</v>
      </c>
      <c r="H22" s="44">
        <v>0</v>
      </c>
      <c r="I22" s="44">
        <v>0</v>
      </c>
    </row>
    <row r="23" spans="1:9" ht="14.25">
      <c r="A23" s="43" t="str">
        <f>HLOOKUP(INDICE!$F$2,Nombres!$C$3:$D$636,248,FALSE)</f>
        <v>Other results</v>
      </c>
      <c r="B23" s="44">
        <v>-17.18800000000001</v>
      </c>
      <c r="C23" s="44">
        <v>-6.980092979999991</v>
      </c>
      <c r="D23" s="44">
        <v>19.031999990000003</v>
      </c>
      <c r="E23" s="45">
        <v>7.478000009999985</v>
      </c>
      <c r="F23" s="44">
        <v>27.418999999999997</v>
      </c>
      <c r="G23" s="44">
        <v>0</v>
      </c>
      <c r="H23" s="44">
        <v>0</v>
      </c>
      <c r="I23" s="44">
        <v>0</v>
      </c>
    </row>
    <row r="24" spans="1:9" ht="14.25">
      <c r="A24" s="41" t="str">
        <f>HLOOKUP(INDICE!$F$2,Nombres!$C$3:$D$636,46,FALSE)</f>
        <v>Profit/(loss) before tax</v>
      </c>
      <c r="B24" s="50">
        <f aca="true" t="shared" si="2" ref="B24:I24">+B20+B21+B22+B23</f>
        <v>1758.8139997800004</v>
      </c>
      <c r="C24" s="50">
        <f t="shared" si="2"/>
        <v>2123.965140400001</v>
      </c>
      <c r="D24" s="50">
        <f t="shared" si="2"/>
        <v>2299.1719996799998</v>
      </c>
      <c r="E24" s="42">
        <f t="shared" si="2"/>
        <v>2058.42800019</v>
      </c>
      <c r="F24" s="50">
        <f t="shared" si="2"/>
        <v>2765.8019999399994</v>
      </c>
      <c r="G24" s="50">
        <f t="shared" si="2"/>
        <v>0</v>
      </c>
      <c r="H24" s="50">
        <f t="shared" si="2"/>
        <v>0</v>
      </c>
      <c r="I24" s="50">
        <f t="shared" si="2"/>
        <v>0</v>
      </c>
    </row>
    <row r="25" spans="1:9" ht="14.25">
      <c r="A25" s="43" t="str">
        <f>HLOOKUP(INDICE!$F$2,Nombres!$C$3:$D$636,47,FALSE)</f>
        <v>Income tax</v>
      </c>
      <c r="B25" s="44">
        <v>-489.26299989999995</v>
      </c>
      <c r="C25" s="44">
        <v>-590.9263420500001</v>
      </c>
      <c r="D25" s="44">
        <v>-639.72900005</v>
      </c>
      <c r="E25" s="45">
        <v>-486.93899994000003</v>
      </c>
      <c r="F25" s="44">
        <v>-787.70000002</v>
      </c>
      <c r="G25" s="44">
        <v>0</v>
      </c>
      <c r="H25" s="44">
        <v>0</v>
      </c>
      <c r="I25" s="44">
        <v>0</v>
      </c>
    </row>
    <row r="26" spans="1:9" ht="14.25">
      <c r="A26" s="41" t="str">
        <f>HLOOKUP(INDICE!$F$2,Nombres!$C$3:$D$636,48,FALSE)</f>
        <v>Profit/(loss) for the year</v>
      </c>
      <c r="B26" s="50">
        <f aca="true" t="shared" si="3" ref="B26:I26">+B24+B25</f>
        <v>1269.5509998800003</v>
      </c>
      <c r="C26" s="50">
        <f t="shared" si="3"/>
        <v>1533.038798350001</v>
      </c>
      <c r="D26" s="50">
        <f t="shared" si="3"/>
        <v>1659.4429996299998</v>
      </c>
      <c r="E26" s="42">
        <f t="shared" si="3"/>
        <v>1571.4890002500001</v>
      </c>
      <c r="F26" s="50">
        <f t="shared" si="3"/>
        <v>1978.1019999199993</v>
      </c>
      <c r="G26" s="50">
        <f t="shared" si="3"/>
        <v>0</v>
      </c>
      <c r="H26" s="50">
        <f t="shared" si="3"/>
        <v>0</v>
      </c>
      <c r="I26" s="50">
        <f t="shared" si="3"/>
        <v>0</v>
      </c>
    </row>
    <row r="27" spans="1:16" ht="14.25">
      <c r="A27" s="43" t="str">
        <f>HLOOKUP(INDICE!$F$2,Nombres!$C$3:$D$636,49,FALSE)</f>
        <v>Non-controlling interests</v>
      </c>
      <c r="B27" s="44">
        <v>-236.81899999999996</v>
      </c>
      <c r="C27" s="44">
        <v>-238.87100001</v>
      </c>
      <c r="D27" s="44">
        <v>-259.04199998</v>
      </c>
      <c r="E27" s="45">
        <v>-230.09700001000002</v>
      </c>
      <c r="F27" s="44">
        <v>-327.57800001</v>
      </c>
      <c r="G27" s="44">
        <v>0</v>
      </c>
      <c r="H27" s="44">
        <v>0</v>
      </c>
      <c r="I27" s="44">
        <v>0</v>
      </c>
      <c r="N27" s="281"/>
      <c r="O27" s="281"/>
      <c r="P27" s="281"/>
    </row>
    <row r="28" spans="1:9" ht="14.25">
      <c r="A28" s="47" t="str">
        <f>HLOOKUP(INDICE!$F$2,Nombres!$C$3:$D$636,305,FALSE)</f>
        <v>Net attributable profit excluding non recurring impacts</v>
      </c>
      <c r="B28" s="47">
        <f>+B26+B27</f>
        <v>1032.7319998800003</v>
      </c>
      <c r="C28" s="47">
        <f aca="true" t="shared" si="4" ref="C28:I28">+C26+C27</f>
        <v>1294.167798340001</v>
      </c>
      <c r="D28" s="47">
        <f t="shared" si="4"/>
        <v>1400.40099965</v>
      </c>
      <c r="E28" s="47">
        <f t="shared" si="4"/>
        <v>1341.39200024</v>
      </c>
      <c r="F28" s="47">
        <f t="shared" si="4"/>
        <v>1650.5239999099995</v>
      </c>
      <c r="G28" s="47">
        <f t="shared" si="4"/>
        <v>0</v>
      </c>
      <c r="H28" s="47">
        <f t="shared" si="4"/>
        <v>0</v>
      </c>
      <c r="I28" s="47">
        <f t="shared" si="4"/>
        <v>0</v>
      </c>
    </row>
    <row r="29" spans="1:13" ht="14.25">
      <c r="A29" s="41" t="str">
        <f>HLOOKUP(INDICE!$F$2,Nombres!$C$3:$D$636,311,FALSE)</f>
        <v>Corporate &amp; discontinued operations</v>
      </c>
      <c r="B29" s="201">
        <f>+B30+B31</f>
        <v>177.04100000000003</v>
      </c>
      <c r="C29" s="201">
        <f aca="true" t="shared" si="5" ref="C29:I29">+C30+C31</f>
        <v>-593.0077980200002</v>
      </c>
      <c r="D29" s="201">
        <f t="shared" si="5"/>
        <v>0</v>
      </c>
      <c r="E29" s="42">
        <f t="shared" si="5"/>
        <v>0</v>
      </c>
      <c r="F29" s="201">
        <f t="shared" si="5"/>
        <v>0</v>
      </c>
      <c r="G29" s="201">
        <f t="shared" si="5"/>
        <v>0</v>
      </c>
      <c r="H29" s="201">
        <f t="shared" si="5"/>
        <v>0</v>
      </c>
      <c r="I29" s="201">
        <f t="shared" si="5"/>
        <v>0</v>
      </c>
      <c r="M29" s="295"/>
    </row>
    <row r="30" spans="1:13" ht="14.25">
      <c r="A30" s="43" t="str">
        <f>HLOOKUP(INDICE!$F$2,Nombres!$C$3:$D$636,306,FALSE)</f>
        <v>Profit/(loss) after tax form discontinued operations (1)</v>
      </c>
      <c r="B30" s="44">
        <v>177.04100000000003</v>
      </c>
      <c r="C30" s="44">
        <v>102.65999999999976</v>
      </c>
      <c r="D30" s="44">
        <v>0</v>
      </c>
      <c r="E30" s="45">
        <v>0</v>
      </c>
      <c r="F30" s="44">
        <v>0</v>
      </c>
      <c r="G30" s="44">
        <v>0</v>
      </c>
      <c r="H30" s="44">
        <v>0</v>
      </c>
      <c r="I30" s="44">
        <v>0</v>
      </c>
      <c r="M30" s="295"/>
    </row>
    <row r="31" spans="1:13" ht="14.25">
      <c r="A31" s="43" t="str">
        <f>HLOOKUP(INDICE!$F$2,Nombres!$C$3:$D$636,308,FALSE)</f>
        <v>Net cost related to the reestructuring process.</v>
      </c>
      <c r="B31" s="44">
        <v>0</v>
      </c>
      <c r="C31" s="44">
        <v>-695.66779802</v>
      </c>
      <c r="D31" s="44">
        <v>0</v>
      </c>
      <c r="E31" s="45">
        <v>0</v>
      </c>
      <c r="F31" s="44">
        <v>0</v>
      </c>
      <c r="G31" s="44">
        <v>0</v>
      </c>
      <c r="H31" s="44">
        <v>0</v>
      </c>
      <c r="I31" s="44">
        <v>0</v>
      </c>
      <c r="M31" s="295"/>
    </row>
    <row r="32" spans="1:9" ht="14.25">
      <c r="A32" s="47" t="str">
        <f>HLOOKUP(INDICE!$F$2,Nombres!$C$3:$D$636,50,FALSE)</f>
        <v>Net attributable profit</v>
      </c>
      <c r="B32" s="47">
        <f>+B28+B30+B31</f>
        <v>1209.7729998800003</v>
      </c>
      <c r="C32" s="47">
        <f aca="true" t="shared" si="6" ref="C32:I32">+C28+C30+C31</f>
        <v>701.1600003200008</v>
      </c>
      <c r="D32" s="47">
        <f t="shared" si="6"/>
        <v>1400.40099965</v>
      </c>
      <c r="E32" s="47">
        <f t="shared" si="6"/>
        <v>1341.39200024</v>
      </c>
      <c r="F32" s="47">
        <f t="shared" si="6"/>
        <v>1650.5239999099995</v>
      </c>
      <c r="G32" s="47">
        <f t="shared" si="6"/>
        <v>0</v>
      </c>
      <c r="H32" s="47">
        <f t="shared" si="6"/>
        <v>0</v>
      </c>
      <c r="I32" s="47">
        <f t="shared" si="6"/>
        <v>0</v>
      </c>
    </row>
    <row r="33" spans="2:9" ht="17.25" customHeight="1">
      <c r="B33" s="48">
        <v>0</v>
      </c>
      <c r="C33" s="48">
        <v>0</v>
      </c>
      <c r="D33" s="48">
        <v>0</v>
      </c>
      <c r="E33" s="48">
        <v>0</v>
      </c>
      <c r="F33" s="48">
        <v>0</v>
      </c>
      <c r="G33" s="48">
        <v>0</v>
      </c>
      <c r="H33" s="48">
        <v>0</v>
      </c>
      <c r="I33" s="48">
        <v>0</v>
      </c>
    </row>
    <row r="34" spans="1:9" ht="12.75" customHeight="1">
      <c r="A34" s="43"/>
      <c r="B34" s="48">
        <v>0</v>
      </c>
      <c r="C34" s="48">
        <v>0</v>
      </c>
      <c r="D34" s="48">
        <v>0</v>
      </c>
      <c r="E34" s="48">
        <v>0</v>
      </c>
      <c r="F34" s="48">
        <v>0</v>
      </c>
      <c r="G34" s="48">
        <v>0</v>
      </c>
      <c r="H34" s="48">
        <v>0</v>
      </c>
      <c r="I34" s="48">
        <v>0</v>
      </c>
    </row>
    <row r="35" spans="1:9" ht="36" customHeight="1">
      <c r="A35" s="300" t="str">
        <f>HLOOKUP(INDICE!$F$2,Nombres!$C$3:$D$636,312,FALSE)</f>
        <v>(1) Includes the profit generated by BBVA USA and the rest of the US companies sold to PNC on 1st ofJjune of 2021.</v>
      </c>
      <c r="B35" s="300"/>
      <c r="C35" s="300"/>
      <c r="D35" s="300"/>
      <c r="E35" s="300"/>
      <c r="F35" s="300"/>
      <c r="G35" s="300"/>
      <c r="H35" s="300"/>
      <c r="I35" s="300"/>
    </row>
    <row r="36" spans="1:9" ht="15" customHeight="1">
      <c r="A36" s="300"/>
      <c r="B36" s="300"/>
      <c r="C36" s="300"/>
      <c r="D36" s="300"/>
      <c r="E36" s="300"/>
      <c r="F36" s="300"/>
      <c r="G36" s="300"/>
      <c r="H36" s="300"/>
      <c r="I36" s="300"/>
    </row>
    <row r="37" spans="1:9" ht="14.25" customHeight="1">
      <c r="A37" s="300"/>
      <c r="B37" s="300"/>
      <c r="C37" s="300"/>
      <c r="D37" s="300"/>
      <c r="E37" s="300"/>
      <c r="F37" s="300"/>
      <c r="G37" s="300"/>
      <c r="H37" s="300"/>
      <c r="I37" s="300"/>
    </row>
    <row r="38" spans="1:9" ht="14.25">
      <c r="A38" s="43"/>
      <c r="B38" s="49"/>
      <c r="C38" s="49"/>
      <c r="D38" s="49"/>
      <c r="E38" s="49"/>
      <c r="F38" s="290"/>
      <c r="G38" s="49"/>
      <c r="H38" s="49"/>
      <c r="I38" s="49"/>
    </row>
    <row r="39" spans="2:9" ht="14.25">
      <c r="B39" s="270"/>
      <c r="C39" s="270"/>
      <c r="D39" s="270"/>
      <c r="E39" s="270"/>
      <c r="F39" s="270"/>
      <c r="G39" s="270"/>
      <c r="H39" s="270"/>
      <c r="I39" s="270"/>
    </row>
    <row r="40" ht="14.25" customHeight="1"/>
    <row r="41" spans="1:9" ht="16.5">
      <c r="A41" s="33" t="str">
        <f>HLOOKUP(INDICE!$F$2,Nombres!$C$3:$D$636,31,FALSE)</f>
        <v>Income statement  </v>
      </c>
      <c r="B41" s="34"/>
      <c r="C41" s="34"/>
      <c r="D41" s="34"/>
      <c r="E41" s="34"/>
      <c r="F41" s="34"/>
      <c r="G41" s="34"/>
      <c r="H41" s="34"/>
      <c r="I41" s="34"/>
    </row>
    <row r="42" spans="1:9" ht="14.25">
      <c r="A42" s="35" t="str">
        <f>HLOOKUP(INDICE!$F$2,Nombres!$C$3:$D$636,73,FALSE)</f>
        <v>(Constant million euros)    </v>
      </c>
      <c r="B42" s="30"/>
      <c r="C42" s="36"/>
      <c r="D42" s="36"/>
      <c r="E42" s="36"/>
      <c r="F42" s="30"/>
      <c r="G42" s="30"/>
      <c r="H42" s="30"/>
      <c r="I42" s="30"/>
    </row>
    <row r="43" spans="1:9" ht="14.25">
      <c r="A43" s="37"/>
      <c r="B43" s="30"/>
      <c r="C43" s="36"/>
      <c r="D43" s="36"/>
      <c r="E43" s="36"/>
      <c r="F43" s="30"/>
      <c r="G43" s="30"/>
      <c r="H43" s="30"/>
      <c r="I43" s="30"/>
    </row>
    <row r="44" spans="1:9" ht="14.25">
      <c r="A44" s="38"/>
      <c r="B44" s="301">
        <f>+España!B6</f>
        <v>2021</v>
      </c>
      <c r="C44" s="301"/>
      <c r="D44" s="301"/>
      <c r="E44" s="302"/>
      <c r="F44" s="303">
        <f>+España!F6</f>
        <v>2022</v>
      </c>
      <c r="G44" s="301"/>
      <c r="H44" s="301"/>
      <c r="I44" s="301"/>
    </row>
    <row r="45" spans="1:9" ht="14.25">
      <c r="A45" s="38"/>
      <c r="B45" s="39" t="str">
        <f>+España!B7</f>
        <v>1Q</v>
      </c>
      <c r="C45" s="39" t="str">
        <f>+España!C7</f>
        <v>2Q</v>
      </c>
      <c r="D45" s="39" t="str">
        <f>+España!D7</f>
        <v>3Q</v>
      </c>
      <c r="E45" s="40" t="str">
        <f>+España!E7</f>
        <v>4Q</v>
      </c>
      <c r="F45" s="39" t="str">
        <f>+España!F7</f>
        <v>1Q</v>
      </c>
      <c r="G45" s="39" t="str">
        <f>+España!G7</f>
        <v>2Q</v>
      </c>
      <c r="H45" s="39" t="str">
        <f>+España!H7</f>
        <v>3Q</v>
      </c>
      <c r="I45" s="39" t="str">
        <f>+España!I7</f>
        <v>4Q</v>
      </c>
    </row>
    <row r="46" spans="1:9" ht="14.25">
      <c r="A46" s="41" t="str">
        <f>HLOOKUP(INDICE!$F$2,Nombres!$C$3:$D$636,33,FALSE)</f>
        <v>Net interest income</v>
      </c>
      <c r="B46" s="41">
        <v>3292.2995761208176</v>
      </c>
      <c r="C46" s="41">
        <v>3406.859105164948</v>
      </c>
      <c r="D46" s="41">
        <v>3586.043811068862</v>
      </c>
      <c r="E46" s="42">
        <v>3891.2319172089883</v>
      </c>
      <c r="F46" s="41">
        <v>4158.0599999</v>
      </c>
      <c r="G46" s="50">
        <v>0</v>
      </c>
      <c r="H46" s="50">
        <v>0</v>
      </c>
      <c r="I46" s="50">
        <v>0</v>
      </c>
    </row>
    <row r="47" spans="1:9" ht="14.25">
      <c r="A47" s="43" t="str">
        <f>HLOOKUP(INDICE!$F$2,Nombres!$C$3:$D$636,34,FALSE)</f>
        <v>Net fees and commissions</v>
      </c>
      <c r="B47" s="44">
        <v>1086.8189619793627</v>
      </c>
      <c r="C47" s="44">
        <v>1152.7679836698371</v>
      </c>
      <c r="D47" s="44">
        <v>1164.8000668231134</v>
      </c>
      <c r="E47" s="45">
        <v>1243.9331251447968</v>
      </c>
      <c r="F47" s="44">
        <v>1240.57499995</v>
      </c>
      <c r="G47" s="44">
        <v>0</v>
      </c>
      <c r="H47" s="44">
        <v>0</v>
      </c>
      <c r="I47" s="44">
        <v>0</v>
      </c>
    </row>
    <row r="48" spans="1:9" ht="14.25">
      <c r="A48" s="43" t="str">
        <f>HLOOKUP(INDICE!$F$2,Nombres!$C$3:$D$636,35,FALSE)</f>
        <v>Net trading income</v>
      </c>
      <c r="B48" s="44">
        <v>533.154450035336</v>
      </c>
      <c r="C48" s="44">
        <v>501.1747061748492</v>
      </c>
      <c r="D48" s="44">
        <v>374.0900220075044</v>
      </c>
      <c r="E48" s="45">
        <v>396.15316180605276</v>
      </c>
      <c r="F48" s="44">
        <v>579.6549999900001</v>
      </c>
      <c r="G48" s="44">
        <v>0</v>
      </c>
      <c r="H48" s="44">
        <v>0</v>
      </c>
      <c r="I48" s="44">
        <v>0</v>
      </c>
    </row>
    <row r="49" spans="1:9" ht="14.25">
      <c r="A49" s="43" t="str">
        <f>HLOOKUP(INDICE!$F$2,Nombres!$C$3:$D$636,96,FALSE)</f>
        <v>Dividend income</v>
      </c>
      <c r="B49" s="44">
        <v>5.6572035663160545</v>
      </c>
      <c r="C49" s="44">
        <v>119.17836718592909</v>
      </c>
      <c r="D49" s="44">
        <v>4.003921872941291</v>
      </c>
      <c r="E49" s="45">
        <v>46.129056996963584</v>
      </c>
      <c r="F49" s="44">
        <v>3.8320000000000425</v>
      </c>
      <c r="G49" s="44">
        <v>0</v>
      </c>
      <c r="H49" s="44">
        <v>0</v>
      </c>
      <c r="I49" s="44">
        <v>0</v>
      </c>
    </row>
    <row r="50" spans="1:9" ht="14.25">
      <c r="A50" s="43" t="str">
        <f>HLOOKUP(INDICE!$F$2,Nombres!$C$3:$D$636,97,FALSE)</f>
        <v>Share of  profit/loss of invest. in subsidaries, joint ventures and associates</v>
      </c>
      <c r="B50" s="44">
        <v>-5.71257679421956</v>
      </c>
      <c r="C50" s="44">
        <v>0.5567631926945467</v>
      </c>
      <c r="D50" s="44">
        <v>3.8528068267439997</v>
      </c>
      <c r="E50" s="45">
        <v>2.7424617790035057</v>
      </c>
      <c r="F50" s="44">
        <v>4.848000000000001</v>
      </c>
      <c r="G50" s="44">
        <v>0</v>
      </c>
      <c r="H50" s="44">
        <v>0</v>
      </c>
      <c r="I50" s="44">
        <v>0</v>
      </c>
    </row>
    <row r="51" spans="1:9" ht="14.25">
      <c r="A51" s="43" t="str">
        <f>HLOOKUP(INDICE!$F$2,Nombres!$C$3:$D$636,98,FALSE)</f>
        <v>Other products and expenses</v>
      </c>
      <c r="B51" s="44">
        <v>-14.869025220694294</v>
      </c>
      <c r="C51" s="44">
        <v>-214.88096025685167</v>
      </c>
      <c r="D51" s="44">
        <v>-26.39323870804271</v>
      </c>
      <c r="E51" s="45">
        <v>-227.28163181474557</v>
      </c>
      <c r="F51" s="44">
        <v>-47.71800001000001</v>
      </c>
      <c r="G51" s="44">
        <v>0</v>
      </c>
      <c r="H51" s="44">
        <v>0</v>
      </c>
      <c r="I51" s="44">
        <v>0</v>
      </c>
    </row>
    <row r="52" spans="1:9" ht="14.25">
      <c r="A52" s="41" t="str">
        <f>HLOOKUP(INDICE!$F$2,Nombres!$C$3:$D$636,37,FALSE)</f>
        <v>Gross income</v>
      </c>
      <c r="B52" s="41">
        <f>+SUM(B46:B51)</f>
        <v>4897.348589686918</v>
      </c>
      <c r="C52" s="41">
        <f aca="true" t="shared" si="7" ref="C52:I52">+SUM(C46:C51)</f>
        <v>4965.6559651314055</v>
      </c>
      <c r="D52" s="41">
        <f t="shared" si="7"/>
        <v>5106.397389891123</v>
      </c>
      <c r="E52" s="42">
        <f t="shared" si="7"/>
        <v>5352.908091121059</v>
      </c>
      <c r="F52" s="41">
        <f t="shared" si="7"/>
        <v>5939.2519998299995</v>
      </c>
      <c r="G52" s="50">
        <f t="shared" si="7"/>
        <v>0</v>
      </c>
      <c r="H52" s="50">
        <f t="shared" si="7"/>
        <v>0</v>
      </c>
      <c r="I52" s="50">
        <f t="shared" si="7"/>
        <v>0</v>
      </c>
    </row>
    <row r="53" spans="1:9" ht="14.25">
      <c r="A53" s="43" t="str">
        <f>HLOOKUP(INDICE!$F$2,Nombres!$C$3:$D$636,38,FALSE)</f>
        <v>Operating expenses</v>
      </c>
      <c r="B53" s="44">
        <v>-2225.692710837317</v>
      </c>
      <c r="C53" s="44">
        <v>-2254.974024934301</v>
      </c>
      <c r="D53" s="44">
        <v>-2320.52751931496</v>
      </c>
      <c r="E53" s="45">
        <v>-2533.252380234963</v>
      </c>
      <c r="F53" s="44">
        <v>-2414.5179999700003</v>
      </c>
      <c r="G53" s="44">
        <v>0</v>
      </c>
      <c r="H53" s="44">
        <v>0</v>
      </c>
      <c r="I53" s="44">
        <v>0</v>
      </c>
    </row>
    <row r="54" spans="1:9" ht="14.25">
      <c r="A54" s="43" t="str">
        <f>HLOOKUP(INDICE!$F$2,Nombres!$C$3:$D$636,39,FALSE)</f>
        <v>  Administration expenses</v>
      </c>
      <c r="B54" s="44">
        <v>-1926.3560658260928</v>
      </c>
      <c r="C54" s="44">
        <v>-1953.531233174951</v>
      </c>
      <c r="D54" s="44">
        <v>-2013.816619755386</v>
      </c>
      <c r="E54" s="45">
        <v>-2227.2352085353414</v>
      </c>
      <c r="F54" s="44">
        <v>-2108.6799999500004</v>
      </c>
      <c r="G54" s="44">
        <v>0</v>
      </c>
      <c r="H54" s="44">
        <v>0</v>
      </c>
      <c r="I54" s="44">
        <v>0</v>
      </c>
    </row>
    <row r="55" spans="1:9" ht="14.25">
      <c r="A55" s="46" t="str">
        <f>HLOOKUP(INDICE!$F$2,Nombres!$C$3:$D$636,40,FALSE)</f>
        <v>  Personnel expenses</v>
      </c>
      <c r="B55" s="44">
        <v>-1138.0457755221694</v>
      </c>
      <c r="C55" s="44">
        <v>-1156.4001199251795</v>
      </c>
      <c r="D55" s="44">
        <v>-1240.336002644514</v>
      </c>
      <c r="E55" s="45">
        <v>-1380.6904327630632</v>
      </c>
      <c r="F55" s="44">
        <v>-1239.86900001</v>
      </c>
      <c r="G55" s="44">
        <v>0</v>
      </c>
      <c r="H55" s="44">
        <v>0</v>
      </c>
      <c r="I55" s="44">
        <v>0</v>
      </c>
    </row>
    <row r="56" spans="1:9" ht="14.25">
      <c r="A56" s="46" t="str">
        <f>HLOOKUP(INDICE!$F$2,Nombres!$C$3:$D$636,41,FALSE)</f>
        <v>  General and administrative expenses</v>
      </c>
      <c r="B56" s="44">
        <v>-788.3102903039237</v>
      </c>
      <c r="C56" s="44">
        <v>-797.1311132497719</v>
      </c>
      <c r="D56" s="44">
        <v>-773.480617110872</v>
      </c>
      <c r="E56" s="45">
        <v>-846.5447757722782</v>
      </c>
      <c r="F56" s="44">
        <v>-868.8109999400001</v>
      </c>
      <c r="G56" s="44">
        <v>0</v>
      </c>
      <c r="H56" s="44">
        <v>0</v>
      </c>
      <c r="I56" s="44">
        <v>0</v>
      </c>
    </row>
    <row r="57" spans="1:9" ht="14.25">
      <c r="A57" s="43" t="str">
        <f>HLOOKUP(INDICE!$F$2,Nombres!$C$3:$D$636,42,FALSE)</f>
        <v>  Depreciation</v>
      </c>
      <c r="B57" s="44">
        <v>-299.3366450112243</v>
      </c>
      <c r="C57" s="44">
        <v>-301.4427917593495</v>
      </c>
      <c r="D57" s="44">
        <v>-306.7108995595739</v>
      </c>
      <c r="E57" s="45">
        <v>-306.01717169962143</v>
      </c>
      <c r="F57" s="44">
        <v>-305.83800002</v>
      </c>
      <c r="G57" s="44">
        <v>0</v>
      </c>
      <c r="H57" s="44">
        <v>0</v>
      </c>
      <c r="I57" s="44">
        <v>0</v>
      </c>
    </row>
    <row r="58" spans="1:9" ht="14.25">
      <c r="A58" s="41" t="str">
        <f>HLOOKUP(INDICE!$F$2,Nombres!$C$3:$D$636,43,FALSE)</f>
        <v>Operating income</v>
      </c>
      <c r="B58" s="41">
        <f>+B52+B53</f>
        <v>2671.655878849601</v>
      </c>
      <c r="C58" s="41">
        <f aca="true" t="shared" si="8" ref="C58:I58">+C52+C53</f>
        <v>2710.6819401971047</v>
      </c>
      <c r="D58" s="41">
        <f t="shared" si="8"/>
        <v>2785.8698705761626</v>
      </c>
      <c r="E58" s="42">
        <f t="shared" si="8"/>
        <v>2819.6557108860966</v>
      </c>
      <c r="F58" s="41">
        <f t="shared" si="8"/>
        <v>3524.733999859999</v>
      </c>
      <c r="G58" s="50">
        <f t="shared" si="8"/>
        <v>0</v>
      </c>
      <c r="H58" s="50">
        <f t="shared" si="8"/>
        <v>0</v>
      </c>
      <c r="I58" s="50">
        <f t="shared" si="8"/>
        <v>0</v>
      </c>
    </row>
    <row r="59" spans="1:9" ht="14.25">
      <c r="A59" s="43" t="str">
        <f>HLOOKUP(INDICE!$F$2,Nombres!$C$3:$D$636,44,FALSE)</f>
        <v>Impaiment on financial assets not measured at fair value through profit or loss</v>
      </c>
      <c r="B59" s="44">
        <v>-898.7871731052682</v>
      </c>
      <c r="C59" s="44">
        <v>-660.9357849053305</v>
      </c>
      <c r="D59" s="44">
        <v>-616.3995195375039</v>
      </c>
      <c r="E59" s="45">
        <v>-774.2987592471628</v>
      </c>
      <c r="F59" s="44">
        <v>-737.90899995</v>
      </c>
      <c r="G59" s="44">
        <v>0</v>
      </c>
      <c r="H59" s="44">
        <v>0</v>
      </c>
      <c r="I59" s="44">
        <v>0</v>
      </c>
    </row>
    <row r="60" spans="1:9" ht="14.25">
      <c r="A60" s="43" t="str">
        <f>HLOOKUP(INDICE!$F$2,Nombres!$C$3:$D$636,247,FALSE)</f>
        <v>Provisions or reversal of provisions</v>
      </c>
      <c r="B60" s="44">
        <v>-161.67638450616147</v>
      </c>
      <c r="C60" s="44">
        <v>-25.537052259264428</v>
      </c>
      <c r="D60" s="44">
        <v>-54.78528424798892</v>
      </c>
      <c r="E60" s="45">
        <v>-28.900796969925416</v>
      </c>
      <c r="F60" s="44">
        <v>-48.441999970000026</v>
      </c>
      <c r="G60" s="44">
        <v>0</v>
      </c>
      <c r="H60" s="44">
        <v>0</v>
      </c>
      <c r="I60" s="44">
        <v>0</v>
      </c>
    </row>
    <row r="61" spans="1:9" ht="14.25">
      <c r="A61" s="43" t="str">
        <f>HLOOKUP(INDICE!$F$2,Nombres!$C$3:$D$636,248,FALSE)</f>
        <v>Other results</v>
      </c>
      <c r="B61" s="44">
        <v>-21.6781484289437</v>
      </c>
      <c r="C61" s="44">
        <v>-7.832149311920666</v>
      </c>
      <c r="D61" s="44">
        <v>18.435067891170913</v>
      </c>
      <c r="E61" s="45">
        <v>8.031821200815811</v>
      </c>
      <c r="F61" s="44">
        <v>27.419000000000004</v>
      </c>
      <c r="G61" s="44">
        <v>0</v>
      </c>
      <c r="H61" s="44">
        <v>0</v>
      </c>
      <c r="I61" s="44">
        <v>0</v>
      </c>
    </row>
    <row r="62" spans="1:9" ht="14.25">
      <c r="A62" s="41" t="str">
        <f>HLOOKUP(INDICE!$F$2,Nombres!$C$3:$D$636,46,FALSE)</f>
        <v>Profit/(loss) before tax</v>
      </c>
      <c r="B62" s="50">
        <f aca="true" t="shared" si="9" ref="B62:I62">+B58+B59+B60+B61</f>
        <v>1589.5141728092276</v>
      </c>
      <c r="C62" s="50">
        <f t="shared" si="9"/>
        <v>2016.3769537205894</v>
      </c>
      <c r="D62" s="50">
        <f t="shared" si="9"/>
        <v>2133.120134681841</v>
      </c>
      <c r="E62" s="42">
        <f t="shared" si="9"/>
        <v>2024.4879758698241</v>
      </c>
      <c r="F62" s="50">
        <f t="shared" si="9"/>
        <v>2765.801999939999</v>
      </c>
      <c r="G62" s="50">
        <f t="shared" si="9"/>
        <v>0</v>
      </c>
      <c r="H62" s="50">
        <f t="shared" si="9"/>
        <v>0</v>
      </c>
      <c r="I62" s="50">
        <f t="shared" si="9"/>
        <v>0</v>
      </c>
    </row>
    <row r="63" spans="1:9" ht="14.25">
      <c r="A63" s="43" t="str">
        <f>HLOOKUP(INDICE!$F$2,Nombres!$C$3:$D$636,47,FALSE)</f>
        <v>Income tax</v>
      </c>
      <c r="B63" s="44">
        <v>-458.7751295044173</v>
      </c>
      <c r="C63" s="44">
        <v>-580.9820310833898</v>
      </c>
      <c r="D63" s="44">
        <v>-593.6034602834712</v>
      </c>
      <c r="E63" s="45">
        <v>-468.1304650496039</v>
      </c>
      <c r="F63" s="44">
        <v>-787.7000000200001</v>
      </c>
      <c r="G63" s="44">
        <v>0</v>
      </c>
      <c r="H63" s="44">
        <v>0</v>
      </c>
      <c r="I63" s="44">
        <v>0</v>
      </c>
    </row>
    <row r="64" spans="1:9" ht="14.25">
      <c r="A64" s="41" t="str">
        <f>HLOOKUP(INDICE!$F$2,Nombres!$C$3:$D$636,48,FALSE)</f>
        <v>Profit/(loss) for the year</v>
      </c>
      <c r="B64" s="50">
        <f aca="true" t="shared" si="10" ref="B64:I64">+B62+B63</f>
        <v>1130.7390433048104</v>
      </c>
      <c r="C64" s="50">
        <f t="shared" si="10"/>
        <v>1435.3949226371997</v>
      </c>
      <c r="D64" s="50">
        <f t="shared" si="10"/>
        <v>1539.51667439837</v>
      </c>
      <c r="E64" s="42">
        <f t="shared" si="10"/>
        <v>1556.3575108202203</v>
      </c>
      <c r="F64" s="50">
        <f t="shared" si="10"/>
        <v>1978.101999919999</v>
      </c>
      <c r="G64" s="50">
        <f t="shared" si="10"/>
        <v>0</v>
      </c>
      <c r="H64" s="50">
        <f t="shared" si="10"/>
        <v>0</v>
      </c>
      <c r="I64" s="50">
        <f t="shared" si="10"/>
        <v>0</v>
      </c>
    </row>
    <row r="65" spans="1:9" ht="14.25">
      <c r="A65" s="43" t="str">
        <f>HLOOKUP(INDICE!$F$2,Nombres!$C$3:$D$636,49,FALSE)</f>
        <v>Non-controlling interests</v>
      </c>
      <c r="B65" s="44">
        <v>-150.40056023556764</v>
      </c>
      <c r="C65" s="44">
        <v>-170.1467750552253</v>
      </c>
      <c r="D65" s="44">
        <v>-188.26565602734186</v>
      </c>
      <c r="E65" s="45">
        <v>-211.18667538802453</v>
      </c>
      <c r="F65" s="44">
        <v>-327.57800001</v>
      </c>
      <c r="G65" s="44">
        <v>0</v>
      </c>
      <c r="H65" s="44">
        <v>0</v>
      </c>
      <c r="I65" s="44">
        <v>0</v>
      </c>
    </row>
    <row r="66" spans="1:9" ht="14.25">
      <c r="A66" s="47" t="str">
        <f>HLOOKUP(INDICE!$F$2,Nombres!$C$3:$D$636,305,FALSE)</f>
        <v>Net attributable profit excluding non recurring impacts</v>
      </c>
      <c r="B66" s="47">
        <f>+B64+B65</f>
        <v>980.3384830692428</v>
      </c>
      <c r="C66" s="47">
        <f aca="true" t="shared" si="11" ref="C66:I66">+C64+C65</f>
        <v>1265.2481475819743</v>
      </c>
      <c r="D66" s="47">
        <f t="shared" si="11"/>
        <v>1351.251018371028</v>
      </c>
      <c r="E66" s="47">
        <f t="shared" si="11"/>
        <v>1345.1708354321959</v>
      </c>
      <c r="F66" s="47">
        <f t="shared" si="11"/>
        <v>1650.523999909999</v>
      </c>
      <c r="G66" s="47">
        <f t="shared" si="11"/>
        <v>0</v>
      </c>
      <c r="H66" s="47">
        <f t="shared" si="11"/>
        <v>0</v>
      </c>
      <c r="I66" s="47">
        <f t="shared" si="11"/>
        <v>0</v>
      </c>
    </row>
    <row r="67" spans="1:9" ht="14.25">
      <c r="A67" s="41" t="str">
        <f>HLOOKUP(INDICE!$F$2,Nombres!$C$3:$D$636,311,FALSE)</f>
        <v>Corporate &amp; discontinued operations</v>
      </c>
      <c r="B67" s="201">
        <f>+B68+B69</f>
        <v>190.16992404639865</v>
      </c>
      <c r="C67" s="201">
        <f aca="true" t="shared" si="12" ref="C67:I67">+C68+C69</f>
        <v>-587.5241360189735</v>
      </c>
      <c r="D67" s="201">
        <f t="shared" si="12"/>
        <v>-2.019320507473034</v>
      </c>
      <c r="E67" s="42">
        <f t="shared" si="12"/>
        <v>-2.9929084266710686</v>
      </c>
      <c r="F67" s="201">
        <f t="shared" si="12"/>
        <v>0</v>
      </c>
      <c r="G67" s="201">
        <f t="shared" si="12"/>
        <v>0</v>
      </c>
      <c r="H67" s="201">
        <f t="shared" si="12"/>
        <v>0</v>
      </c>
      <c r="I67" s="201">
        <f t="shared" si="12"/>
        <v>0</v>
      </c>
    </row>
    <row r="68" spans="1:9" ht="14.25">
      <c r="A68" s="43" t="str">
        <f>HLOOKUP(INDICE!$F$2,Nombres!$C$3:$D$636,306,FALSE)</f>
        <v>Profit/(loss) after tax form discontinued operations (1)</v>
      </c>
      <c r="B68" s="44">
        <v>190.16992404639865</v>
      </c>
      <c r="C68" s="44">
        <v>108.14366200102646</v>
      </c>
      <c r="D68" s="44">
        <v>-2.019320507473034</v>
      </c>
      <c r="E68" s="45">
        <v>-2.9929084266710686</v>
      </c>
      <c r="F68" s="44">
        <v>0</v>
      </c>
      <c r="G68" s="44">
        <v>0</v>
      </c>
      <c r="H68" s="44">
        <v>0</v>
      </c>
      <c r="I68" s="44">
        <v>0</v>
      </c>
    </row>
    <row r="69" spans="1:9" ht="14.25" customHeight="1">
      <c r="A69" s="43" t="str">
        <f>HLOOKUP(INDICE!$F$2,Nombres!$C$3:$D$636,308,FALSE)</f>
        <v>Net cost related to the reestructuring process.</v>
      </c>
      <c r="B69" s="44">
        <v>0</v>
      </c>
      <c r="C69" s="44">
        <v>-695.66779802</v>
      </c>
      <c r="D69" s="44">
        <v>0</v>
      </c>
      <c r="E69" s="45">
        <v>0</v>
      </c>
      <c r="F69" s="44">
        <v>0</v>
      </c>
      <c r="G69" s="44">
        <v>0</v>
      </c>
      <c r="H69" s="44">
        <v>0</v>
      </c>
      <c r="I69" s="44">
        <v>0</v>
      </c>
    </row>
    <row r="70" spans="1:9" ht="15" customHeight="1">
      <c r="A70" s="47" t="str">
        <f>HLOOKUP(INDICE!$F$2,Nombres!$C$3:$D$636,50,FALSE)</f>
        <v>Net attributable profit</v>
      </c>
      <c r="B70" s="47">
        <f>+B66+B68+B69</f>
        <v>1170.5084071156414</v>
      </c>
      <c r="C70" s="47">
        <f aca="true" t="shared" si="13" ref="C70:I70">+C66+C68+C69</f>
        <v>677.7240115630009</v>
      </c>
      <c r="D70" s="47">
        <f t="shared" si="13"/>
        <v>1349.231697863555</v>
      </c>
      <c r="E70" s="47">
        <f t="shared" si="13"/>
        <v>1342.177927005525</v>
      </c>
      <c r="F70" s="47">
        <f t="shared" si="13"/>
        <v>1650.523999909999</v>
      </c>
      <c r="G70" s="47">
        <f t="shared" si="13"/>
        <v>0</v>
      </c>
      <c r="H70" s="47">
        <f t="shared" si="13"/>
        <v>0</v>
      </c>
      <c r="I70" s="47">
        <f t="shared" si="13"/>
        <v>0</v>
      </c>
    </row>
    <row r="71" spans="1:9" ht="14.25">
      <c r="A71" s="43"/>
      <c r="B71" s="48">
        <v>0</v>
      </c>
      <c r="C71" s="48">
        <v>0</v>
      </c>
      <c r="D71" s="48">
        <v>0</v>
      </c>
      <c r="E71" s="48">
        <v>0</v>
      </c>
      <c r="F71" s="48">
        <v>0</v>
      </c>
      <c r="G71" s="48">
        <v>0</v>
      </c>
      <c r="H71" s="48">
        <v>0</v>
      </c>
      <c r="I71" s="48">
        <v>0</v>
      </c>
    </row>
    <row r="72" spans="1:9" ht="14.25">
      <c r="A72" s="289"/>
      <c r="B72" s="48">
        <v>0</v>
      </c>
      <c r="C72" s="48">
        <v>0</v>
      </c>
      <c r="D72" s="48">
        <v>0</v>
      </c>
      <c r="E72" s="48">
        <v>0</v>
      </c>
      <c r="F72" s="48">
        <v>0</v>
      </c>
      <c r="G72" s="48">
        <v>0</v>
      </c>
      <c r="H72" s="48">
        <v>0</v>
      </c>
      <c r="I72" s="48">
        <v>0</v>
      </c>
    </row>
    <row r="73" spans="1:9" ht="37.5" customHeight="1">
      <c r="A73" s="300" t="str">
        <f>HLOOKUP(INDICE!$F$2,Nombres!$C$3:$D$636,312,FALSE)</f>
        <v>(1) Includes the profit generated by BBVA USA and the rest of the US companies sold to PNC on 1st ofJjune of 2021.</v>
      </c>
      <c r="B73" s="300"/>
      <c r="C73" s="300"/>
      <c r="D73" s="300"/>
      <c r="E73" s="300"/>
      <c r="F73" s="300"/>
      <c r="G73" s="300"/>
      <c r="H73" s="300"/>
      <c r="I73" s="300"/>
    </row>
    <row r="74" spans="1:9" ht="15" customHeight="1">
      <c r="A74" s="300"/>
      <c r="B74" s="300"/>
      <c r="C74" s="300"/>
      <c r="D74" s="300"/>
      <c r="E74" s="300"/>
      <c r="F74" s="300"/>
      <c r="G74" s="300"/>
      <c r="H74" s="300"/>
      <c r="I74" s="300"/>
    </row>
    <row r="75" spans="1:9" ht="14.25" customHeight="1">
      <c r="A75" s="43"/>
      <c r="B75" s="269"/>
      <c r="C75" s="269"/>
      <c r="D75" s="269"/>
      <c r="E75" s="269"/>
      <c r="F75" s="269"/>
      <c r="G75" s="269"/>
      <c r="H75" s="269"/>
      <c r="I75" s="269"/>
    </row>
    <row r="76" spans="1:9" ht="14.25" customHeight="1">
      <c r="A76"/>
      <c r="B76" s="269"/>
      <c r="C76" s="269"/>
      <c r="D76" s="269"/>
      <c r="E76" s="269"/>
      <c r="F76" s="269"/>
      <c r="G76" s="269"/>
      <c r="H76" s="269"/>
      <c r="I76" s="269"/>
    </row>
    <row r="77" spans="2:9" ht="14.25">
      <c r="B77" s="269"/>
      <c r="C77" s="269"/>
      <c r="D77" s="269"/>
      <c r="E77" s="269"/>
      <c r="F77" s="269"/>
      <c r="G77" s="269"/>
      <c r="H77" s="269"/>
      <c r="I77" s="269"/>
    </row>
    <row r="89" ht="14.25">
      <c r="A89"/>
    </row>
    <row r="1003" ht="14.25">
      <c r="A1003" s="31" t="s">
        <v>392</v>
      </c>
    </row>
  </sheetData>
  <sheetProtection/>
  <mergeCells count="9">
    <mergeCell ref="B44:E44"/>
    <mergeCell ref="F44:I44"/>
    <mergeCell ref="A73:I73"/>
    <mergeCell ref="A74:I74"/>
    <mergeCell ref="B6:E6"/>
    <mergeCell ref="F6:I6"/>
    <mergeCell ref="A36:I36"/>
    <mergeCell ref="A37:I37"/>
    <mergeCell ref="A35:I35"/>
  </mergeCells>
  <conditionalFormatting sqref="B38:I38">
    <cfRule type="cellIs" priority="44" dxfId="16" operator="notBetween">
      <formula>0.4</formula>
      <formula>-0.4</formula>
    </cfRule>
  </conditionalFormatting>
  <conditionalFormatting sqref="B39:I39">
    <cfRule type="cellIs" priority="43" dxfId="16" operator="notBetween">
      <formula>0.4</formula>
      <formula>-0.4</formula>
    </cfRule>
  </conditionalFormatting>
  <conditionalFormatting sqref="E33">
    <cfRule type="cellIs" priority="35" dxfId="128" operator="notBetween">
      <formula>0.5</formula>
      <formula>-0.5</formula>
    </cfRule>
  </conditionalFormatting>
  <conditionalFormatting sqref="C33">
    <cfRule type="cellIs" priority="33" dxfId="128" operator="notBetween">
      <formula>0.5</formula>
      <formula>-0.5</formula>
    </cfRule>
  </conditionalFormatting>
  <conditionalFormatting sqref="H33">
    <cfRule type="cellIs" priority="38" dxfId="128" operator="notBetween">
      <formula>0.5</formula>
      <formula>-0.5</formula>
    </cfRule>
  </conditionalFormatting>
  <conditionalFormatting sqref="I33">
    <cfRule type="cellIs" priority="42" dxfId="128" operator="notBetween">
      <formula>0.5</formula>
      <formula>-0.5</formula>
    </cfRule>
  </conditionalFormatting>
  <conditionalFormatting sqref="B75:G75">
    <cfRule type="cellIs" priority="41" dxfId="16" operator="notBetween">
      <formula>0.4</formula>
      <formula>-0.4</formula>
    </cfRule>
  </conditionalFormatting>
  <conditionalFormatting sqref="G33">
    <cfRule type="cellIs" priority="37" dxfId="128" operator="notBetween">
      <formula>0.5</formula>
      <formula>-0.5</formula>
    </cfRule>
  </conditionalFormatting>
  <conditionalFormatting sqref="H75">
    <cfRule type="cellIs" priority="40" dxfId="16" operator="notBetween">
      <formula>0.4</formula>
      <formula>-0.4</formula>
    </cfRule>
  </conditionalFormatting>
  <conditionalFormatting sqref="I75">
    <cfRule type="cellIs" priority="39" dxfId="16" operator="notBetween">
      <formula>0.4</formula>
      <formula>-0.4</formula>
    </cfRule>
  </conditionalFormatting>
  <conditionalFormatting sqref="F33">
    <cfRule type="cellIs" priority="36" dxfId="128" operator="notBetween">
      <formula>0.5</formula>
      <formula>-0.5</formula>
    </cfRule>
  </conditionalFormatting>
  <conditionalFormatting sqref="D33">
    <cfRule type="cellIs" priority="34" dxfId="128" operator="notBetween">
      <formula>0.5</formula>
      <formula>-0.5</formula>
    </cfRule>
  </conditionalFormatting>
  <conditionalFormatting sqref="D34">
    <cfRule type="cellIs" priority="30" dxfId="128" operator="notBetween">
      <formula>0.5</formula>
      <formula>-0.5</formula>
    </cfRule>
  </conditionalFormatting>
  <conditionalFormatting sqref="B33:I33">
    <cfRule type="cellIs" priority="32" dxfId="128" operator="notBetween">
      <formula>0.5</formula>
      <formula>-0.5</formula>
    </cfRule>
  </conditionalFormatting>
  <conditionalFormatting sqref="C34">
    <cfRule type="cellIs" priority="31" dxfId="128" operator="notBetween">
      <formula>0.5</formula>
      <formula>-0.5</formula>
    </cfRule>
  </conditionalFormatting>
  <conditionalFormatting sqref="B34:I34">
    <cfRule type="cellIs" priority="29" dxfId="128" operator="notBetween">
      <formula>0.5</formula>
      <formula>-0.5</formula>
    </cfRule>
  </conditionalFormatting>
  <conditionalFormatting sqref="F33">
    <cfRule type="cellIs" priority="28" dxfId="128" operator="notBetween">
      <formula>0.5</formula>
      <formula>-0.5</formula>
    </cfRule>
  </conditionalFormatting>
  <conditionalFormatting sqref="G33">
    <cfRule type="cellIs" priority="27" dxfId="128" operator="notBetween">
      <formula>0.5</formula>
      <formula>-0.5</formula>
    </cfRule>
  </conditionalFormatting>
  <conditionalFormatting sqref="H33">
    <cfRule type="cellIs" priority="26" dxfId="128" operator="notBetween">
      <formula>0.5</formula>
      <formula>-0.5</formula>
    </cfRule>
  </conditionalFormatting>
  <conditionalFormatting sqref="I33">
    <cfRule type="cellIs" priority="25" dxfId="128" operator="notBetween">
      <formula>0.5</formula>
      <formula>-0.5</formula>
    </cfRule>
  </conditionalFormatting>
  <conditionalFormatting sqref="D33">
    <cfRule type="cellIs" priority="24" dxfId="128" operator="notBetween">
      <formula>0.5</formula>
      <formula>-0.5</formula>
    </cfRule>
  </conditionalFormatting>
  <conditionalFormatting sqref="C33">
    <cfRule type="cellIs" priority="23" dxfId="128" operator="notBetween">
      <formula>0.5</formula>
      <formula>-0.5</formula>
    </cfRule>
  </conditionalFormatting>
  <conditionalFormatting sqref="B33">
    <cfRule type="cellIs" priority="22" dxfId="128" operator="notBetween">
      <formula>0.5</formula>
      <formula>-0.5</formula>
    </cfRule>
  </conditionalFormatting>
  <conditionalFormatting sqref="F34:I34">
    <cfRule type="cellIs" priority="21" dxfId="128" operator="notBetween">
      <formula>0.5</formula>
      <formula>-0.5</formula>
    </cfRule>
  </conditionalFormatting>
  <conditionalFormatting sqref="B76:G76">
    <cfRule type="cellIs" priority="20" dxfId="16" operator="notBetween">
      <formula>0.4</formula>
      <formula>-0.4</formula>
    </cfRule>
  </conditionalFormatting>
  <conditionalFormatting sqref="H76">
    <cfRule type="cellIs" priority="19" dxfId="16" operator="notBetween">
      <formula>0.4</formula>
      <formula>-0.4</formula>
    </cfRule>
  </conditionalFormatting>
  <conditionalFormatting sqref="I76">
    <cfRule type="cellIs" priority="18" dxfId="16" operator="notBetween">
      <formula>0.4</formula>
      <formula>-0.4</formula>
    </cfRule>
  </conditionalFormatting>
  <conditionalFormatting sqref="E71">
    <cfRule type="cellIs" priority="13" dxfId="128" operator="notBetween">
      <formula>0.5</formula>
      <formula>-0.5</formula>
    </cfRule>
  </conditionalFormatting>
  <conditionalFormatting sqref="C71">
    <cfRule type="cellIs" priority="11" dxfId="128" operator="notBetween">
      <formula>0.5</formula>
      <formula>-0.5</formula>
    </cfRule>
  </conditionalFormatting>
  <conditionalFormatting sqref="H71">
    <cfRule type="cellIs" priority="16" dxfId="128" operator="notBetween">
      <formula>0.5</formula>
      <formula>-0.5</formula>
    </cfRule>
  </conditionalFormatting>
  <conditionalFormatting sqref="I71">
    <cfRule type="cellIs" priority="17" dxfId="128" operator="notBetween">
      <formula>0.5</formula>
      <formula>-0.5</formula>
    </cfRule>
  </conditionalFormatting>
  <conditionalFormatting sqref="G71">
    <cfRule type="cellIs" priority="15" dxfId="128" operator="notBetween">
      <formula>0.5</formula>
      <formula>-0.5</formula>
    </cfRule>
  </conditionalFormatting>
  <conditionalFormatting sqref="F71">
    <cfRule type="cellIs" priority="14" dxfId="128" operator="notBetween">
      <formula>0.5</formula>
      <formula>-0.5</formula>
    </cfRule>
  </conditionalFormatting>
  <conditionalFormatting sqref="D71">
    <cfRule type="cellIs" priority="12" dxfId="128" operator="notBetween">
      <formula>0.5</formula>
      <formula>-0.5</formula>
    </cfRule>
  </conditionalFormatting>
  <conditionalFormatting sqref="B71:I71">
    <cfRule type="cellIs" priority="10" dxfId="128" operator="notBetween">
      <formula>0.5</formula>
      <formula>-0.5</formula>
    </cfRule>
  </conditionalFormatting>
  <conditionalFormatting sqref="F71">
    <cfRule type="cellIs" priority="9" dxfId="128" operator="notBetween">
      <formula>0.5</formula>
      <formula>-0.5</formula>
    </cfRule>
  </conditionalFormatting>
  <conditionalFormatting sqref="G71">
    <cfRule type="cellIs" priority="8" dxfId="128" operator="notBetween">
      <formula>0.5</formula>
      <formula>-0.5</formula>
    </cfRule>
  </conditionalFormatting>
  <conditionalFormatting sqref="H71">
    <cfRule type="cellIs" priority="7" dxfId="128" operator="notBetween">
      <formula>0.5</formula>
      <formula>-0.5</formula>
    </cfRule>
  </conditionalFormatting>
  <conditionalFormatting sqref="I71">
    <cfRule type="cellIs" priority="6" dxfId="128" operator="notBetween">
      <formula>0.5</formula>
      <formula>-0.5</formula>
    </cfRule>
  </conditionalFormatting>
  <conditionalFormatting sqref="D71">
    <cfRule type="cellIs" priority="5" dxfId="128" operator="notBetween">
      <formula>0.5</formula>
      <formula>-0.5</formula>
    </cfRule>
  </conditionalFormatting>
  <conditionalFormatting sqref="C71">
    <cfRule type="cellIs" priority="4" dxfId="128" operator="notBetween">
      <formula>0.5</formula>
      <formula>-0.5</formula>
    </cfRule>
  </conditionalFormatting>
  <conditionalFormatting sqref="B71:I71">
    <cfRule type="cellIs" priority="3" dxfId="128" operator="notBetween">
      <formula>0.5</formula>
      <formula>-0.5</formula>
    </cfRule>
  </conditionalFormatting>
  <conditionalFormatting sqref="B72:I72">
    <cfRule type="cellIs" priority="2" dxfId="128" operator="notBetween">
      <formula>0.5</formula>
      <formula>-0.5</formula>
    </cfRule>
  </conditionalFormatting>
  <conditionalFormatting sqref="B72:I7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G1" sqref="G1:I16384"/>
    </sheetView>
  </sheetViews>
  <sheetFormatPr defaultColWidth="11.421875" defaultRowHeight="15"/>
  <cols>
    <col min="1" max="1" width="86.421875" style="31" customWidth="1"/>
    <col min="2" max="2" width="10.421875" style="31" customWidth="1"/>
    <col min="3" max="6" width="11.421875" style="31" customWidth="1"/>
    <col min="7" max="9" width="0" style="31" hidden="1" customWidth="1"/>
    <col min="10" max="18" width="11.421875" style="31" customWidth="1"/>
  </cols>
  <sheetData>
    <row r="1" spans="1:9" ht="16.5">
      <c r="A1" s="29" t="str">
        <f>HLOOKUP(INDICE!$F$2,Nombres!$C$3:$D$636,104,FALSE)</f>
        <v>BBVA Group. Consolidated balance sheet</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 sheets</v>
      </c>
      <c r="B3" s="34"/>
      <c r="C3" s="34"/>
      <c r="D3" s="34"/>
      <c r="E3" s="34"/>
      <c r="F3" s="34"/>
      <c r="G3" s="34"/>
      <c r="H3" s="34"/>
      <c r="I3" s="34"/>
    </row>
    <row r="4" spans="1:9" ht="14.25">
      <c r="A4" s="35" t="str">
        <f>HLOOKUP(INDICE!$F$2,Nombres!$C$3:$D$636,32,FALSE)</f>
        <v>(Million euros)</v>
      </c>
      <c r="B4" s="30"/>
      <c r="C4" s="52"/>
      <c r="D4" s="52"/>
      <c r="E4" s="52"/>
      <c r="F4" s="30"/>
      <c r="G4" s="58"/>
      <c r="H4" s="58"/>
      <c r="I4" s="58"/>
    </row>
    <row r="5" spans="1:9" ht="14.25">
      <c r="A5" s="30"/>
      <c r="B5" s="53">
        <f>+España!B30</f>
        <v>44286</v>
      </c>
      <c r="C5" s="53">
        <f>+España!C30</f>
        <v>44377</v>
      </c>
      <c r="D5" s="53">
        <f>+España!D30</f>
        <v>44469</v>
      </c>
      <c r="E5" s="53">
        <f>+España!E30</f>
        <v>44561</v>
      </c>
      <c r="F5" s="53">
        <f>+España!F30</f>
        <v>44651</v>
      </c>
      <c r="G5" s="53">
        <f>+España!G30</f>
        <v>44742</v>
      </c>
      <c r="H5" s="53">
        <f>+España!H30</f>
        <v>44834</v>
      </c>
      <c r="I5" s="53">
        <f>+España!I30</f>
        <v>44926</v>
      </c>
    </row>
    <row r="6" spans="1:18" ht="14.25">
      <c r="A6" s="43" t="str">
        <f>HLOOKUP(INDICE!$F$2,Nombres!$C$3:$D$636,52,FALSE)</f>
        <v>Cash, cash balances at central banks and other demand deposits</v>
      </c>
      <c r="B6" s="44">
        <v>54949.79</v>
      </c>
      <c r="C6" s="44">
        <v>61686.822</v>
      </c>
      <c r="D6" s="44">
        <v>63232.27</v>
      </c>
      <c r="E6" s="44">
        <v>67799.213</v>
      </c>
      <c r="F6" s="44">
        <v>70936.578</v>
      </c>
      <c r="G6" s="44">
        <v>0</v>
      </c>
      <c r="H6" s="44">
        <v>0</v>
      </c>
      <c r="I6" s="44">
        <v>0</v>
      </c>
      <c r="J6" s="54"/>
      <c r="K6" s="54"/>
      <c r="O6" s="54"/>
      <c r="P6" s="54"/>
      <c r="Q6" s="54"/>
      <c r="R6" s="54"/>
    </row>
    <row r="7" spans="1:18" ht="14.25">
      <c r="A7" s="43" t="str">
        <f>HLOOKUP(INDICE!$F$2,Nombres!$C$3:$D$636,131,FALSE)</f>
        <v>Financial assets held for trading</v>
      </c>
      <c r="B7" s="44">
        <v>98274.522</v>
      </c>
      <c r="C7" s="44">
        <v>102647.141</v>
      </c>
      <c r="D7" s="44">
        <v>106505.09</v>
      </c>
      <c r="E7" s="44">
        <v>123492.711</v>
      </c>
      <c r="F7" s="44">
        <v>112131.153</v>
      </c>
      <c r="G7" s="44">
        <v>0</v>
      </c>
      <c r="H7" s="44">
        <v>0</v>
      </c>
      <c r="I7" s="44">
        <v>0</v>
      </c>
      <c r="J7" s="54"/>
      <c r="K7" s="54"/>
      <c r="O7" s="54"/>
      <c r="P7" s="54"/>
      <c r="Q7" s="54"/>
      <c r="R7" s="54"/>
    </row>
    <row r="8" spans="1:18" ht="14.25">
      <c r="A8" s="43" t="str">
        <f>HLOOKUP(INDICE!$F$2,Nombres!$C$3:$D$636,132,FALSE)</f>
        <v>Non-trading financial assets mandatorily at fair value through profit or loss</v>
      </c>
      <c r="B8" s="44">
        <v>5488.333</v>
      </c>
      <c r="C8" s="44">
        <v>5742.114</v>
      </c>
      <c r="D8" s="44">
        <v>5873.735</v>
      </c>
      <c r="E8" s="44">
        <v>6085.755</v>
      </c>
      <c r="F8" s="44">
        <v>6624.612</v>
      </c>
      <c r="G8" s="44">
        <v>0</v>
      </c>
      <c r="H8" s="44">
        <v>0</v>
      </c>
      <c r="I8" s="44">
        <v>0</v>
      </c>
      <c r="J8" s="54"/>
      <c r="K8" s="54"/>
      <c r="O8" s="54"/>
      <c r="P8" s="54"/>
      <c r="Q8" s="54"/>
      <c r="R8" s="54"/>
    </row>
    <row r="9" spans="1:18" ht="14.25">
      <c r="A9" s="43" t="str">
        <f>HLOOKUP(INDICE!$F$2,Nombres!$C$3:$D$636,133,FALSE)</f>
        <v>Financial assets designated at fair value through profit or loss</v>
      </c>
      <c r="B9" s="44">
        <v>1110.309</v>
      </c>
      <c r="C9" s="44">
        <v>1106.563</v>
      </c>
      <c r="D9" s="44">
        <v>1136.922</v>
      </c>
      <c r="E9" s="44">
        <v>1091.698</v>
      </c>
      <c r="F9" s="44">
        <v>1035.864</v>
      </c>
      <c r="G9" s="44">
        <v>0</v>
      </c>
      <c r="H9" s="44">
        <v>0</v>
      </c>
      <c r="I9" s="44">
        <v>0</v>
      </c>
      <c r="J9" s="54"/>
      <c r="K9" s="54"/>
      <c r="O9" s="54"/>
      <c r="P9" s="54"/>
      <c r="Q9" s="54"/>
      <c r="R9" s="54"/>
    </row>
    <row r="10" spans="1:18" ht="14.25">
      <c r="A10" s="43" t="str">
        <f>HLOOKUP(INDICE!$F$2,Nombres!$C$3:$D$636,134,FALSE)</f>
        <v>Financial assets at fair value through accumulated other comprehensive income</v>
      </c>
      <c r="B10" s="44">
        <v>72771.319</v>
      </c>
      <c r="C10" s="44">
        <v>73185.632</v>
      </c>
      <c r="D10" s="44">
        <v>69962.881</v>
      </c>
      <c r="E10" s="44">
        <v>60421.173</v>
      </c>
      <c r="F10" s="44">
        <v>65103.1</v>
      </c>
      <c r="G10" s="44">
        <v>0</v>
      </c>
      <c r="H10" s="44">
        <v>0</v>
      </c>
      <c r="I10" s="44">
        <v>0</v>
      </c>
      <c r="J10" s="54"/>
      <c r="K10" s="54"/>
      <c r="O10" s="54"/>
      <c r="P10" s="54"/>
      <c r="Q10" s="54"/>
      <c r="R10" s="54"/>
    </row>
    <row r="11" spans="1:18" ht="14.25">
      <c r="A11" s="43" t="str">
        <f>HLOOKUP(INDICE!$F$2,Nombres!$C$3:$D$636,135,FALSE)</f>
        <v>Financial assets at amortized cost</v>
      </c>
      <c r="B11" s="44">
        <v>363753.935</v>
      </c>
      <c r="C11" s="44">
        <v>368025.67999999993</v>
      </c>
      <c r="D11" s="44">
        <v>370217.123</v>
      </c>
      <c r="E11" s="44">
        <v>372675.89300000004</v>
      </c>
      <c r="F11" s="44">
        <v>388030.52699999994</v>
      </c>
      <c r="G11" s="44">
        <v>0</v>
      </c>
      <c r="H11" s="44">
        <v>0</v>
      </c>
      <c r="I11" s="44">
        <v>0</v>
      </c>
      <c r="J11" s="54"/>
      <c r="K11" s="54"/>
      <c r="O11" s="54"/>
      <c r="P11" s="54"/>
      <c r="Q11" s="54"/>
      <c r="R11" s="54"/>
    </row>
    <row r="12" spans="1:18" ht="14.25">
      <c r="A12" s="55" t="str">
        <f>HLOOKUP(INDICE!$F$2,Nombres!$C$3:$D$636,136,FALSE)</f>
        <v>. Loans and advances to central banks and credit institutions </v>
      </c>
      <c r="B12" s="56">
        <v>16963.208</v>
      </c>
      <c r="C12" s="56">
        <v>16946.555</v>
      </c>
      <c r="D12" s="56">
        <v>18237.243</v>
      </c>
      <c r="E12" s="56">
        <v>18956.595999999998</v>
      </c>
      <c r="F12" s="56">
        <v>16749.572</v>
      </c>
      <c r="G12" s="56">
        <v>0</v>
      </c>
      <c r="H12" s="56">
        <v>0</v>
      </c>
      <c r="I12" s="56">
        <v>0</v>
      </c>
      <c r="J12" s="54"/>
      <c r="K12" s="54"/>
      <c r="O12" s="54"/>
      <c r="P12" s="54"/>
      <c r="Q12" s="54"/>
      <c r="R12" s="54"/>
    </row>
    <row r="13" spans="1:18" ht="14.25">
      <c r="A13" s="55" t="str">
        <f>HLOOKUP(INDICE!$F$2,Nombres!$C$3:$D$636,137,FALSE)</f>
        <v>. Loans and advances to customers</v>
      </c>
      <c r="B13" s="56">
        <v>310683.014</v>
      </c>
      <c r="C13" s="56">
        <v>315751.932</v>
      </c>
      <c r="D13" s="56">
        <v>316499.159</v>
      </c>
      <c r="E13" s="56">
        <v>318938.684</v>
      </c>
      <c r="F13" s="56">
        <v>335016.241</v>
      </c>
      <c r="G13" s="56">
        <v>0</v>
      </c>
      <c r="H13" s="56">
        <v>0</v>
      </c>
      <c r="I13" s="56">
        <v>0</v>
      </c>
      <c r="J13" s="54"/>
      <c r="K13" s="54"/>
      <c r="O13" s="54"/>
      <c r="P13" s="54"/>
      <c r="Q13" s="54"/>
      <c r="R13" s="54"/>
    </row>
    <row r="14" spans="1:18" ht="14.25">
      <c r="A14" s="55" t="str">
        <f>HLOOKUP(INDICE!$F$2,Nombres!$C$3:$D$636,138,FALSE)</f>
        <v>. Debt securities</v>
      </c>
      <c r="B14" s="56">
        <v>36107.713</v>
      </c>
      <c r="C14" s="56">
        <v>35327.193</v>
      </c>
      <c r="D14" s="56">
        <v>35480.721</v>
      </c>
      <c r="E14" s="56">
        <v>34780.613</v>
      </c>
      <c r="F14" s="56">
        <v>36264.714</v>
      </c>
      <c r="G14" s="56">
        <v>0</v>
      </c>
      <c r="H14" s="56">
        <v>0</v>
      </c>
      <c r="I14" s="56">
        <v>0</v>
      </c>
      <c r="J14" s="54"/>
      <c r="K14" s="54"/>
      <c r="O14" s="54"/>
      <c r="P14" s="54"/>
      <c r="Q14" s="54"/>
      <c r="R14" s="54"/>
    </row>
    <row r="15" spans="1:18" ht="15" customHeight="1" hidden="1">
      <c r="A15" s="43" t="str">
        <f>HLOOKUP(INDICE!$F$2,Nombres!$C$3:$D$636,139,FALSE)</f>
        <v>Held-to-maturity investments</v>
      </c>
      <c r="B15" s="57"/>
      <c r="C15" s="57"/>
      <c r="D15" s="57"/>
      <c r="E15" s="57"/>
      <c r="F15" s="57"/>
      <c r="G15" s="57"/>
      <c r="H15" s="57"/>
      <c r="I15" s="57"/>
      <c r="J15" s="54"/>
      <c r="K15" s="54"/>
      <c r="O15" s="54"/>
      <c r="P15" s="54"/>
      <c r="Q15" s="54"/>
      <c r="R15" s="54"/>
    </row>
    <row r="16" spans="1:18" ht="14.25">
      <c r="A16" s="43" t="str">
        <f>HLOOKUP(INDICE!$F$2,Nombres!$C$3:$D$636,140,FALSE)</f>
        <v>Investments in subsidiaries, joint ventures and associates</v>
      </c>
      <c r="B16" s="44">
        <v>1416.136</v>
      </c>
      <c r="C16" s="44">
        <v>1399.922</v>
      </c>
      <c r="D16" s="44">
        <v>880.324</v>
      </c>
      <c r="E16" s="44">
        <v>900.377</v>
      </c>
      <c r="F16" s="44">
        <v>911.008</v>
      </c>
      <c r="G16" s="44">
        <v>0</v>
      </c>
      <c r="H16" s="44">
        <v>0</v>
      </c>
      <c r="I16" s="44">
        <v>0</v>
      </c>
      <c r="J16" s="54"/>
      <c r="K16" s="54"/>
      <c r="O16" s="54"/>
      <c r="P16" s="54"/>
      <c r="Q16" s="54"/>
      <c r="R16" s="54"/>
    </row>
    <row r="17" spans="1:18" ht="14.25">
      <c r="A17" s="43" t="str">
        <f>HLOOKUP(INDICE!$F$2,Nombres!$C$3:$D$636,56,FALSE)</f>
        <v>Tangible assets</v>
      </c>
      <c r="B17" s="44">
        <v>7703.314</v>
      </c>
      <c r="C17" s="44">
        <v>7321.364</v>
      </c>
      <c r="D17" s="44">
        <v>7291.122</v>
      </c>
      <c r="E17" s="44">
        <v>7297.848</v>
      </c>
      <c r="F17" s="44">
        <v>7375.31</v>
      </c>
      <c r="G17" s="44">
        <v>0</v>
      </c>
      <c r="H17" s="44">
        <v>0</v>
      </c>
      <c r="I17" s="44">
        <v>0</v>
      </c>
      <c r="J17" s="54"/>
      <c r="K17" s="54"/>
      <c r="O17" s="54"/>
      <c r="P17" s="54"/>
      <c r="Q17" s="54"/>
      <c r="R17" s="54"/>
    </row>
    <row r="18" spans="1:18" ht="14.25">
      <c r="A18" s="43" t="str">
        <f>HLOOKUP(INDICE!$F$2,Nombres!$C$3:$D$636,141,FALSE)</f>
        <v>Intangible assets</v>
      </c>
      <c r="B18" s="44">
        <v>2297.155</v>
      </c>
      <c r="C18" s="44">
        <v>2303.017</v>
      </c>
      <c r="D18" s="44">
        <v>2270.716</v>
      </c>
      <c r="E18" s="44">
        <v>2197.305</v>
      </c>
      <c r="F18" s="44">
        <v>2223.527</v>
      </c>
      <c r="G18" s="44">
        <v>0</v>
      </c>
      <c r="H18" s="44">
        <v>0</v>
      </c>
      <c r="I18" s="44">
        <v>0</v>
      </c>
      <c r="J18" s="54"/>
      <c r="K18" s="54"/>
      <c r="O18" s="54"/>
      <c r="P18" s="54"/>
      <c r="Q18" s="54"/>
      <c r="R18" s="54"/>
    </row>
    <row r="19" spans="1:18" ht="14.25">
      <c r="A19" s="43" t="str">
        <f>HLOOKUP(INDICE!$F$2,Nombres!$C$3:$D$636,57,FALSE)</f>
        <v>Other assets</v>
      </c>
      <c r="B19" s="44">
        <v>109164.539</v>
      </c>
      <c r="C19" s="44">
        <v>21874.225000000002</v>
      </c>
      <c r="D19" s="44">
        <v>21890.901</v>
      </c>
      <c r="E19" s="44">
        <v>20922.711</v>
      </c>
      <c r="F19" s="44">
        <v>21470.694</v>
      </c>
      <c r="G19" s="44">
        <v>0</v>
      </c>
      <c r="H19" s="44">
        <v>0</v>
      </c>
      <c r="I19" s="44">
        <v>0</v>
      </c>
      <c r="J19" s="54"/>
      <c r="K19" s="54"/>
      <c r="O19" s="54"/>
      <c r="P19" s="54"/>
      <c r="Q19" s="54"/>
      <c r="R19" s="54"/>
    </row>
    <row r="20" spans="1:18" ht="14.25">
      <c r="A20" s="47" t="str">
        <f>HLOOKUP(INDICE!$F$2,Nombres!$C$3:$D$636,58,FALSE)</f>
        <v>Total assets / Liabilities and equity</v>
      </c>
      <c r="B20" s="47">
        <f aca="true" t="shared" si="0" ref="B20:I20">+SUM(B6:B11,B16:B19)</f>
        <v>716929.3520000002</v>
      </c>
      <c r="C20" s="47">
        <f t="shared" si="0"/>
        <v>645292.4799999999</v>
      </c>
      <c r="D20" s="47">
        <f t="shared" si="0"/>
        <v>649261.0839999999</v>
      </c>
      <c r="E20" s="47">
        <f t="shared" si="0"/>
        <v>662884.6840000001</v>
      </c>
      <c r="F20" s="47">
        <f t="shared" si="0"/>
        <v>675842.373</v>
      </c>
      <c r="G20" s="47">
        <f t="shared" si="0"/>
        <v>0</v>
      </c>
      <c r="H20" s="47">
        <f t="shared" si="0"/>
        <v>0</v>
      </c>
      <c r="I20" s="47">
        <f t="shared" si="0"/>
        <v>0</v>
      </c>
      <c r="J20" s="54"/>
      <c r="K20" s="54"/>
      <c r="O20" s="54"/>
      <c r="P20" s="54"/>
      <c r="Q20" s="54"/>
      <c r="R20" s="54"/>
    </row>
    <row r="21" spans="1:18" ht="14.25">
      <c r="A21" s="43" t="str">
        <f>HLOOKUP(INDICE!$F$2,Nombres!$C$3:$D$636,59,FALSE)</f>
        <v>Financial liabilities held for trading and designated at fair value through profit or loss</v>
      </c>
      <c r="B21" s="58">
        <v>78477.095</v>
      </c>
      <c r="C21" s="58">
        <v>79985.634</v>
      </c>
      <c r="D21" s="58">
        <v>80785.706</v>
      </c>
      <c r="E21" s="58">
        <v>91134.514</v>
      </c>
      <c r="F21" s="58">
        <v>85960.376</v>
      </c>
      <c r="G21" s="58">
        <v>0</v>
      </c>
      <c r="H21" s="58">
        <v>0</v>
      </c>
      <c r="I21" s="58">
        <v>0</v>
      </c>
      <c r="O21" s="54"/>
      <c r="P21" s="54"/>
      <c r="Q21" s="54"/>
      <c r="R21" s="54"/>
    </row>
    <row r="22" spans="1:18" ht="14.25">
      <c r="A22" s="43" t="str">
        <f>HLOOKUP(INDICE!$F$2,Nombres!$C$3:$D$636,142,FALSE)</f>
        <v>Other financial liabilities designated at fair value through profit or loss</v>
      </c>
      <c r="B22" s="58">
        <v>9713.58</v>
      </c>
      <c r="C22" s="58">
        <v>9811.104</v>
      </c>
      <c r="D22" s="58">
        <v>9725.514</v>
      </c>
      <c r="E22" s="58">
        <v>9683.471</v>
      </c>
      <c r="F22" s="58">
        <v>9761.475</v>
      </c>
      <c r="G22" s="58">
        <v>0</v>
      </c>
      <c r="H22" s="58">
        <v>0</v>
      </c>
      <c r="I22" s="58">
        <v>0</v>
      </c>
      <c r="J22" s="59"/>
      <c r="K22" s="59"/>
      <c r="L22" s="59"/>
      <c r="M22" s="59"/>
      <c r="N22" s="59"/>
      <c r="O22" s="54"/>
      <c r="P22" s="54"/>
      <c r="Q22" s="54"/>
      <c r="R22" s="54"/>
    </row>
    <row r="23" spans="1:18" ht="14.25">
      <c r="A23" s="43" t="str">
        <f>HLOOKUP(INDICE!$F$2,Nombres!$C$3:$D$636,143,FALSE)</f>
        <v>Financial liabilities at amortized cost</v>
      </c>
      <c r="B23" s="58">
        <v>475812.855</v>
      </c>
      <c r="C23" s="58">
        <v>479617.829</v>
      </c>
      <c r="D23" s="58">
        <v>481662.365</v>
      </c>
      <c r="E23" s="58">
        <v>487892.72</v>
      </c>
      <c r="F23" s="58">
        <v>504479.77</v>
      </c>
      <c r="G23" s="58">
        <v>0</v>
      </c>
      <c r="H23" s="58">
        <v>0</v>
      </c>
      <c r="I23" s="58">
        <v>0</v>
      </c>
      <c r="J23" s="59"/>
      <c r="K23" s="59"/>
      <c r="L23" s="59"/>
      <c r="M23" s="59"/>
      <c r="N23" s="59"/>
      <c r="O23" s="54"/>
      <c r="P23" s="54"/>
      <c r="Q23" s="54"/>
      <c r="R23" s="54"/>
    </row>
    <row r="24" spans="1:18" ht="14.25">
      <c r="A24" s="55" t="str">
        <f>HLOOKUP(INDICE!$F$2,Nombres!$C$3:$D$636,60,FALSE)</f>
        <v>Deposits from central banks and credit institutions</v>
      </c>
      <c r="B24" s="58">
        <v>74123.35800000001</v>
      </c>
      <c r="C24" s="58">
        <v>71644.65699999999</v>
      </c>
      <c r="D24" s="58">
        <v>71507.343</v>
      </c>
      <c r="E24" s="58">
        <v>67185.341</v>
      </c>
      <c r="F24" s="58">
        <v>73160.91500000001</v>
      </c>
      <c r="G24" s="58">
        <v>0</v>
      </c>
      <c r="H24" s="58">
        <v>0</v>
      </c>
      <c r="I24" s="58">
        <v>0</v>
      </c>
      <c r="O24" s="54"/>
      <c r="P24" s="54"/>
      <c r="Q24" s="54"/>
      <c r="R24" s="54"/>
    </row>
    <row r="25" spans="1:18" ht="14.25">
      <c r="A25" s="55" t="str">
        <f>HLOOKUP(INDICE!$F$2,Nombres!$C$3:$D$636,61,FALSE)</f>
        <v>Deposits from customers</v>
      </c>
      <c r="B25" s="58">
        <v>331063.659</v>
      </c>
      <c r="C25" s="58">
        <v>338794.954</v>
      </c>
      <c r="D25" s="58">
        <v>340827.854</v>
      </c>
      <c r="E25" s="58">
        <v>349761.487</v>
      </c>
      <c r="F25" s="58">
        <v>360716.419</v>
      </c>
      <c r="G25" s="58">
        <v>0</v>
      </c>
      <c r="H25" s="58">
        <v>0</v>
      </c>
      <c r="I25" s="58">
        <v>0</v>
      </c>
      <c r="O25" s="54"/>
      <c r="P25" s="54"/>
      <c r="Q25" s="54"/>
      <c r="R25" s="54"/>
    </row>
    <row r="26" spans="1:18" ht="14.25">
      <c r="A26" s="55" t="str">
        <f>HLOOKUP(INDICE!$F$2,Nombres!$C$3:$D$636,62,FALSE)</f>
        <v>Debt certificates</v>
      </c>
      <c r="B26" s="58">
        <v>57417.941</v>
      </c>
      <c r="C26" s="58">
        <v>55046.618</v>
      </c>
      <c r="D26" s="58">
        <v>55396.81</v>
      </c>
      <c r="E26" s="58">
        <v>55763.274</v>
      </c>
      <c r="F26" s="58">
        <v>53539.702</v>
      </c>
      <c r="G26" s="58">
        <v>0</v>
      </c>
      <c r="H26" s="58">
        <v>0</v>
      </c>
      <c r="I26" s="58">
        <v>0</v>
      </c>
      <c r="O26" s="54"/>
      <c r="P26" s="54"/>
      <c r="Q26" s="54"/>
      <c r="R26" s="54"/>
    </row>
    <row r="27" spans="1:18" ht="14.25">
      <c r="A27" s="55" t="str">
        <f>HLOOKUP(INDICE!$F$2,Nombres!$C$3:$D$636,144,FALSE)</f>
        <v>. Other financial liabilities</v>
      </c>
      <c r="B27" s="58">
        <v>13207.897</v>
      </c>
      <c r="C27" s="58">
        <v>14131.6</v>
      </c>
      <c r="D27" s="58">
        <v>13930.358</v>
      </c>
      <c r="E27" s="58">
        <v>15182.618</v>
      </c>
      <c r="F27" s="58">
        <v>17062.734</v>
      </c>
      <c r="G27" s="58">
        <v>0</v>
      </c>
      <c r="H27" s="58">
        <v>0</v>
      </c>
      <c r="I27" s="58">
        <v>0</v>
      </c>
      <c r="O27" s="54"/>
      <c r="P27" s="54"/>
      <c r="Q27" s="54"/>
      <c r="R27" s="54"/>
    </row>
    <row r="28" spans="1:18" ht="14.25">
      <c r="A28" s="43" t="str">
        <f>HLOOKUP(INDICE!$F$2,Nombres!$C$3:$D$636,145,FALSE)</f>
        <v>Liabilities under insurance and reinsurance contracts</v>
      </c>
      <c r="B28" s="58">
        <v>10325.477</v>
      </c>
      <c r="C28" s="58">
        <v>10535.323</v>
      </c>
      <c r="D28" s="58">
        <v>10564.065</v>
      </c>
      <c r="E28" s="58">
        <v>10864.78</v>
      </c>
      <c r="F28" s="58">
        <v>11093.977</v>
      </c>
      <c r="G28" s="58">
        <v>0</v>
      </c>
      <c r="H28" s="58">
        <v>0</v>
      </c>
      <c r="I28" s="58">
        <v>0</v>
      </c>
      <c r="O28" s="54"/>
      <c r="P28" s="54"/>
      <c r="Q28" s="54"/>
      <c r="R28" s="54"/>
    </row>
    <row r="29" spans="1:18" ht="14.25">
      <c r="A29" s="43" t="str">
        <f>HLOOKUP(INDICE!$F$2,Nombres!$C$3:$D$636,63,FALSE)</f>
        <v>Other liabilities</v>
      </c>
      <c r="B29" s="58">
        <v>91889.053</v>
      </c>
      <c r="C29" s="58">
        <v>15398.419999999998</v>
      </c>
      <c r="D29" s="58">
        <v>15956.514</v>
      </c>
      <c r="E29" s="58">
        <v>14549.081</v>
      </c>
      <c r="F29" s="58">
        <v>16289.127999999999</v>
      </c>
      <c r="G29" s="58">
        <v>0</v>
      </c>
      <c r="H29" s="58">
        <v>0</v>
      </c>
      <c r="I29" s="58">
        <v>0</v>
      </c>
      <c r="O29" s="54"/>
      <c r="P29" s="54"/>
      <c r="Q29" s="54"/>
      <c r="R29" s="54"/>
    </row>
    <row r="30" spans="1:18" ht="14.25">
      <c r="A30" s="41" t="str">
        <f>HLOOKUP(INDICE!$F$2,Nombres!$C$3:$D$636,146,FALSE)</f>
        <v>Total liabilities</v>
      </c>
      <c r="B30" s="60">
        <f aca="true" t="shared" si="1" ref="B30:I30">+SUM(B21:B23,B28:B29)</f>
        <v>666218.0599999999</v>
      </c>
      <c r="C30" s="60">
        <f t="shared" si="1"/>
        <v>595348.31</v>
      </c>
      <c r="D30" s="60">
        <f t="shared" si="1"/>
        <v>598694.1639999999</v>
      </c>
      <c r="E30" s="60">
        <f t="shared" si="1"/>
        <v>614124.566</v>
      </c>
      <c r="F30" s="60">
        <f t="shared" si="1"/>
        <v>627584.726</v>
      </c>
      <c r="G30" s="60">
        <f t="shared" si="1"/>
        <v>0</v>
      </c>
      <c r="H30" s="60">
        <f t="shared" si="1"/>
        <v>0</v>
      </c>
      <c r="I30" s="60">
        <f t="shared" si="1"/>
        <v>0</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Non-controlling interests</v>
      </c>
      <c r="B32" s="58">
        <v>5395.961</v>
      </c>
      <c r="C32" s="58">
        <v>5428.254</v>
      </c>
      <c r="D32" s="58">
        <v>5628.132</v>
      </c>
      <c r="E32" s="58">
        <v>4853.013</v>
      </c>
      <c r="F32" s="58">
        <v>5258.149</v>
      </c>
      <c r="G32" s="58">
        <v>0</v>
      </c>
      <c r="H32" s="58">
        <v>0</v>
      </c>
      <c r="I32" s="58">
        <v>0</v>
      </c>
      <c r="O32" s="54"/>
      <c r="P32" s="54"/>
      <c r="Q32" s="54"/>
      <c r="R32" s="54"/>
    </row>
    <row r="33" spans="1:18" ht="15" customHeight="1" hidden="1">
      <c r="A33" s="43" t="str">
        <f>HLOOKUP(INDICE!$F$2,Nombres!$C$3:$D$636,148,FALSE)</f>
        <v>Accumulated other comprehensive income</v>
      </c>
      <c r="B33" s="58">
        <v>-14718.02</v>
      </c>
      <c r="C33" s="58">
        <v>-15348.029</v>
      </c>
      <c r="D33" s="58">
        <v>-15683.671</v>
      </c>
      <c r="E33" s="58">
        <v>-16476.235</v>
      </c>
      <c r="F33" s="58">
        <v>-16467.35</v>
      </c>
      <c r="G33" s="58">
        <v>0</v>
      </c>
      <c r="H33" s="58">
        <v>0</v>
      </c>
      <c r="I33" s="58">
        <v>0</v>
      </c>
      <c r="O33" s="54"/>
      <c r="P33" s="54"/>
      <c r="Q33" s="54"/>
      <c r="R33" s="54"/>
    </row>
    <row r="34" spans="1:18" ht="15" customHeight="1" hidden="1">
      <c r="A34" s="43" t="str">
        <f>HLOOKUP(INDICE!$F$2,Nombres!$C$3:$D$636,149,FALSE)</f>
        <v>Shareholders' funds</v>
      </c>
      <c r="B34" s="58">
        <v>60033.351</v>
      </c>
      <c r="C34" s="58">
        <v>59863.941</v>
      </c>
      <c r="D34" s="58">
        <v>60622.46</v>
      </c>
      <c r="E34" s="58">
        <v>60383.344</v>
      </c>
      <c r="F34" s="58">
        <v>59466.84699999999</v>
      </c>
      <c r="G34" s="58">
        <v>0</v>
      </c>
      <c r="H34" s="58">
        <v>0</v>
      </c>
      <c r="I34" s="58">
        <v>0</v>
      </c>
      <c r="O34" s="54"/>
      <c r="P34" s="54"/>
      <c r="Q34" s="54"/>
      <c r="R34" s="54"/>
    </row>
    <row r="35" spans="1:18" ht="14.25">
      <c r="A35" s="41" t="str">
        <f>HLOOKUP(INDICE!$F$2,Nombres!$C$3:$D$636,150,FALSE)</f>
        <v>Total equity</v>
      </c>
      <c r="B35" s="60">
        <f aca="true" t="shared" si="2" ref="B35:I35">+B32+B33+B34</f>
        <v>50711.292</v>
      </c>
      <c r="C35" s="60">
        <f t="shared" si="2"/>
        <v>49944.166</v>
      </c>
      <c r="D35" s="60">
        <f t="shared" si="2"/>
        <v>50566.921</v>
      </c>
      <c r="E35" s="60">
        <f t="shared" si="2"/>
        <v>48760.121999999996</v>
      </c>
      <c r="F35" s="60">
        <f t="shared" si="2"/>
        <v>48257.64599999999</v>
      </c>
      <c r="G35" s="60">
        <f t="shared" si="2"/>
        <v>0</v>
      </c>
      <c r="H35" s="60">
        <f t="shared" si="2"/>
        <v>0</v>
      </c>
      <c r="I35" s="60">
        <f t="shared" si="2"/>
        <v>0</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equity and liabilities</v>
      </c>
      <c r="B37" s="47">
        <f>+B20</f>
        <v>716929.3520000002</v>
      </c>
      <c r="C37" s="47">
        <f aca="true" t="shared" si="3" ref="C37:I37">+C20</f>
        <v>645292.4799999999</v>
      </c>
      <c r="D37" s="47">
        <f t="shared" si="3"/>
        <v>649261.0839999999</v>
      </c>
      <c r="E37" s="47">
        <f t="shared" si="3"/>
        <v>662884.6840000001</v>
      </c>
      <c r="F37" s="47">
        <f t="shared" si="3"/>
        <v>675842.373</v>
      </c>
      <c r="G37" s="47">
        <f t="shared" si="3"/>
        <v>0</v>
      </c>
      <c r="H37" s="47">
        <f t="shared" si="3"/>
        <v>0</v>
      </c>
      <c r="I37" s="47">
        <f t="shared" si="3"/>
        <v>0</v>
      </c>
      <c r="O37" s="54"/>
      <c r="P37" s="54"/>
      <c r="Q37" s="54"/>
      <c r="R37" s="54"/>
    </row>
    <row r="38" spans="1:9" ht="14.2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4.2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0" t="str">
        <f>HLOOKUP(INDICE!$F$2,Nombres!$C$3:$D$636,297,FALSE)</f>
        <v>General note: figures considering companies in the United States included in the sale agreement signed with PNC and BBVA Paraguay as Non-current Assets and Liabilities Held for Sale</v>
      </c>
      <c r="B40" s="300"/>
      <c r="C40" s="300"/>
      <c r="D40" s="300"/>
      <c r="E40" s="300"/>
      <c r="F40" s="300"/>
      <c r="G40" s="300"/>
      <c r="H40" s="300"/>
      <c r="I40" s="300"/>
    </row>
    <row r="41" spans="1:9" ht="14.25">
      <c r="A41" s="62"/>
      <c r="B41" s="58"/>
      <c r="C41" s="58"/>
      <c r="D41" s="58"/>
      <c r="E41" s="58"/>
      <c r="F41" s="58"/>
      <c r="G41" s="58"/>
      <c r="H41" s="58"/>
      <c r="I41" s="58"/>
    </row>
    <row r="42" spans="1:9" ht="14.25">
      <c r="A42" s="43"/>
      <c r="B42" s="58"/>
      <c r="C42" s="58"/>
      <c r="D42" s="58"/>
      <c r="E42" s="58"/>
      <c r="F42" s="58"/>
      <c r="G42" s="58"/>
      <c r="H42" s="58"/>
      <c r="I42" s="58"/>
    </row>
    <row r="43" spans="1:9" ht="14.25">
      <c r="A43" s="62"/>
      <c r="B43" s="284">
        <v>5.0175003707408905E-08</v>
      </c>
      <c r="C43" s="284">
        <v>5.972106009721756E-08</v>
      </c>
      <c r="D43" s="284">
        <v>-6.007030606269836E-08</v>
      </c>
      <c r="E43" s="284">
        <v>-1.0989606380462646E-07</v>
      </c>
      <c r="F43" s="284">
        <v>-4.98257577419281E-08</v>
      </c>
      <c r="G43" s="284">
        <v>0</v>
      </c>
      <c r="H43" s="284">
        <v>0</v>
      </c>
      <c r="I43" s="284">
        <v>0</v>
      </c>
    </row>
    <row r="44" ht="14.25">
      <c r="B44" s="54"/>
    </row>
    <row r="46" ht="14.25">
      <c r="B46" s="54"/>
    </row>
    <row r="1000" ht="14.25">
      <c r="A1000" s="31" t="s">
        <v>392</v>
      </c>
    </row>
  </sheetData>
  <sheetProtection/>
  <mergeCells count="1">
    <mergeCell ref="A40:I40"/>
  </mergeCells>
  <conditionalFormatting sqref="F39:I39">
    <cfRule type="cellIs" priority="11" dxfId="128" operator="notBetween">
      <formula>0.5</formula>
      <formula>-0.5</formula>
    </cfRule>
  </conditionalFormatting>
  <conditionalFormatting sqref="I38">
    <cfRule type="cellIs" priority="10" dxfId="74" operator="notBetween">
      <formula>0.001</formula>
      <formula>-0.001</formula>
    </cfRule>
  </conditionalFormatting>
  <conditionalFormatting sqref="H38">
    <cfRule type="cellIs" priority="9" dxfId="74" operator="notBetween">
      <formula>0.001</formula>
      <formula>-0.001</formula>
    </cfRule>
  </conditionalFormatting>
  <conditionalFormatting sqref="G38">
    <cfRule type="cellIs" priority="8" dxfId="74" operator="notBetween">
      <formula>0.001</formula>
      <formula>-0.001</formula>
    </cfRule>
  </conditionalFormatting>
  <conditionalFormatting sqref="F38">
    <cfRule type="cellIs" priority="7" dxfId="74" operator="notBetween">
      <formula>0.001</formula>
      <formula>-0.001</formula>
    </cfRule>
  </conditionalFormatting>
  <conditionalFormatting sqref="B39:E39">
    <cfRule type="cellIs" priority="6" dxfId="128" operator="notBetween">
      <formula>0.5</formula>
      <formula>-0.5</formula>
    </cfRule>
  </conditionalFormatting>
  <conditionalFormatting sqref="E38">
    <cfRule type="cellIs" priority="5" dxfId="74" operator="notBetween">
      <formula>0.001</formula>
      <formula>-0.001</formula>
    </cfRule>
  </conditionalFormatting>
  <conditionalFormatting sqref="D38">
    <cfRule type="cellIs" priority="4" dxfId="74" operator="notBetween">
      <formula>0.001</formula>
      <formula>-0.001</formula>
    </cfRule>
  </conditionalFormatting>
  <conditionalFormatting sqref="C38">
    <cfRule type="cellIs" priority="3" dxfId="74" operator="notBetween">
      <formula>0.001</formula>
      <formula>-0.001</formula>
    </cfRule>
  </conditionalFormatting>
  <conditionalFormatting sqref="B38">
    <cfRule type="cellIs" priority="2" dxfId="74" operator="notBetween">
      <formula>0.001</formula>
      <formula>-0.001</formula>
    </cfRule>
  </conditionalFormatting>
  <conditionalFormatting sqref="B43:I43">
    <cfRule type="cellIs" priority="1" dxfId="128"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HLOOKUP(INDICE!$F$2,Nombres!$C$3:$D$636,7,FALSE)</f>
        <v>Spain</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v>2021</v>
      </c>
      <c r="C6" s="301"/>
      <c r="D6" s="301"/>
      <c r="E6" s="302"/>
      <c r="F6" s="301">
        <v>2022</v>
      </c>
      <c r="G6" s="301"/>
      <c r="H6" s="301"/>
      <c r="I6" s="301"/>
    </row>
    <row r="7" spans="1:9" ht="14.2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c r="I7" s="39" t="str">
        <f>HLOOKUP(INDICE!$F$2,Nombres!$C$3:$D$636,170,FALSE)</f>
        <v>4Q</v>
      </c>
    </row>
    <row r="8" spans="1:9" ht="14.25">
      <c r="A8" s="41" t="str">
        <f>HLOOKUP(INDICE!$F$2,Nombres!$C$3:$D$636,33,FALSE)</f>
        <v>Net interest income</v>
      </c>
      <c r="B8" s="41">
        <v>866.1733313800001</v>
      </c>
      <c r="C8" s="41">
        <v>894.9913202700002</v>
      </c>
      <c r="D8" s="41">
        <v>872.3806724699999</v>
      </c>
      <c r="E8" s="42">
        <v>867.0898095700002</v>
      </c>
      <c r="F8" s="50">
        <v>859.0991665799999</v>
      </c>
      <c r="G8" s="50">
        <v>0</v>
      </c>
      <c r="H8" s="50">
        <v>0</v>
      </c>
      <c r="I8" s="50">
        <v>0</v>
      </c>
    </row>
    <row r="9" spans="1:9" ht="14.25">
      <c r="A9" s="43" t="str">
        <f>HLOOKUP(INDICE!$F$2,Nombres!$C$3:$D$636,34,FALSE)</f>
        <v>Net fees and commissions</v>
      </c>
      <c r="B9" s="44">
        <v>508.5603078900001</v>
      </c>
      <c r="C9" s="44">
        <v>552.2360509</v>
      </c>
      <c r="D9" s="44">
        <v>535.41188663</v>
      </c>
      <c r="E9" s="45">
        <v>598.4288345199999</v>
      </c>
      <c r="F9" s="44">
        <v>535.9141621699999</v>
      </c>
      <c r="G9" s="44">
        <v>0</v>
      </c>
      <c r="H9" s="44">
        <v>0</v>
      </c>
      <c r="I9" s="44">
        <v>0</v>
      </c>
    </row>
    <row r="10" spans="1:9" ht="14.25">
      <c r="A10" s="43" t="str">
        <f>HLOOKUP(INDICE!$F$2,Nombres!$C$3:$D$636,35,FALSE)</f>
        <v>Net trading income</v>
      </c>
      <c r="B10" s="44">
        <v>187.42350033999998</v>
      </c>
      <c r="C10" s="44">
        <v>71.74822754</v>
      </c>
      <c r="D10" s="44">
        <v>6.268376649999986</v>
      </c>
      <c r="E10" s="45">
        <v>38.771783889999995</v>
      </c>
      <c r="F10" s="44">
        <v>189.81198705999998</v>
      </c>
      <c r="G10" s="44">
        <v>0</v>
      </c>
      <c r="H10" s="44">
        <v>0</v>
      </c>
      <c r="I10" s="44">
        <v>0</v>
      </c>
    </row>
    <row r="11" spans="1:9" ht="14.25">
      <c r="A11" s="43" t="str">
        <f>HLOOKUP(INDICE!$F$2,Nombres!$C$3:$D$636,36,FALSE)</f>
        <v>Other operating income and expenses</v>
      </c>
      <c r="B11" s="44">
        <v>70.82128579</v>
      </c>
      <c r="C11" s="44">
        <v>-117.29963506999995</v>
      </c>
      <c r="D11" s="44">
        <v>65.01331009999991</v>
      </c>
      <c r="E11" s="45">
        <v>-127.63029758999994</v>
      </c>
      <c r="F11" s="44">
        <v>78.52728025999998</v>
      </c>
      <c r="G11" s="44">
        <v>0</v>
      </c>
      <c r="H11" s="44">
        <v>0</v>
      </c>
      <c r="I11" s="44">
        <v>0</v>
      </c>
    </row>
    <row r="12" spans="1:9" ht="14.25">
      <c r="A12" s="41" t="str">
        <f>HLOOKUP(INDICE!$F$2,Nombres!$C$3:$D$636,37,FALSE)</f>
        <v>Gross income</v>
      </c>
      <c r="B12" s="41">
        <f>+SUM(B8:B11)</f>
        <v>1632.9784254000003</v>
      </c>
      <c r="C12" s="41">
        <f aca="true" t="shared" si="0" ref="C12:I12">+SUM(C8:C11)</f>
        <v>1401.6759636400002</v>
      </c>
      <c r="D12" s="41">
        <f t="shared" si="0"/>
        <v>1479.0742458499997</v>
      </c>
      <c r="E12" s="42">
        <f t="shared" si="0"/>
        <v>1376.6601303900002</v>
      </c>
      <c r="F12" s="50">
        <f t="shared" si="0"/>
        <v>1663.3525960699997</v>
      </c>
      <c r="G12" s="50">
        <f t="shared" si="0"/>
        <v>0</v>
      </c>
      <c r="H12" s="50">
        <f t="shared" si="0"/>
        <v>0</v>
      </c>
      <c r="I12" s="50">
        <f t="shared" si="0"/>
        <v>0</v>
      </c>
    </row>
    <row r="13" spans="1:9" ht="14.25">
      <c r="A13" s="43" t="str">
        <f>HLOOKUP(INDICE!$F$2,Nombres!$C$3:$D$636,38,FALSE)</f>
        <v>Operating expenses</v>
      </c>
      <c r="B13" s="44">
        <v>-756.01776594</v>
      </c>
      <c r="C13" s="44">
        <v>-749.490817</v>
      </c>
      <c r="D13" s="44">
        <v>-748.9192592500001</v>
      </c>
      <c r="E13" s="45">
        <v>-788.5616905500001</v>
      </c>
      <c r="F13" s="44">
        <v>-713.5149379100001</v>
      </c>
      <c r="G13" s="44">
        <v>0</v>
      </c>
      <c r="H13" s="44">
        <v>0</v>
      </c>
      <c r="I13" s="44">
        <v>0</v>
      </c>
    </row>
    <row r="14" spans="1:9" ht="14.25">
      <c r="A14" s="43" t="str">
        <f>HLOOKUP(INDICE!$F$2,Nombres!$C$3:$D$636,39,FALSE)</f>
        <v>  Administration expenses</v>
      </c>
      <c r="B14" s="44">
        <v>-645.9175883</v>
      </c>
      <c r="C14" s="44">
        <v>-640.0504873599999</v>
      </c>
      <c r="D14" s="44">
        <v>-641.95983161</v>
      </c>
      <c r="E14" s="45">
        <v>-684.2307109100001</v>
      </c>
      <c r="F14" s="44">
        <v>-608.89190927</v>
      </c>
      <c r="G14" s="44">
        <v>0</v>
      </c>
      <c r="H14" s="44">
        <v>0</v>
      </c>
      <c r="I14" s="44">
        <v>0</v>
      </c>
    </row>
    <row r="15" spans="1:9" ht="14.25">
      <c r="A15" s="46" t="str">
        <f>HLOOKUP(INDICE!$F$2,Nombres!$C$3:$D$636,40,FALSE)</f>
        <v>  Personnel expenses</v>
      </c>
      <c r="B15" s="44">
        <v>-427.62491108000006</v>
      </c>
      <c r="C15" s="44">
        <v>-423.71259944999997</v>
      </c>
      <c r="D15" s="44">
        <v>-428.12319434</v>
      </c>
      <c r="E15" s="45">
        <v>-458.05536249000005</v>
      </c>
      <c r="F15" s="44">
        <v>-382.61152745000004</v>
      </c>
      <c r="G15" s="44">
        <v>0</v>
      </c>
      <c r="H15" s="44">
        <v>0</v>
      </c>
      <c r="I15" s="44">
        <v>0</v>
      </c>
    </row>
    <row r="16" spans="1:9" ht="14.25">
      <c r="A16" s="46" t="str">
        <f>HLOOKUP(INDICE!$F$2,Nombres!$C$3:$D$636,41,FALSE)</f>
        <v>  General and administrative expenses</v>
      </c>
      <c r="B16" s="44">
        <v>-218.29267722</v>
      </c>
      <c r="C16" s="44">
        <v>-216.33788791</v>
      </c>
      <c r="D16" s="44">
        <v>-213.83663726999998</v>
      </c>
      <c r="E16" s="45">
        <v>-226.17534842</v>
      </c>
      <c r="F16" s="44">
        <v>-226.28038182000003</v>
      </c>
      <c r="G16" s="44">
        <v>0</v>
      </c>
      <c r="H16" s="44">
        <v>0</v>
      </c>
      <c r="I16" s="44">
        <v>0</v>
      </c>
    </row>
    <row r="17" spans="1:9" ht="14.25">
      <c r="A17" s="43" t="str">
        <f>HLOOKUP(INDICE!$F$2,Nombres!$C$3:$D$636,42,FALSE)</f>
        <v>  Depreciation</v>
      </c>
      <c r="B17" s="44">
        <v>-110.10017764</v>
      </c>
      <c r="C17" s="44">
        <v>-109.44032964000002</v>
      </c>
      <c r="D17" s="44">
        <v>-106.95942764000002</v>
      </c>
      <c r="E17" s="45">
        <v>-104.33097963999998</v>
      </c>
      <c r="F17" s="44">
        <v>-104.62302864</v>
      </c>
      <c r="G17" s="44">
        <v>0</v>
      </c>
      <c r="H17" s="44">
        <v>0</v>
      </c>
      <c r="I17" s="44">
        <v>0</v>
      </c>
    </row>
    <row r="18" spans="1:9" ht="14.25">
      <c r="A18" s="41" t="str">
        <f>HLOOKUP(INDICE!$F$2,Nombres!$C$3:$D$636,43,FALSE)</f>
        <v>Operating income</v>
      </c>
      <c r="B18" s="41">
        <f>+B12+B13</f>
        <v>876.9606594600003</v>
      </c>
      <c r="C18" s="41">
        <f aca="true" t="shared" si="1" ref="C18:I18">+C12+C13</f>
        <v>652.1851466400002</v>
      </c>
      <c r="D18" s="41">
        <f t="shared" si="1"/>
        <v>730.1549865999996</v>
      </c>
      <c r="E18" s="42">
        <f t="shared" si="1"/>
        <v>588.0984398400001</v>
      </c>
      <c r="F18" s="50">
        <f t="shared" si="1"/>
        <v>949.8376581599996</v>
      </c>
      <c r="G18" s="50">
        <f t="shared" si="1"/>
        <v>0</v>
      </c>
      <c r="H18" s="50">
        <f t="shared" si="1"/>
        <v>0</v>
      </c>
      <c r="I18" s="50">
        <f t="shared" si="1"/>
        <v>0</v>
      </c>
    </row>
    <row r="19" spans="1:9" ht="14.25">
      <c r="A19" s="43" t="str">
        <f>HLOOKUP(INDICE!$F$2,Nombres!$C$3:$D$636,44,FALSE)</f>
        <v>Impaiment on financial assets not measured at fair value through profit or loss</v>
      </c>
      <c r="B19" s="44">
        <v>-185.07156827999998</v>
      </c>
      <c r="C19" s="44">
        <v>-157.79771086000002</v>
      </c>
      <c r="D19" s="44">
        <v>-58.88365385999998</v>
      </c>
      <c r="E19" s="45">
        <v>-100.76156113000005</v>
      </c>
      <c r="F19" s="44">
        <v>-89.41895372000002</v>
      </c>
      <c r="G19" s="44">
        <v>0</v>
      </c>
      <c r="H19" s="44">
        <v>0</v>
      </c>
      <c r="I19" s="44">
        <v>0</v>
      </c>
    </row>
    <row r="20" spans="1:9" ht="14.25">
      <c r="A20" s="43" t="str">
        <f>HLOOKUP(INDICE!$F$2,Nombres!$C$3:$D$636,45,FALSE)</f>
        <v>Provisions or reversal of provisions and other results</v>
      </c>
      <c r="B20" s="44">
        <v>-185.51916521</v>
      </c>
      <c r="C20" s="44">
        <v>-16.201349169999986</v>
      </c>
      <c r="D20" s="44">
        <v>-40.184533</v>
      </c>
      <c r="E20" s="45">
        <v>-28.34556425999998</v>
      </c>
      <c r="F20" s="44">
        <v>-19.42208866</v>
      </c>
      <c r="G20" s="44">
        <v>0</v>
      </c>
      <c r="H20" s="44">
        <v>0</v>
      </c>
      <c r="I20" s="44">
        <v>0</v>
      </c>
    </row>
    <row r="21" spans="1:9" ht="14.25">
      <c r="A21" s="41" t="str">
        <f>HLOOKUP(INDICE!$F$2,Nombres!$C$3:$D$636,46,FALSE)</f>
        <v>Profit/(loss) before tax</v>
      </c>
      <c r="B21" s="41">
        <f>+B18+B19+B20</f>
        <v>506.3699259700004</v>
      </c>
      <c r="C21" s="41">
        <f aca="true" t="shared" si="2" ref="C21:I21">+C18+C19+C20</f>
        <v>478.1860866100002</v>
      </c>
      <c r="D21" s="41">
        <f t="shared" si="2"/>
        <v>631.0867997399996</v>
      </c>
      <c r="E21" s="42">
        <f t="shared" si="2"/>
        <v>458.99131445000006</v>
      </c>
      <c r="F21" s="50">
        <f t="shared" si="2"/>
        <v>840.9966157799996</v>
      </c>
      <c r="G21" s="50">
        <f t="shared" si="2"/>
        <v>0</v>
      </c>
      <c r="H21" s="50">
        <f t="shared" si="2"/>
        <v>0</v>
      </c>
      <c r="I21" s="50">
        <f t="shared" si="2"/>
        <v>0</v>
      </c>
    </row>
    <row r="22" spans="1:9" ht="14.25">
      <c r="A22" s="43" t="str">
        <f>HLOOKUP(INDICE!$F$2,Nombres!$C$3:$D$636,47,FALSE)</f>
        <v>Income tax</v>
      </c>
      <c r="B22" s="44">
        <v>-135.70944273</v>
      </c>
      <c r="C22" s="44">
        <v>-122.18198357999998</v>
      </c>
      <c r="D22" s="44">
        <v>-165.33251455999996</v>
      </c>
      <c r="E22" s="45">
        <v>-100.86645799000004</v>
      </c>
      <c r="F22" s="44">
        <v>-239.42309053999998</v>
      </c>
      <c r="G22" s="44">
        <v>0</v>
      </c>
      <c r="H22" s="44">
        <v>0</v>
      </c>
      <c r="I22" s="44">
        <v>0</v>
      </c>
    </row>
    <row r="23" spans="1:9" ht="14.25">
      <c r="A23" s="41" t="str">
        <f>HLOOKUP(INDICE!$F$2,Nombres!$C$3:$D$636,48,FALSE)</f>
        <v>Profit/(loss) for the year</v>
      </c>
      <c r="B23" s="41">
        <f>+B21+B22</f>
        <v>370.6604832400004</v>
      </c>
      <c r="C23" s="41">
        <f aca="true" t="shared" si="3" ref="C23:I23">+C21+C22</f>
        <v>356.00410303000024</v>
      </c>
      <c r="D23" s="41">
        <f t="shared" si="3"/>
        <v>465.75428517999967</v>
      </c>
      <c r="E23" s="42">
        <f t="shared" si="3"/>
        <v>358.12485646000005</v>
      </c>
      <c r="F23" s="50">
        <f t="shared" si="3"/>
        <v>601.5735252399996</v>
      </c>
      <c r="G23" s="50">
        <f t="shared" si="3"/>
        <v>0</v>
      </c>
      <c r="H23" s="50">
        <f t="shared" si="3"/>
        <v>0</v>
      </c>
      <c r="I23" s="50">
        <f t="shared" si="3"/>
        <v>0</v>
      </c>
    </row>
    <row r="24" spans="1:9" ht="14.25">
      <c r="A24" s="43" t="str">
        <f>HLOOKUP(INDICE!$F$2,Nombres!$C$3:$D$636,49,FALSE)</f>
        <v>Non-controlling interests</v>
      </c>
      <c r="B24" s="44">
        <v>-0.6923230899999999</v>
      </c>
      <c r="C24" s="44">
        <v>-0.7216836099999999</v>
      </c>
      <c r="D24" s="44">
        <v>-0.4960173900000002</v>
      </c>
      <c r="E24" s="45">
        <v>-0.43946732999999993</v>
      </c>
      <c r="F24" s="44">
        <v>-0.9564782700000001</v>
      </c>
      <c r="G24" s="44">
        <v>0</v>
      </c>
      <c r="H24" s="44">
        <v>0</v>
      </c>
      <c r="I24" s="44">
        <v>0</v>
      </c>
    </row>
    <row r="25" spans="1:9" ht="14.25">
      <c r="A25" s="47" t="str">
        <f>HLOOKUP(INDICE!$F$2,Nombres!$C$3:$D$636,50,FALSE)</f>
        <v>Net attributable profit</v>
      </c>
      <c r="B25" s="47">
        <f>+B23+B24</f>
        <v>369.9681601500004</v>
      </c>
      <c r="C25" s="47">
        <f aca="true" t="shared" si="4" ref="C25:I25">+C23+C24</f>
        <v>355.2824194200002</v>
      </c>
      <c r="D25" s="47">
        <f t="shared" si="4"/>
        <v>465.25826778999965</v>
      </c>
      <c r="E25" s="47">
        <f t="shared" si="4"/>
        <v>357.68538913000003</v>
      </c>
      <c r="F25" s="51">
        <f t="shared" si="4"/>
        <v>600.6170469699996</v>
      </c>
      <c r="G25" s="51">
        <f t="shared" si="4"/>
        <v>0</v>
      </c>
      <c r="H25" s="51">
        <f t="shared" si="4"/>
        <v>0</v>
      </c>
      <c r="I25" s="51">
        <f t="shared" si="4"/>
        <v>0</v>
      </c>
    </row>
    <row r="26" spans="1:9" ht="14.25">
      <c r="A26" s="62"/>
      <c r="B26" s="63">
        <v>0</v>
      </c>
      <c r="C26" s="63">
        <v>0</v>
      </c>
      <c r="D26" s="63">
        <v>0</v>
      </c>
      <c r="E26" s="63">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v>44286</v>
      </c>
      <c r="C30" s="53">
        <v>44377</v>
      </c>
      <c r="D30" s="53">
        <v>44469</v>
      </c>
      <c r="E30" s="53">
        <v>44561</v>
      </c>
      <c r="F30" s="53">
        <v>44651</v>
      </c>
      <c r="G30" s="53">
        <v>44742</v>
      </c>
      <c r="H30" s="53">
        <v>44834</v>
      </c>
      <c r="I30" s="53">
        <v>44926</v>
      </c>
    </row>
    <row r="31" spans="1:11" ht="14.25">
      <c r="A31" s="43" t="str">
        <f>HLOOKUP(INDICE!$F$2,Nombres!$C$3:$D$636,52,FALSE)</f>
        <v>Cash, cash balances at central banks and other demand deposits</v>
      </c>
      <c r="B31" s="44">
        <v>26118.438437</v>
      </c>
      <c r="C31" s="44">
        <v>22583.024074</v>
      </c>
      <c r="D31" s="44">
        <v>23137.774776000002</v>
      </c>
      <c r="E31" s="45">
        <v>26386.000189</v>
      </c>
      <c r="F31" s="44">
        <v>28567.499893</v>
      </c>
      <c r="G31" s="44">
        <v>0</v>
      </c>
      <c r="H31" s="44">
        <v>0</v>
      </c>
      <c r="I31" s="44">
        <v>0</v>
      </c>
      <c r="K31" s="54"/>
    </row>
    <row r="32" spans="1:11" ht="14.25">
      <c r="A32" s="43" t="str">
        <f>HLOOKUP(INDICE!$F$2,Nombres!$C$3:$D$636,53,FALSE)</f>
        <v>Financial assets designated at fair value </v>
      </c>
      <c r="B32" s="58">
        <v>133138.23764593</v>
      </c>
      <c r="C32" s="58">
        <v>137229.11167526</v>
      </c>
      <c r="D32" s="58">
        <v>138939.90451837002</v>
      </c>
      <c r="E32" s="65">
        <v>145545.80849313</v>
      </c>
      <c r="F32" s="44">
        <v>136353.24551016</v>
      </c>
      <c r="G32" s="44">
        <v>0</v>
      </c>
      <c r="H32" s="44">
        <v>0</v>
      </c>
      <c r="I32" s="44">
        <v>0</v>
      </c>
      <c r="K32" s="54"/>
    </row>
    <row r="33" spans="1:11" ht="14.25">
      <c r="A33" s="43" t="str">
        <f>HLOOKUP(INDICE!$F$2,Nombres!$C$3:$D$636,54,FALSE)</f>
        <v>Financial assets at amortized cost</v>
      </c>
      <c r="B33" s="44">
        <v>195608.45913719</v>
      </c>
      <c r="C33" s="44">
        <v>198897.14261369998</v>
      </c>
      <c r="D33" s="44">
        <v>197505.0617502</v>
      </c>
      <c r="E33" s="45">
        <v>199646.47363823</v>
      </c>
      <c r="F33" s="44">
        <v>199698.84029615996</v>
      </c>
      <c r="G33" s="44">
        <v>0</v>
      </c>
      <c r="H33" s="44">
        <v>0</v>
      </c>
      <c r="I33" s="44">
        <v>0</v>
      </c>
      <c r="K33" s="54"/>
    </row>
    <row r="34" spans="1:11" ht="14.25">
      <c r="A34" s="43" t="str">
        <f>HLOOKUP(INDICE!$F$2,Nombres!$C$3:$D$636,55,FALSE)</f>
        <v>    of which loans and advances to customers</v>
      </c>
      <c r="B34" s="44">
        <v>166080.40653619</v>
      </c>
      <c r="C34" s="44">
        <v>169916.61111769997</v>
      </c>
      <c r="D34" s="44">
        <v>168385.3284432</v>
      </c>
      <c r="E34" s="45">
        <v>171081.07912722998</v>
      </c>
      <c r="F34" s="44">
        <v>171949.96412115998</v>
      </c>
      <c r="G34" s="44">
        <v>0</v>
      </c>
      <c r="H34" s="44">
        <v>0</v>
      </c>
      <c r="I34" s="44">
        <v>0</v>
      </c>
      <c r="K34" s="54"/>
    </row>
    <row r="35" spans="1:11" ht="14.25">
      <c r="A35" s="43" t="str">
        <f>HLOOKUP(INDICE!$F$2,Nombres!$C$3:$D$636,121,FALSE)</f>
        <v>Inter-area positions</v>
      </c>
      <c r="B35" s="44">
        <v>28497.30744309991</v>
      </c>
      <c r="C35" s="44">
        <v>28861.87703562004</v>
      </c>
      <c r="D35" s="44">
        <v>30083.44213207008</v>
      </c>
      <c r="E35" s="45">
        <v>33971.89627377008</v>
      </c>
      <c r="F35" s="44">
        <v>37241.85153339</v>
      </c>
      <c r="G35" s="44">
        <v>0</v>
      </c>
      <c r="H35" s="44">
        <v>0</v>
      </c>
      <c r="I35" s="44">
        <v>0</v>
      </c>
      <c r="K35" s="54"/>
    </row>
    <row r="36" spans="1:11" ht="14.25">
      <c r="A36" s="43" t="str">
        <f>HLOOKUP(INDICE!$F$2,Nombres!$C$3:$D$636,56,FALSE)</f>
        <v>Tangible assets</v>
      </c>
      <c r="B36" s="58">
        <v>2825.418143</v>
      </c>
      <c r="C36" s="58">
        <v>2499.116668</v>
      </c>
      <c r="D36" s="58">
        <v>2458.447295</v>
      </c>
      <c r="E36" s="65">
        <v>2533.746048</v>
      </c>
      <c r="F36" s="44">
        <v>2508.384579</v>
      </c>
      <c r="G36" s="44">
        <v>0</v>
      </c>
      <c r="H36" s="44">
        <v>0</v>
      </c>
      <c r="I36" s="44">
        <v>0</v>
      </c>
      <c r="K36" s="54"/>
    </row>
    <row r="37" spans="1:11" ht="14.25">
      <c r="A37" s="43" t="str">
        <f>HLOOKUP(INDICE!$F$2,Nombres!$C$3:$D$636,57,FALSE)</f>
        <v>Other assets</v>
      </c>
      <c r="B37" s="58">
        <f aca="true" t="shared" si="5" ref="B37:I37">+B38-B36-B33-B32-B31-B35</f>
        <v>5926.097213200032</v>
      </c>
      <c r="C37" s="58">
        <f t="shared" si="5"/>
        <v>6205.514388499942</v>
      </c>
      <c r="D37" s="58">
        <f t="shared" si="5"/>
        <v>6105.163002499932</v>
      </c>
      <c r="E37" s="65">
        <f t="shared" si="5"/>
        <v>5345.920737759981</v>
      </c>
      <c r="F37" s="44">
        <f t="shared" si="5"/>
        <v>5675.292589749966</v>
      </c>
      <c r="G37" s="44">
        <f t="shared" si="5"/>
        <v>0</v>
      </c>
      <c r="H37" s="44">
        <f t="shared" si="5"/>
        <v>0</v>
      </c>
      <c r="I37" s="44">
        <f t="shared" si="5"/>
        <v>0</v>
      </c>
      <c r="K37" s="54"/>
    </row>
    <row r="38" spans="1:11" ht="14.25">
      <c r="A38" s="47" t="str">
        <f>HLOOKUP(INDICE!$F$2,Nombres!$C$3:$D$636,58,FALSE)</f>
        <v>Total assets / Liabilities and equity</v>
      </c>
      <c r="B38" s="47">
        <v>392113.9580194199</v>
      </c>
      <c r="C38" s="47">
        <v>396275.78645508</v>
      </c>
      <c r="D38" s="47">
        <v>398229.79347414005</v>
      </c>
      <c r="E38" s="47">
        <v>413429.84537989006</v>
      </c>
      <c r="F38" s="51">
        <v>410045.1144014599</v>
      </c>
      <c r="G38" s="51">
        <v>0</v>
      </c>
      <c r="H38" s="51">
        <v>0</v>
      </c>
      <c r="I38" s="51">
        <v>0</v>
      </c>
      <c r="K38" s="54"/>
    </row>
    <row r="39" spans="1:11" ht="14.25">
      <c r="A39" s="43" t="str">
        <f>HLOOKUP(INDICE!$F$2,Nombres!$C$3:$D$636,59,FALSE)</f>
        <v>Financial liabilities held for trading and designated at fair value through profit or loss</v>
      </c>
      <c r="B39" s="58">
        <v>68174.10991900001</v>
      </c>
      <c r="C39" s="58">
        <v>68217.13019400001</v>
      </c>
      <c r="D39" s="58">
        <v>70081.506403</v>
      </c>
      <c r="E39" s="65">
        <v>81375.588126</v>
      </c>
      <c r="F39" s="44">
        <v>75723.90047499997</v>
      </c>
      <c r="G39" s="44">
        <v>0</v>
      </c>
      <c r="H39" s="44">
        <v>0</v>
      </c>
      <c r="I39" s="44">
        <v>0</v>
      </c>
      <c r="K39" s="54"/>
    </row>
    <row r="40" spans="1:11" ht="14.25">
      <c r="A40" s="43" t="str">
        <f>HLOOKUP(INDICE!$F$2,Nombres!$C$3:$D$636,60,FALSE)</f>
        <v>Deposits from central banks and credit institutions</v>
      </c>
      <c r="B40" s="58">
        <v>59594.62790700001</v>
      </c>
      <c r="C40" s="58">
        <v>58397.536383</v>
      </c>
      <c r="D40" s="58">
        <v>58351.436717</v>
      </c>
      <c r="E40" s="65">
        <v>54759.088316</v>
      </c>
      <c r="F40" s="44">
        <v>59875.795284</v>
      </c>
      <c r="G40" s="44">
        <v>0</v>
      </c>
      <c r="H40" s="44">
        <v>0</v>
      </c>
      <c r="I40" s="44">
        <v>0</v>
      </c>
      <c r="K40" s="54"/>
    </row>
    <row r="41" spans="1:11" ht="15.75" customHeight="1">
      <c r="A41" s="43" t="str">
        <f>HLOOKUP(INDICE!$F$2,Nombres!$C$3:$D$636,61,FALSE)</f>
        <v>Deposits from customers</v>
      </c>
      <c r="B41" s="58">
        <v>196589.82502999998</v>
      </c>
      <c r="C41" s="58">
        <v>200196.62135399994</v>
      </c>
      <c r="D41" s="58">
        <v>200221.75234999997</v>
      </c>
      <c r="E41" s="65">
        <v>206662.599628</v>
      </c>
      <c r="F41" s="44">
        <v>206451.20086399995</v>
      </c>
      <c r="G41" s="44">
        <v>0</v>
      </c>
      <c r="H41" s="44">
        <v>0</v>
      </c>
      <c r="I41" s="44">
        <v>0</v>
      </c>
      <c r="K41" s="54"/>
    </row>
    <row r="42" spans="1:11" ht="14.25">
      <c r="A42" s="43" t="str">
        <f>HLOOKUP(INDICE!$F$2,Nombres!$C$3:$D$636,62,FALSE)</f>
        <v>Debt certificates</v>
      </c>
      <c r="B42" s="44">
        <v>37855.50019108</v>
      </c>
      <c r="C42" s="44">
        <v>36939.20894884</v>
      </c>
      <c r="D42" s="44">
        <v>37604.80932516</v>
      </c>
      <c r="E42" s="45">
        <v>38224.42574456</v>
      </c>
      <c r="F42" s="44">
        <v>36027.34682829</v>
      </c>
      <c r="G42" s="44">
        <v>0</v>
      </c>
      <c r="H42" s="44">
        <v>0</v>
      </c>
      <c r="I42" s="44">
        <v>0</v>
      </c>
      <c r="K42" s="54"/>
    </row>
    <row r="43" spans="1:11" ht="14.25">
      <c r="A43" s="43" t="str">
        <f>HLOOKUP(INDICE!$F$2,Nombres!$C$3:$D$636,122,FALSE)</f>
        <v>Inter-area positions</v>
      </c>
      <c r="B43" s="44">
        <v>0</v>
      </c>
      <c r="C43" s="44">
        <v>0</v>
      </c>
      <c r="D43" s="44">
        <v>0</v>
      </c>
      <c r="E43" s="45">
        <v>0</v>
      </c>
      <c r="F43" s="44">
        <v>0</v>
      </c>
      <c r="G43" s="44">
        <v>0</v>
      </c>
      <c r="H43" s="44">
        <v>0</v>
      </c>
      <c r="I43" s="44">
        <v>0</v>
      </c>
      <c r="K43" s="54"/>
    </row>
    <row r="44" spans="1:11" ht="14.25">
      <c r="A44" s="43" t="str">
        <f>HLOOKUP(INDICE!$F$2,Nombres!$C$3:$D$636,63,FALSE)</f>
        <v>Other liabilities</v>
      </c>
      <c r="B44" s="44">
        <f>+B38-B39-B40-B41-B42-B45-B43</f>
        <v>17240.302730739917</v>
      </c>
      <c r="C44" s="44">
        <f aca="true" t="shared" si="6" ref="C44:I44">+C38-C39-C40-C41-C42-C45-C43</f>
        <v>19348.15331624003</v>
      </c>
      <c r="D44" s="44">
        <f t="shared" si="6"/>
        <v>18449.931319000076</v>
      </c>
      <c r="E44" s="45">
        <f t="shared" si="6"/>
        <v>18405.911814720035</v>
      </c>
      <c r="F44" s="44">
        <f t="shared" si="6"/>
        <v>17622.15769804001</v>
      </c>
      <c r="G44" s="44">
        <f t="shared" si="6"/>
        <v>0</v>
      </c>
      <c r="H44" s="44">
        <f t="shared" si="6"/>
        <v>0</v>
      </c>
      <c r="I44" s="44">
        <f t="shared" si="6"/>
        <v>0</v>
      </c>
      <c r="K44" s="54"/>
    </row>
    <row r="45" spans="1:11" ht="14.25">
      <c r="A45" s="43" t="str">
        <f>HLOOKUP(INDICE!$F$2,Nombres!$C$3:$D$636,282,FALSE)</f>
        <v>Regulatory capital allocated</v>
      </c>
      <c r="B45" s="44">
        <v>12659.592241600001</v>
      </c>
      <c r="C45" s="44">
        <v>13177.136259</v>
      </c>
      <c r="D45" s="44">
        <v>13520.357359980002</v>
      </c>
      <c r="E45" s="45">
        <v>14002.23175061</v>
      </c>
      <c r="F45" s="44">
        <v>14344.713252129997</v>
      </c>
      <c r="G45" s="44">
        <v>0</v>
      </c>
      <c r="H45" s="44">
        <v>0</v>
      </c>
      <c r="I45" s="44">
        <v>0</v>
      </c>
      <c r="K45" s="54"/>
    </row>
    <row r="46" spans="1:9" ht="14.25">
      <c r="A46" s="62"/>
      <c r="B46" s="58"/>
      <c r="C46" s="58"/>
      <c r="D46" s="58"/>
      <c r="E46" s="58"/>
      <c r="F46" s="58"/>
      <c r="G46" s="58"/>
      <c r="H46" s="58"/>
      <c r="I46" s="58"/>
    </row>
    <row r="47" spans="1:9" ht="14.25">
      <c r="A47" s="43"/>
      <c r="B47" s="58"/>
      <c r="C47" s="58"/>
      <c r="D47" s="58"/>
      <c r="E47" s="58"/>
      <c r="F47" s="58"/>
      <c r="G47" s="58"/>
      <c r="H47" s="58"/>
      <c r="I47" s="58"/>
    </row>
    <row r="48" spans="1:9" ht="16.5">
      <c r="A48" s="66" t="str">
        <f>HLOOKUP(INDICE!$F$2,Nombres!$C$3:$D$636,65,FALSE)</f>
        <v>Relevant business indicators</v>
      </c>
      <c r="B48" s="67"/>
      <c r="C48" s="67"/>
      <c r="D48" s="67"/>
      <c r="E48" s="67"/>
      <c r="F48" s="67"/>
      <c r="G48" s="67"/>
      <c r="H48" s="67"/>
      <c r="I48" s="67"/>
    </row>
    <row r="49" spans="1:9" ht="14.25">
      <c r="A49" s="35" t="str">
        <f>HLOOKUP(INDICE!$F$2,Nombres!$C$3:$D$636,32,FALSE)</f>
        <v>(Million euros)</v>
      </c>
      <c r="B49" s="30"/>
      <c r="C49" s="30"/>
      <c r="D49" s="30"/>
      <c r="E49" s="30"/>
      <c r="F49" s="30"/>
      <c r="G49" s="58"/>
      <c r="H49" s="58"/>
      <c r="I49" s="58"/>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Loans and advances to customers (gross) (*)</v>
      </c>
      <c r="B51" s="44">
        <v>171552.249247</v>
      </c>
      <c r="C51" s="44">
        <v>175059.77363900002</v>
      </c>
      <c r="D51" s="44">
        <v>173463.88169537002</v>
      </c>
      <c r="E51" s="45">
        <v>176132.589933</v>
      </c>
      <c r="F51" s="44">
        <v>176978.40858599998</v>
      </c>
      <c r="G51" s="44">
        <v>0</v>
      </c>
      <c r="H51" s="44">
        <v>0</v>
      </c>
      <c r="I51" s="44">
        <v>0</v>
      </c>
    </row>
    <row r="52" spans="1:9" ht="14.25">
      <c r="A52" s="43" t="str">
        <f>HLOOKUP(INDICE!$F$2,Nombres!$C$3:$D$636,67,FALSE)</f>
        <v>Customer deposits under management (*)</v>
      </c>
      <c r="B52" s="44">
        <v>196004.84808</v>
      </c>
      <c r="C52" s="44">
        <v>199580.71829100003</v>
      </c>
      <c r="D52" s="44">
        <v>199599.51979</v>
      </c>
      <c r="E52" s="45">
        <v>205908.21971</v>
      </c>
      <c r="F52" s="44">
        <v>205926.96363399999</v>
      </c>
      <c r="G52" s="44">
        <v>0</v>
      </c>
      <c r="H52" s="44">
        <v>0</v>
      </c>
      <c r="I52" s="44">
        <v>0</v>
      </c>
    </row>
    <row r="53" spans="1:9" ht="14.25">
      <c r="A53" s="43" t="str">
        <f>HLOOKUP(INDICE!$F$2,Nombres!$C$3:$D$636,68,FALSE)</f>
        <v>Investment funds and managed portfolios</v>
      </c>
      <c r="B53" s="44">
        <v>61372.16300718999</v>
      </c>
      <c r="C53" s="44">
        <v>64034.103564149984</v>
      </c>
      <c r="D53" s="44">
        <v>64957.206182949994</v>
      </c>
      <c r="E53" s="45">
        <v>68596.89542821</v>
      </c>
      <c r="F53" s="44">
        <v>66158.73053186998</v>
      </c>
      <c r="G53" s="44">
        <v>0</v>
      </c>
      <c r="H53" s="44">
        <v>0</v>
      </c>
      <c r="I53" s="44">
        <v>0</v>
      </c>
    </row>
    <row r="54" spans="1:9" ht="14.25">
      <c r="A54" s="43" t="str">
        <f>HLOOKUP(INDICE!$F$2,Nombres!$C$3:$D$636,69,FALSE)</f>
        <v>Pension funds</v>
      </c>
      <c r="B54" s="44">
        <v>24581.019303769997</v>
      </c>
      <c r="C54" s="44">
        <v>24953.45475065</v>
      </c>
      <c r="D54" s="44">
        <v>24964.93470501</v>
      </c>
      <c r="E54" s="45">
        <v>25498.115497730003</v>
      </c>
      <c r="F54" s="44">
        <v>24669.120722600004</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61" spans="2:9" ht="14.25">
      <c r="B61" s="54"/>
      <c r="C61" s="54"/>
      <c r="D61" s="54"/>
      <c r="E61" s="54"/>
      <c r="F61" s="54"/>
      <c r="G61" s="54"/>
      <c r="H61" s="54"/>
      <c r="I61" s="54"/>
    </row>
    <row r="1000" ht="14.25">
      <c r="A1000" s="31" t="s">
        <v>392</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18">
      <selection activeCell="C144" sqref="C14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HLOOKUP(INDICE!$F$2,Nombres!$C$3:$D$636,11,FALSE)</f>
        <v>Mexico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1366.2208904400004</v>
      </c>
      <c r="C8" s="41">
        <v>1404.86537968</v>
      </c>
      <c r="D8" s="41">
        <v>1508.9767515400004</v>
      </c>
      <c r="E8" s="42">
        <v>1556.1925747199998</v>
      </c>
      <c r="F8" s="50">
        <v>1746.27672984</v>
      </c>
      <c r="G8" s="50">
        <v>0</v>
      </c>
      <c r="H8" s="50">
        <v>0</v>
      </c>
      <c r="I8" s="50">
        <v>0</v>
      </c>
    </row>
    <row r="9" spans="1:9" ht="14.25">
      <c r="A9" s="43" t="str">
        <f>HLOOKUP(INDICE!$F$2,Nombres!$C$3:$D$636,34,FALSE)</f>
        <v>Net fees and commissions</v>
      </c>
      <c r="B9" s="44">
        <v>281.56553275000005</v>
      </c>
      <c r="C9" s="44">
        <v>299.25340747000007</v>
      </c>
      <c r="D9" s="44">
        <v>317.05162781</v>
      </c>
      <c r="E9" s="45">
        <v>313.07270378</v>
      </c>
      <c r="F9" s="44">
        <v>342.73184430000003</v>
      </c>
      <c r="G9" s="44">
        <v>0</v>
      </c>
      <c r="H9" s="44">
        <v>0</v>
      </c>
      <c r="I9" s="44">
        <v>0</v>
      </c>
    </row>
    <row r="10" spans="1:9" ht="14.25">
      <c r="A10" s="43" t="str">
        <f>HLOOKUP(INDICE!$F$2,Nombres!$C$3:$D$636,35,FALSE)</f>
        <v>Net trading income</v>
      </c>
      <c r="B10" s="44">
        <v>69.14014961999999</v>
      </c>
      <c r="C10" s="44">
        <v>95.77761064</v>
      </c>
      <c r="D10" s="44">
        <v>87.99758012</v>
      </c>
      <c r="E10" s="45">
        <v>113.48441278000001</v>
      </c>
      <c r="F10" s="44">
        <v>91.93280934999999</v>
      </c>
      <c r="G10" s="44">
        <v>0</v>
      </c>
      <c r="H10" s="44">
        <v>0</v>
      </c>
      <c r="I10" s="44">
        <v>0</v>
      </c>
    </row>
    <row r="11" spans="1:9" ht="14.25">
      <c r="A11" s="43" t="str">
        <f>HLOOKUP(INDICE!$F$2,Nombres!$C$3:$D$636,36,FALSE)</f>
        <v>Other operating income and expenses</v>
      </c>
      <c r="B11" s="44">
        <v>43.80699996999996</v>
      </c>
      <c r="C11" s="44">
        <v>43.580000020000156</v>
      </c>
      <c r="D11" s="44">
        <v>39.27400001999999</v>
      </c>
      <c r="E11" s="45">
        <v>63.059000019999765</v>
      </c>
      <c r="F11" s="44">
        <v>63.78499999999998</v>
      </c>
      <c r="G11" s="44">
        <v>0</v>
      </c>
      <c r="H11" s="44">
        <v>0</v>
      </c>
      <c r="I11" s="44">
        <v>0</v>
      </c>
    </row>
    <row r="12" spans="1:9" ht="14.25">
      <c r="A12" s="41" t="str">
        <f>HLOOKUP(INDICE!$F$2,Nombres!$C$3:$D$636,37,FALSE)</f>
        <v>Gross income</v>
      </c>
      <c r="B12" s="41">
        <f>+SUM(B8:B11)</f>
        <v>1760.7335727800003</v>
      </c>
      <c r="C12" s="41">
        <f aca="true" t="shared" si="0" ref="C12:I12">+SUM(C8:C11)</f>
        <v>1843.4763978100002</v>
      </c>
      <c r="D12" s="41">
        <f t="shared" si="0"/>
        <v>1953.2999594900002</v>
      </c>
      <c r="E12" s="42">
        <f t="shared" si="0"/>
        <v>2045.8086912999995</v>
      </c>
      <c r="F12" s="50">
        <f t="shared" si="0"/>
        <v>2244.7263834899995</v>
      </c>
      <c r="G12" s="50">
        <f t="shared" si="0"/>
        <v>0</v>
      </c>
      <c r="H12" s="50">
        <f t="shared" si="0"/>
        <v>0</v>
      </c>
      <c r="I12" s="50">
        <f t="shared" si="0"/>
        <v>0</v>
      </c>
    </row>
    <row r="13" spans="1:9" ht="14.25">
      <c r="A13" s="43" t="str">
        <f>HLOOKUP(INDICE!$F$2,Nombres!$C$3:$D$636,38,FALSE)</f>
        <v>Operating expenses</v>
      </c>
      <c r="B13" s="44">
        <v>-628.11218591</v>
      </c>
      <c r="C13" s="44">
        <v>-650.6963467599999</v>
      </c>
      <c r="D13" s="44">
        <v>-686.9838591500001</v>
      </c>
      <c r="E13" s="45">
        <v>-716.50771291</v>
      </c>
      <c r="F13" s="44">
        <v>-756.39848289</v>
      </c>
      <c r="G13" s="44">
        <v>0</v>
      </c>
      <c r="H13" s="44">
        <v>0</v>
      </c>
      <c r="I13" s="44">
        <v>0</v>
      </c>
    </row>
    <row r="14" spans="1:9" ht="14.25">
      <c r="A14" s="43" t="str">
        <f>HLOOKUP(INDICE!$F$2,Nombres!$C$3:$D$636,39,FALSE)</f>
        <v>  Administration expenses</v>
      </c>
      <c r="B14" s="44">
        <v>-549.71538089</v>
      </c>
      <c r="C14" s="44">
        <v>-571.39577177</v>
      </c>
      <c r="D14" s="44">
        <v>-602.89568223</v>
      </c>
      <c r="E14" s="45">
        <v>-632.4380449199999</v>
      </c>
      <c r="F14" s="44">
        <v>-665.9002018599999</v>
      </c>
      <c r="G14" s="44">
        <v>0</v>
      </c>
      <c r="H14" s="44">
        <v>0</v>
      </c>
      <c r="I14" s="44">
        <v>0</v>
      </c>
    </row>
    <row r="15" spans="1:9" ht="14.25">
      <c r="A15" s="46" t="str">
        <f>HLOOKUP(INDICE!$F$2,Nombres!$C$3:$D$636,40,FALSE)</f>
        <v>  Personnel expenses</v>
      </c>
      <c r="B15" s="44">
        <v>-255.18485251</v>
      </c>
      <c r="C15" s="44">
        <v>-269.27963647</v>
      </c>
      <c r="D15" s="44">
        <v>-328.77337014000005</v>
      </c>
      <c r="E15" s="45">
        <v>-345.93384104999996</v>
      </c>
      <c r="F15" s="44">
        <v>-334.39717567</v>
      </c>
      <c r="G15" s="44">
        <v>0</v>
      </c>
      <c r="H15" s="44">
        <v>0</v>
      </c>
      <c r="I15" s="44">
        <v>0</v>
      </c>
    </row>
    <row r="16" spans="1:9" ht="14.25">
      <c r="A16" s="46" t="str">
        <f>HLOOKUP(INDICE!$F$2,Nombres!$C$3:$D$636,41,FALSE)</f>
        <v>  General and administrative expenses</v>
      </c>
      <c r="B16" s="44">
        <v>-294.53052838</v>
      </c>
      <c r="C16" s="44">
        <v>-302.1161353</v>
      </c>
      <c r="D16" s="44">
        <v>-274.12231209</v>
      </c>
      <c r="E16" s="45">
        <v>-286.50420386999997</v>
      </c>
      <c r="F16" s="44">
        <v>-331.50302619</v>
      </c>
      <c r="G16" s="44">
        <v>0</v>
      </c>
      <c r="H16" s="44">
        <v>0</v>
      </c>
      <c r="I16" s="44">
        <v>0</v>
      </c>
    </row>
    <row r="17" spans="1:9" ht="14.25">
      <c r="A17" s="43" t="str">
        <f>HLOOKUP(INDICE!$F$2,Nombres!$C$3:$D$636,42,FALSE)</f>
        <v>  Depreciation</v>
      </c>
      <c r="B17" s="44">
        <v>-78.39680502</v>
      </c>
      <c r="C17" s="44">
        <v>-79.30057498999999</v>
      </c>
      <c r="D17" s="44">
        <v>-84.08817692</v>
      </c>
      <c r="E17" s="45">
        <v>-84.06966799</v>
      </c>
      <c r="F17" s="44">
        <v>-90.49828102999999</v>
      </c>
      <c r="G17" s="44">
        <v>0</v>
      </c>
      <c r="H17" s="44">
        <v>0</v>
      </c>
      <c r="I17" s="44">
        <v>0</v>
      </c>
    </row>
    <row r="18" spans="1:9" ht="14.25">
      <c r="A18" s="41" t="str">
        <f>HLOOKUP(INDICE!$F$2,Nombres!$C$3:$D$636,43,FALSE)</f>
        <v>Operating income</v>
      </c>
      <c r="B18" s="41">
        <f>+B12+B13</f>
        <v>1132.6213868700002</v>
      </c>
      <c r="C18" s="41">
        <f aca="true" t="shared" si="1" ref="C18:I18">+C12+C13</f>
        <v>1192.7800510500003</v>
      </c>
      <c r="D18" s="41">
        <f t="shared" si="1"/>
        <v>1266.31610034</v>
      </c>
      <c r="E18" s="42">
        <f t="shared" si="1"/>
        <v>1329.3009783899995</v>
      </c>
      <c r="F18" s="50">
        <f t="shared" si="1"/>
        <v>1488.3279005999996</v>
      </c>
      <c r="G18" s="50">
        <f t="shared" si="1"/>
        <v>0</v>
      </c>
      <c r="H18" s="50">
        <f t="shared" si="1"/>
        <v>0</v>
      </c>
      <c r="I18" s="50">
        <f t="shared" si="1"/>
        <v>0</v>
      </c>
    </row>
    <row r="19" spans="1:9" ht="14.25">
      <c r="A19" s="43" t="str">
        <f>HLOOKUP(INDICE!$F$2,Nombres!$C$3:$D$636,44,FALSE)</f>
        <v>Impaiment on financial assets not measured at fair value through profit or loss</v>
      </c>
      <c r="B19" s="44">
        <v>-457.89600006</v>
      </c>
      <c r="C19" s="44">
        <v>-283.35099992</v>
      </c>
      <c r="D19" s="44">
        <v>-334.22599998000004</v>
      </c>
      <c r="E19" s="45">
        <v>-365.00800002000005</v>
      </c>
      <c r="F19" s="44">
        <v>-418.7609999500001</v>
      </c>
      <c r="G19" s="44">
        <v>0</v>
      </c>
      <c r="H19" s="44">
        <v>0</v>
      </c>
      <c r="I19" s="44">
        <v>0</v>
      </c>
    </row>
    <row r="20" spans="1:9" ht="14.25">
      <c r="A20" s="43" t="str">
        <f>HLOOKUP(INDICE!$F$2,Nombres!$C$3:$D$636,45,FALSE)</f>
        <v>Provisions or reversal of provisions and other results</v>
      </c>
      <c r="B20" s="44">
        <v>1.8089999800000047</v>
      </c>
      <c r="C20" s="44">
        <v>7.059000009999996</v>
      </c>
      <c r="D20" s="44">
        <v>8.894000000000005</v>
      </c>
      <c r="E20" s="45">
        <v>6.701999990000015</v>
      </c>
      <c r="F20" s="44">
        <v>-1.2699999999999996</v>
      </c>
      <c r="G20" s="44">
        <v>0</v>
      </c>
      <c r="H20" s="44">
        <v>0</v>
      </c>
      <c r="I20" s="44">
        <v>0</v>
      </c>
    </row>
    <row r="21" spans="1:9" ht="14.25">
      <c r="A21" s="41" t="str">
        <f>HLOOKUP(INDICE!$F$2,Nombres!$C$3:$D$636,46,FALSE)</f>
        <v>Profit/(loss) before tax</v>
      </c>
      <c r="B21" s="41">
        <f>+B18+B19+B20</f>
        <v>676.5343867900001</v>
      </c>
      <c r="C21" s="41">
        <f aca="true" t="shared" si="2" ref="C21:I21">+C18+C19+C20</f>
        <v>916.4880511400003</v>
      </c>
      <c r="D21" s="41">
        <f t="shared" si="2"/>
        <v>940.98410036</v>
      </c>
      <c r="E21" s="42">
        <f t="shared" si="2"/>
        <v>970.9949783599994</v>
      </c>
      <c r="F21" s="50">
        <f t="shared" si="2"/>
        <v>1068.2969006499995</v>
      </c>
      <c r="G21" s="50">
        <f t="shared" si="2"/>
        <v>0</v>
      </c>
      <c r="H21" s="50">
        <f t="shared" si="2"/>
        <v>0</v>
      </c>
      <c r="I21" s="50">
        <f t="shared" si="2"/>
        <v>0</v>
      </c>
    </row>
    <row r="22" spans="1:9" ht="14.25">
      <c r="A22" s="43" t="str">
        <f>HLOOKUP(INDICE!$F$2,Nombres!$C$3:$D$636,47,FALSE)</f>
        <v>Income tax</v>
      </c>
      <c r="B22" s="44">
        <v>-187.61025693999994</v>
      </c>
      <c r="C22" s="44">
        <v>-286.5987951000001</v>
      </c>
      <c r="D22" s="44">
        <v>-260.32351461</v>
      </c>
      <c r="E22" s="45">
        <v>-218.54690595</v>
      </c>
      <c r="F22" s="44">
        <v>-290.98884173999994</v>
      </c>
      <c r="G22" s="44">
        <v>0</v>
      </c>
      <c r="H22" s="44">
        <v>0</v>
      </c>
      <c r="I22" s="44">
        <v>0</v>
      </c>
    </row>
    <row r="23" spans="1:9" ht="14.25">
      <c r="A23" s="41" t="str">
        <f>HLOOKUP(INDICE!$F$2,Nombres!$C$3:$D$636,48,FALSE)</f>
        <v>Profit/(loss) for the year</v>
      </c>
      <c r="B23" s="41">
        <f>+B21+B22</f>
        <v>488.92412985000016</v>
      </c>
      <c r="C23" s="41">
        <f aca="true" t="shared" si="3" ref="C23:I23">+C21+C22</f>
        <v>629.8892560400002</v>
      </c>
      <c r="D23" s="41">
        <f t="shared" si="3"/>
        <v>680.6605857499999</v>
      </c>
      <c r="E23" s="42">
        <f t="shared" si="3"/>
        <v>752.4480724099994</v>
      </c>
      <c r="F23" s="50">
        <f t="shared" si="3"/>
        <v>777.3080589099995</v>
      </c>
      <c r="G23" s="50">
        <f t="shared" si="3"/>
        <v>0</v>
      </c>
      <c r="H23" s="50">
        <f t="shared" si="3"/>
        <v>0</v>
      </c>
      <c r="I23" s="50">
        <f t="shared" si="3"/>
        <v>0</v>
      </c>
    </row>
    <row r="24" spans="1:9" ht="14.25">
      <c r="A24" s="43" t="str">
        <f>HLOOKUP(INDICE!$F$2,Nombres!$C$3:$D$636,49,FALSE)</f>
        <v>Non-controlling interests</v>
      </c>
      <c r="B24" s="44">
        <v>-0.085</v>
      </c>
      <c r="C24" s="44">
        <v>-0.121</v>
      </c>
      <c r="D24" s="44">
        <v>-0.123</v>
      </c>
      <c r="E24" s="45">
        <v>-0.14200000000000002</v>
      </c>
      <c r="F24" s="44">
        <v>-0.139</v>
      </c>
      <c r="G24" s="44">
        <v>0</v>
      </c>
      <c r="H24" s="44">
        <v>0</v>
      </c>
      <c r="I24" s="44">
        <v>0</v>
      </c>
    </row>
    <row r="25" spans="1:9" ht="14.25">
      <c r="A25" s="47" t="str">
        <f>HLOOKUP(INDICE!$F$2,Nombres!$C$3:$D$636,50,FALSE)</f>
        <v>Net attributable profit</v>
      </c>
      <c r="B25" s="47">
        <f>+B23+B24</f>
        <v>488.8391298500002</v>
      </c>
      <c r="C25" s="47">
        <f aca="true" t="shared" si="4" ref="C25:I25">+C23+C24</f>
        <v>629.7682560400002</v>
      </c>
      <c r="D25" s="47">
        <f t="shared" si="4"/>
        <v>680.5375857499998</v>
      </c>
      <c r="E25" s="47">
        <f t="shared" si="4"/>
        <v>752.3060724099994</v>
      </c>
      <c r="F25" s="51">
        <f t="shared" si="4"/>
        <v>777.1690589099995</v>
      </c>
      <c r="G25" s="51">
        <f t="shared" si="4"/>
        <v>0</v>
      </c>
      <c r="H25" s="51">
        <f t="shared" si="4"/>
        <v>0</v>
      </c>
      <c r="I25" s="51">
        <f t="shared" si="4"/>
        <v>0</v>
      </c>
    </row>
    <row r="26" spans="1:9" ht="14.25">
      <c r="A26" s="6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Cash, cash balances at central banks and other demand deposits</v>
      </c>
      <c r="B31" s="44">
        <v>10641.473</v>
      </c>
      <c r="C31" s="44">
        <v>13097.19699999</v>
      </c>
      <c r="D31" s="44">
        <v>13776.94199999</v>
      </c>
      <c r="E31" s="45">
        <v>12984.86099999</v>
      </c>
      <c r="F31" s="44">
        <v>14926.70000001</v>
      </c>
      <c r="G31" s="44">
        <v>0</v>
      </c>
      <c r="H31" s="44">
        <v>0</v>
      </c>
      <c r="I31" s="44">
        <v>0</v>
      </c>
    </row>
    <row r="32" spans="1:9" ht="14.25">
      <c r="A32" s="43" t="str">
        <f>HLOOKUP(INDICE!$F$2,Nombres!$C$3:$D$636,53,FALSE)</f>
        <v>Financial assets designated at fair value </v>
      </c>
      <c r="B32" s="58">
        <v>33914.793000030004</v>
      </c>
      <c r="C32" s="58">
        <v>34697.42699999</v>
      </c>
      <c r="D32" s="58">
        <v>33472.055000019995</v>
      </c>
      <c r="E32" s="65">
        <v>35125.59400001</v>
      </c>
      <c r="F32" s="44">
        <v>37487.704</v>
      </c>
      <c r="G32" s="44">
        <v>0</v>
      </c>
      <c r="H32" s="44">
        <v>0</v>
      </c>
      <c r="I32" s="44">
        <v>0</v>
      </c>
    </row>
    <row r="33" spans="1:9" ht="14.25">
      <c r="A33" s="43" t="str">
        <f>HLOOKUP(INDICE!$F$2,Nombres!$C$3:$D$636,54,FALSE)</f>
        <v>Financial assets at amortized cost</v>
      </c>
      <c r="B33" s="44">
        <v>60857.970999929996</v>
      </c>
      <c r="C33" s="44">
        <v>61847.353999880004</v>
      </c>
      <c r="D33" s="44">
        <v>62195.73199995</v>
      </c>
      <c r="E33" s="45">
        <v>65311.473000109996</v>
      </c>
      <c r="F33" s="44">
        <v>70951.68300008001</v>
      </c>
      <c r="G33" s="44">
        <v>0</v>
      </c>
      <c r="H33" s="44">
        <v>0</v>
      </c>
      <c r="I33" s="44">
        <v>0</v>
      </c>
    </row>
    <row r="34" spans="1:9" ht="14.25">
      <c r="A34" s="43" t="str">
        <f>HLOOKUP(INDICE!$F$2,Nombres!$C$3:$D$636,55,FALSE)</f>
        <v>    of which loans and advances to customers</v>
      </c>
      <c r="B34" s="44">
        <v>51524.61899994</v>
      </c>
      <c r="C34" s="44">
        <v>52873.54899988</v>
      </c>
      <c r="D34" s="44">
        <v>53014.019999970005</v>
      </c>
      <c r="E34" s="45">
        <v>55808.891000100004</v>
      </c>
      <c r="F34" s="44">
        <v>60743.74800004</v>
      </c>
      <c r="G34" s="44">
        <v>0</v>
      </c>
      <c r="H34" s="44">
        <v>0</v>
      </c>
      <c r="I34" s="44">
        <v>0</v>
      </c>
    </row>
    <row r="35" spans="1:9" ht="14.25">
      <c r="A35" s="43"/>
      <c r="B35" s="44"/>
      <c r="C35" s="44"/>
      <c r="D35" s="44"/>
      <c r="E35" s="45"/>
      <c r="F35" s="44"/>
      <c r="G35" s="44"/>
      <c r="H35" s="44"/>
      <c r="I35" s="44"/>
    </row>
    <row r="36" spans="1:9" ht="14.25">
      <c r="A36" s="43" t="str">
        <f>HLOOKUP(INDICE!$F$2,Nombres!$C$3:$D$636,56,FALSE)</f>
        <v>Tangible assets</v>
      </c>
      <c r="B36" s="44">
        <v>1643.95599999</v>
      </c>
      <c r="C36" s="44">
        <v>1661.2619999899998</v>
      </c>
      <c r="D36" s="44">
        <v>1643.6710000100002</v>
      </c>
      <c r="E36" s="45">
        <v>1731.02100002</v>
      </c>
      <c r="F36" s="44">
        <v>1770.6509999999998</v>
      </c>
      <c r="G36" s="44">
        <v>0</v>
      </c>
      <c r="H36" s="44">
        <v>0</v>
      </c>
      <c r="I36" s="44">
        <v>0</v>
      </c>
    </row>
    <row r="37" spans="1:9" ht="14.25">
      <c r="A37" s="43" t="str">
        <f>HLOOKUP(INDICE!$F$2,Nombres!$C$3:$D$636,57,FALSE)</f>
        <v>Other assets</v>
      </c>
      <c r="B37" s="58">
        <f>+B38-B36-B33-B32-B31</f>
        <v>3354.1150824799897</v>
      </c>
      <c r="C37" s="58">
        <f aca="true" t="shared" si="5" ref="C37:I37">+C38-C36-C33-C32-C31</f>
        <v>3197.313482180016</v>
      </c>
      <c r="D37" s="58">
        <f t="shared" si="5"/>
        <v>2866.143132019997</v>
      </c>
      <c r="E37" s="65">
        <f t="shared" si="5"/>
        <v>2952.7950398300018</v>
      </c>
      <c r="F37" s="44">
        <f t="shared" si="5"/>
        <v>3084.5814611400074</v>
      </c>
      <c r="G37" s="44">
        <f t="shared" si="5"/>
        <v>0</v>
      </c>
      <c r="H37" s="44">
        <f t="shared" si="5"/>
        <v>0</v>
      </c>
      <c r="I37" s="44">
        <f t="shared" si="5"/>
        <v>0</v>
      </c>
    </row>
    <row r="38" spans="1:9" ht="14.25">
      <c r="A38" s="47" t="str">
        <f>HLOOKUP(INDICE!$F$2,Nombres!$C$3:$D$636,58,FALSE)</f>
        <v>Total assets / Liabilities and equity</v>
      </c>
      <c r="B38" s="47">
        <v>110412.30808242998</v>
      </c>
      <c r="C38" s="47">
        <v>114500.55348203002</v>
      </c>
      <c r="D38" s="47">
        <v>113954.54313199</v>
      </c>
      <c r="E38" s="71">
        <v>118105.74403996</v>
      </c>
      <c r="F38" s="47">
        <v>128221.31946123001</v>
      </c>
      <c r="G38" s="51">
        <v>0</v>
      </c>
      <c r="H38" s="51">
        <v>0</v>
      </c>
      <c r="I38" s="51">
        <v>0</v>
      </c>
    </row>
    <row r="39" spans="1:9" ht="14.25">
      <c r="A39" s="43" t="str">
        <f>HLOOKUP(INDICE!$F$2,Nombres!$C$3:$D$636,59,FALSE)</f>
        <v>Financial liabilities held for trading and designated at fair value through profit or loss</v>
      </c>
      <c r="B39" s="58">
        <v>21138.311000000005</v>
      </c>
      <c r="C39" s="58">
        <v>22387.819</v>
      </c>
      <c r="D39" s="58">
        <v>21232.270999999997</v>
      </c>
      <c r="E39" s="65">
        <v>19843.148</v>
      </c>
      <c r="F39" s="44">
        <v>22773.464000000004</v>
      </c>
      <c r="G39" s="44">
        <v>0</v>
      </c>
      <c r="H39" s="44">
        <v>0</v>
      </c>
      <c r="I39" s="44">
        <v>0</v>
      </c>
    </row>
    <row r="40" spans="1:9" ht="15.75" customHeight="1">
      <c r="A40" s="43" t="str">
        <f>HLOOKUP(INDICE!$F$2,Nombres!$C$3:$D$636,60,FALSE)</f>
        <v>Deposits from central banks and credit institutions</v>
      </c>
      <c r="B40" s="58">
        <v>5023.461999990001</v>
      </c>
      <c r="C40" s="58">
        <v>5348.857</v>
      </c>
      <c r="D40" s="58">
        <v>5509.04000001</v>
      </c>
      <c r="E40" s="65">
        <v>3267.822</v>
      </c>
      <c r="F40" s="44">
        <v>2797.4640000100003</v>
      </c>
      <c r="G40" s="44">
        <v>0</v>
      </c>
      <c r="H40" s="44">
        <v>0</v>
      </c>
      <c r="I40" s="44">
        <v>0</v>
      </c>
    </row>
    <row r="41" spans="1:9" ht="14.25">
      <c r="A41" s="43" t="str">
        <f>HLOOKUP(INDICE!$F$2,Nombres!$C$3:$D$636,61,FALSE)</f>
        <v>Deposits from customers</v>
      </c>
      <c r="B41" s="58">
        <v>56832.47199999</v>
      </c>
      <c r="C41" s="58">
        <v>58727.88499998</v>
      </c>
      <c r="D41" s="58">
        <v>58440.05500003</v>
      </c>
      <c r="E41" s="65">
        <v>64003.282999970004</v>
      </c>
      <c r="F41" s="44">
        <v>69536.84699998</v>
      </c>
      <c r="G41" s="44">
        <v>0</v>
      </c>
      <c r="H41" s="44">
        <v>0</v>
      </c>
      <c r="I41" s="44">
        <v>0</v>
      </c>
    </row>
    <row r="42" spans="1:9" ht="14.25">
      <c r="A42" s="43" t="str">
        <f>HLOOKUP(INDICE!$F$2,Nombres!$C$3:$D$636,62,FALSE)</f>
        <v>Debt certificates</v>
      </c>
      <c r="B42" s="44">
        <v>7575.2311366700005</v>
      </c>
      <c r="C42" s="44">
        <v>7896.9549924</v>
      </c>
      <c r="D42" s="44">
        <v>7810.507309169999</v>
      </c>
      <c r="E42" s="45">
        <v>7983.72892324</v>
      </c>
      <c r="F42" s="44">
        <v>8285.599972</v>
      </c>
      <c r="G42" s="44">
        <v>0</v>
      </c>
      <c r="H42" s="44">
        <v>0</v>
      </c>
      <c r="I42" s="44">
        <v>0</v>
      </c>
    </row>
    <row r="43" spans="1:9" ht="14.25">
      <c r="A43" s="43"/>
      <c r="B43" s="44"/>
      <c r="C43" s="44"/>
      <c r="D43" s="44"/>
      <c r="E43" s="45"/>
      <c r="F43" s="44"/>
      <c r="G43" s="44"/>
      <c r="H43" s="44"/>
      <c r="I43" s="44"/>
    </row>
    <row r="44" spans="1:9" ht="14.25">
      <c r="A44" s="43" t="str">
        <f>HLOOKUP(INDICE!$F$2,Nombres!$C$3:$D$636,63,FALSE)</f>
        <v>Other liabilities</v>
      </c>
      <c r="B44" s="58">
        <f>+B38-B39-B40-B41-B42-B45</f>
        <v>12742.700482829983</v>
      </c>
      <c r="C44" s="58">
        <f aca="true" t="shared" si="6" ref="C44:I44">+C38-C39-C40-C41-C42-C45</f>
        <v>12923.637425000012</v>
      </c>
      <c r="D44" s="58">
        <f t="shared" si="6"/>
        <v>13623.665553149996</v>
      </c>
      <c r="E44" s="65">
        <f t="shared" si="6"/>
        <v>15779.165142289998</v>
      </c>
      <c r="F44" s="44">
        <f t="shared" si="6"/>
        <v>16986.916416210002</v>
      </c>
      <c r="G44" s="44">
        <f t="shared" si="6"/>
        <v>0</v>
      </c>
      <c r="H44" s="44">
        <f t="shared" si="6"/>
        <v>0</v>
      </c>
      <c r="I44" s="44">
        <f t="shared" si="6"/>
        <v>0</v>
      </c>
    </row>
    <row r="45" spans="1:9" ht="14.25">
      <c r="A45" s="43" t="str">
        <f>HLOOKUP(INDICE!$F$2,Nombres!$C$3:$D$636,282,FALSE)</f>
        <v>Regulatory capital allocated</v>
      </c>
      <c r="B45" s="44">
        <v>7100.131462949998</v>
      </c>
      <c r="C45" s="44">
        <v>7215.400064650003</v>
      </c>
      <c r="D45" s="44">
        <v>7339.004269630001</v>
      </c>
      <c r="E45" s="44">
        <v>7228.596974459999</v>
      </c>
      <c r="F45" s="44">
        <v>7841.02807303</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66" t="str">
        <f>HLOOKUP(INDICE!$F$2,Nombres!$C$3:$D$636,65,FALSE)</f>
        <v>Relevant business indicators</v>
      </c>
      <c r="B48" s="67"/>
      <c r="C48" s="67"/>
      <c r="D48" s="67"/>
      <c r="E48" s="67"/>
      <c r="F48" s="78"/>
      <c r="G48" s="78"/>
      <c r="H48" s="78"/>
      <c r="I48" s="78"/>
    </row>
    <row r="49" spans="1:9" ht="14.25">
      <c r="A49" s="35" t="str">
        <f>HLOOKUP(INDICE!$F$2,Nombres!$C$3:$D$636,32,FALSE)</f>
        <v>(Million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4.25">
      <c r="A51" s="43" t="str">
        <f>HLOOKUP(INDICE!$F$2,Nombres!$C$3:$D$636,66,FALSE)</f>
        <v>Loans and advances to customers (gross) (*)</v>
      </c>
      <c r="B51" s="44">
        <v>53660.75163941001</v>
      </c>
      <c r="C51" s="44">
        <v>54930.873690910004</v>
      </c>
      <c r="D51" s="44">
        <v>54922.70150473</v>
      </c>
      <c r="E51" s="45">
        <v>57846.47314939001</v>
      </c>
      <c r="F51" s="44">
        <v>62982.134498679996</v>
      </c>
      <c r="G51" s="44">
        <v>0</v>
      </c>
      <c r="H51" s="44">
        <v>0</v>
      </c>
      <c r="I51" s="44">
        <v>0</v>
      </c>
    </row>
    <row r="52" spans="1:9" ht="14.25">
      <c r="A52" s="43" t="str">
        <f>HLOOKUP(INDICE!$F$2,Nombres!$C$3:$D$636,67,FALSE)</f>
        <v>Customer deposits under management (*)</v>
      </c>
      <c r="B52" s="44">
        <v>56488.99468851</v>
      </c>
      <c r="C52" s="44">
        <v>57410.62207279001</v>
      </c>
      <c r="D52" s="44">
        <v>57893.08033935</v>
      </c>
      <c r="E52" s="45">
        <v>63348.80836991</v>
      </c>
      <c r="F52" s="44">
        <v>69088.75408645002</v>
      </c>
      <c r="G52" s="44">
        <v>0</v>
      </c>
      <c r="H52" s="44">
        <v>0</v>
      </c>
      <c r="I52" s="44">
        <v>0</v>
      </c>
    </row>
    <row r="53" spans="1:9" ht="14.25">
      <c r="A53" s="43" t="str">
        <f>HLOOKUP(INDICE!$F$2,Nombres!$C$3:$D$636,68,FALSE)</f>
        <v>Investment funds and managed portfolios</v>
      </c>
      <c r="B53" s="44">
        <v>27614.32512653</v>
      </c>
      <c r="C53" s="44">
        <v>28698.502462099998</v>
      </c>
      <c r="D53" s="44">
        <v>28985.397012190002</v>
      </c>
      <c r="E53" s="45">
        <v>30185.21800207</v>
      </c>
      <c r="F53" s="44">
        <v>31973.31093321</v>
      </c>
      <c r="G53" s="44">
        <v>0</v>
      </c>
      <c r="H53" s="44">
        <v>0</v>
      </c>
      <c r="I53" s="44">
        <v>0</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1898.5095293499999</v>
      </c>
      <c r="C55" s="44">
        <v>2074.3120314</v>
      </c>
      <c r="D55" s="44">
        <v>2036.87402643</v>
      </c>
      <c r="E55" s="45">
        <v>2194.56725774</v>
      </c>
      <c r="F55" s="44">
        <v>2461.04517101</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1457.4542526687353</v>
      </c>
      <c r="C64" s="41">
        <v>1474.124019565357</v>
      </c>
      <c r="D64" s="41">
        <v>1550.3405763450078</v>
      </c>
      <c r="E64" s="42">
        <v>1606.2190713657683</v>
      </c>
      <c r="F64" s="50">
        <v>1746.2767298400004</v>
      </c>
      <c r="G64" s="50">
        <v>0</v>
      </c>
      <c r="H64" s="50">
        <v>0</v>
      </c>
      <c r="I64" s="50">
        <v>0</v>
      </c>
    </row>
    <row r="65" spans="1:9" ht="14.25">
      <c r="A65" s="43" t="str">
        <f>HLOOKUP(INDICE!$F$2,Nombres!$C$3:$D$636,34,FALSE)</f>
        <v>Net fees and commissions</v>
      </c>
      <c r="B65" s="44">
        <v>300.3678877866255</v>
      </c>
      <c r="C65" s="44">
        <v>314.09013310250737</v>
      </c>
      <c r="D65" s="44">
        <v>325.75781286682013</v>
      </c>
      <c r="E65" s="45">
        <v>322.98957770364285</v>
      </c>
      <c r="F65" s="44">
        <v>342.73184430000003</v>
      </c>
      <c r="G65" s="44">
        <v>0</v>
      </c>
      <c r="H65" s="44">
        <v>0</v>
      </c>
      <c r="I65" s="44">
        <v>0</v>
      </c>
    </row>
    <row r="66" spans="1:9" ht="14.25">
      <c r="A66" s="43" t="str">
        <f>HLOOKUP(INDICE!$F$2,Nombres!$C$3:$D$636,35,FALSE)</f>
        <v>Net trading income</v>
      </c>
      <c r="B66" s="44">
        <v>73.75718362889945</v>
      </c>
      <c r="C66" s="44">
        <v>100.7120589554502</v>
      </c>
      <c r="D66" s="44">
        <v>90.37406121921927</v>
      </c>
      <c r="E66" s="45">
        <v>117.36960552402225</v>
      </c>
      <c r="F66" s="44">
        <v>91.93280935</v>
      </c>
      <c r="G66" s="44">
        <v>0</v>
      </c>
      <c r="H66" s="44">
        <v>0</v>
      </c>
      <c r="I66" s="44">
        <v>0</v>
      </c>
    </row>
    <row r="67" spans="1:9" ht="14.25">
      <c r="A67" s="43" t="str">
        <f>HLOOKUP(INDICE!$F$2,Nombres!$C$3:$D$636,36,FALSE)</f>
        <v>Other operating income and expenses</v>
      </c>
      <c r="B67" s="44">
        <v>46.73233944064005</v>
      </c>
      <c r="C67" s="44">
        <v>45.71582184858303</v>
      </c>
      <c r="D67" s="44">
        <v>40.18640984952701</v>
      </c>
      <c r="E67" s="45">
        <v>65.27340380857908</v>
      </c>
      <c r="F67" s="44">
        <v>63.785</v>
      </c>
      <c r="G67" s="44">
        <v>0</v>
      </c>
      <c r="H67" s="44">
        <v>0</v>
      </c>
      <c r="I67" s="44">
        <v>0</v>
      </c>
    </row>
    <row r="68" spans="1:9" ht="14.25">
      <c r="A68" s="41" t="str">
        <f>HLOOKUP(INDICE!$F$2,Nombres!$C$3:$D$636,37,FALSE)</f>
        <v>Gross income</v>
      </c>
      <c r="B68" s="41">
        <f>+SUM(B64:B67)</f>
        <v>1878.3116635249003</v>
      </c>
      <c r="C68" s="41">
        <f aca="true" t="shared" si="9" ref="C68:I68">+SUM(C64:C67)</f>
        <v>1934.6420334718975</v>
      </c>
      <c r="D68" s="41">
        <f t="shared" si="9"/>
        <v>2006.6588602805743</v>
      </c>
      <c r="E68" s="42">
        <f t="shared" si="9"/>
        <v>2111.8516584020126</v>
      </c>
      <c r="F68" s="50">
        <f t="shared" si="9"/>
        <v>2244.72638349</v>
      </c>
      <c r="G68" s="50">
        <f t="shared" si="9"/>
        <v>0</v>
      </c>
      <c r="H68" s="50">
        <f t="shared" si="9"/>
        <v>0</v>
      </c>
      <c r="I68" s="50">
        <f t="shared" si="9"/>
        <v>0</v>
      </c>
    </row>
    <row r="69" spans="1:9" ht="14.25">
      <c r="A69" s="43" t="str">
        <f>HLOOKUP(INDICE!$F$2,Nombres!$C$3:$D$636,38,FALSE)</f>
        <v>Operating expenses</v>
      </c>
      <c r="B69" s="44">
        <v>-670.0561987547709</v>
      </c>
      <c r="C69" s="44">
        <v>-682.8166255765295</v>
      </c>
      <c r="D69" s="44">
        <v>-705.6300361883409</v>
      </c>
      <c r="E69" s="45">
        <v>-739.5605057263117</v>
      </c>
      <c r="F69" s="44">
        <v>-756.39848289</v>
      </c>
      <c r="G69" s="44">
        <v>0</v>
      </c>
      <c r="H69" s="44">
        <v>0</v>
      </c>
      <c r="I69" s="44">
        <v>0</v>
      </c>
    </row>
    <row r="70" spans="1:9" ht="14.25">
      <c r="A70" s="43" t="str">
        <f>HLOOKUP(INDICE!$F$2,Nombres!$C$3:$D$636,39,FALSE)</f>
        <v>  Administration expenses</v>
      </c>
      <c r="B70" s="44">
        <v>-586.424219715684</v>
      </c>
      <c r="C70" s="44">
        <v>-599.6179224349642</v>
      </c>
      <c r="D70" s="44">
        <v>-619.2720995484999</v>
      </c>
      <c r="E70" s="45">
        <v>-652.8305725769219</v>
      </c>
      <c r="F70" s="44">
        <v>-665.90020186</v>
      </c>
      <c r="G70" s="44">
        <v>0</v>
      </c>
      <c r="H70" s="44">
        <v>0</v>
      </c>
      <c r="I70" s="44">
        <v>0</v>
      </c>
    </row>
    <row r="71" spans="1:9" ht="14.25">
      <c r="A71" s="46" t="str">
        <f>HLOOKUP(INDICE!$F$2,Nombres!$C$3:$D$636,40,FALSE)</f>
        <v>  Personnel expenses</v>
      </c>
      <c r="B71" s="44">
        <v>-272.22556111520464</v>
      </c>
      <c r="C71" s="44">
        <v>-282.61414814637095</v>
      </c>
      <c r="D71" s="44">
        <v>-338.63845303614534</v>
      </c>
      <c r="E71" s="45">
        <v>-357.4476376035184</v>
      </c>
      <c r="F71" s="44">
        <v>-334.39717567</v>
      </c>
      <c r="G71" s="44">
        <v>0</v>
      </c>
      <c r="H71" s="44">
        <v>0</v>
      </c>
      <c r="I71" s="44">
        <v>0</v>
      </c>
    </row>
    <row r="72" spans="1:9" ht="14.25">
      <c r="A72" s="46" t="str">
        <f>HLOOKUP(INDICE!$F$2,Nombres!$C$3:$D$636,41,FALSE)</f>
        <v>  General and administrative expenses</v>
      </c>
      <c r="B72" s="44">
        <v>-314.19865860047946</v>
      </c>
      <c r="C72" s="44">
        <v>-317.00377428859326</v>
      </c>
      <c r="D72" s="44">
        <v>-280.63364651235463</v>
      </c>
      <c r="E72" s="45">
        <v>-295.3829349734034</v>
      </c>
      <c r="F72" s="44">
        <v>-331.50302619</v>
      </c>
      <c r="G72" s="44">
        <v>0</v>
      </c>
      <c r="H72" s="44">
        <v>0</v>
      </c>
      <c r="I72" s="44">
        <v>0</v>
      </c>
    </row>
    <row r="73" spans="1:9" ht="14.25">
      <c r="A73" s="43" t="str">
        <f>HLOOKUP(INDICE!$F$2,Nombres!$C$3:$D$636,42,FALSE)</f>
        <v>  Depreciation</v>
      </c>
      <c r="B73" s="44">
        <v>-83.63197903908684</v>
      </c>
      <c r="C73" s="44">
        <v>-83.19870314156545</v>
      </c>
      <c r="D73" s="44">
        <v>-86.3579366398409</v>
      </c>
      <c r="E73" s="45">
        <v>-86.72993314938991</v>
      </c>
      <c r="F73" s="44">
        <v>-90.49828102999999</v>
      </c>
      <c r="G73" s="44">
        <v>0</v>
      </c>
      <c r="H73" s="44">
        <v>0</v>
      </c>
      <c r="I73" s="44">
        <v>0</v>
      </c>
    </row>
    <row r="74" spans="1:9" ht="14.25">
      <c r="A74" s="41" t="str">
        <f>HLOOKUP(INDICE!$F$2,Nombres!$C$3:$D$636,43,FALSE)</f>
        <v>Operating income</v>
      </c>
      <c r="B74" s="41">
        <f>+B68+B69</f>
        <v>1208.2554647701295</v>
      </c>
      <c r="C74" s="41">
        <f aca="true" t="shared" si="10" ref="C74:I74">+C68+C69</f>
        <v>1251.825407895368</v>
      </c>
      <c r="D74" s="41">
        <f t="shared" si="10"/>
        <v>1301.0288240922334</v>
      </c>
      <c r="E74" s="42">
        <f t="shared" si="10"/>
        <v>1372.291152675701</v>
      </c>
      <c r="F74" s="50">
        <f t="shared" si="10"/>
        <v>1488.3279006</v>
      </c>
      <c r="G74" s="50">
        <f t="shared" si="10"/>
        <v>0</v>
      </c>
      <c r="H74" s="50">
        <f t="shared" si="10"/>
        <v>0</v>
      </c>
      <c r="I74" s="50">
        <f t="shared" si="10"/>
        <v>0</v>
      </c>
    </row>
    <row r="75" spans="1:9" ht="14.25">
      <c r="A75" s="43" t="str">
        <f>HLOOKUP(INDICE!$F$2,Nombres!$C$3:$D$636,44,FALSE)</f>
        <v>Impaiment on financial assets not measured at fair value through profit or loss</v>
      </c>
      <c r="B75" s="44">
        <v>-488.47333343916443</v>
      </c>
      <c r="C75" s="44">
        <v>-295.70420117291064</v>
      </c>
      <c r="D75" s="44">
        <v>-342.01679600064347</v>
      </c>
      <c r="E75" s="45">
        <v>-376.4552456631959</v>
      </c>
      <c r="F75" s="44">
        <v>-418.76099995</v>
      </c>
      <c r="G75" s="44">
        <v>0</v>
      </c>
      <c r="H75" s="44">
        <v>0</v>
      </c>
      <c r="I75" s="44">
        <v>0</v>
      </c>
    </row>
    <row r="76" spans="1:9" ht="14.25">
      <c r="A76" s="43" t="str">
        <f>HLOOKUP(INDICE!$F$2,Nombres!$C$3:$D$636,45,FALSE)</f>
        <v>Provisions or reversal of provisions and other results</v>
      </c>
      <c r="B76" s="44">
        <v>1.929801200067689</v>
      </c>
      <c r="C76" s="44">
        <v>7.451803540707967</v>
      </c>
      <c r="D76" s="44">
        <v>9.21808459575361</v>
      </c>
      <c r="E76" s="45">
        <v>6.920133003696925</v>
      </c>
      <c r="F76" s="44">
        <v>-1.2699999999999978</v>
      </c>
      <c r="G76" s="44">
        <v>0</v>
      </c>
      <c r="H76" s="44">
        <v>0</v>
      </c>
      <c r="I76" s="44">
        <v>0</v>
      </c>
    </row>
    <row r="77" spans="1:9" ht="14.25">
      <c r="A77" s="41" t="str">
        <f>HLOOKUP(INDICE!$F$2,Nombres!$C$3:$D$636,46,FALSE)</f>
        <v>Profit/(loss) before tax</v>
      </c>
      <c r="B77" s="41">
        <f>+B74+B75+B76</f>
        <v>721.7119325310327</v>
      </c>
      <c r="C77" s="41">
        <f aca="true" t="shared" si="11" ref="C77:I77">+C74+C75+C76</f>
        <v>963.5730102631653</v>
      </c>
      <c r="D77" s="41">
        <f t="shared" si="11"/>
        <v>968.2301126873435</v>
      </c>
      <c r="E77" s="42">
        <f t="shared" si="11"/>
        <v>1002.756040016202</v>
      </c>
      <c r="F77" s="50">
        <f t="shared" si="11"/>
        <v>1068.29690065</v>
      </c>
      <c r="G77" s="50">
        <f t="shared" si="11"/>
        <v>0</v>
      </c>
      <c r="H77" s="50">
        <f t="shared" si="11"/>
        <v>0</v>
      </c>
      <c r="I77" s="50">
        <f t="shared" si="11"/>
        <v>0</v>
      </c>
    </row>
    <row r="78" spans="1:9" ht="14.25">
      <c r="A78" s="43" t="str">
        <f>HLOOKUP(INDICE!$F$2,Nombres!$C$3:$D$636,47,FALSE)</f>
        <v>Income tax</v>
      </c>
      <c r="B78" s="44">
        <v>-200.138475948363</v>
      </c>
      <c r="C78" s="44">
        <v>-301.53517039285657</v>
      </c>
      <c r="D78" s="44">
        <v>-267.5008584974941</v>
      </c>
      <c r="E78" s="45">
        <v>-225.0381683444428</v>
      </c>
      <c r="F78" s="44">
        <v>-290.98884174</v>
      </c>
      <c r="G78" s="44">
        <v>0</v>
      </c>
      <c r="H78" s="44">
        <v>0</v>
      </c>
      <c r="I78" s="44">
        <v>0</v>
      </c>
    </row>
    <row r="79" spans="1:9" ht="14.25">
      <c r="A79" s="41" t="str">
        <f>HLOOKUP(INDICE!$F$2,Nombres!$C$3:$D$636,48,FALSE)</f>
        <v>Profit/(loss) for the year</v>
      </c>
      <c r="B79" s="41">
        <f>+B77+B78</f>
        <v>521.5734565826697</v>
      </c>
      <c r="C79" s="41">
        <f aca="true" t="shared" si="12" ref="C79:I79">+C77+C78</f>
        <v>662.0378398703087</v>
      </c>
      <c r="D79" s="41">
        <f t="shared" si="12"/>
        <v>700.7292541898494</v>
      </c>
      <c r="E79" s="42">
        <f t="shared" si="12"/>
        <v>777.7178716717592</v>
      </c>
      <c r="F79" s="50">
        <f t="shared" si="12"/>
        <v>777.30805891</v>
      </c>
      <c r="G79" s="50">
        <f t="shared" si="12"/>
        <v>0</v>
      </c>
      <c r="H79" s="50">
        <f t="shared" si="12"/>
        <v>0</v>
      </c>
      <c r="I79" s="50">
        <f t="shared" si="12"/>
        <v>0</v>
      </c>
    </row>
    <row r="80" spans="1:9" ht="14.25">
      <c r="A80" s="43" t="str">
        <f>HLOOKUP(INDICE!$F$2,Nombres!$C$3:$D$636,49,FALSE)</f>
        <v>Non-controlling interests</v>
      </c>
      <c r="B80" s="44">
        <v>-0.09067612151424868</v>
      </c>
      <c r="C80" s="44">
        <v>-0.12725470604315944</v>
      </c>
      <c r="D80" s="44">
        <v>-0.1265854316005299</v>
      </c>
      <c r="E80" s="45">
        <v>-0.14681125605106662</v>
      </c>
      <c r="F80" s="44">
        <v>-0.139</v>
      </c>
      <c r="G80" s="44">
        <v>0</v>
      </c>
      <c r="H80" s="44">
        <v>0</v>
      </c>
      <c r="I80" s="44">
        <v>0</v>
      </c>
    </row>
    <row r="81" spans="1:9" ht="14.25">
      <c r="A81" s="47" t="str">
        <f>HLOOKUP(INDICE!$F$2,Nombres!$C$3:$D$636,50,FALSE)</f>
        <v>Net attributable profit</v>
      </c>
      <c r="B81" s="47">
        <f>+B79+B80</f>
        <v>521.4827804611555</v>
      </c>
      <c r="C81" s="47">
        <f aca="true" t="shared" si="13" ref="C81:I81">+C79+C80</f>
        <v>661.9105851642656</v>
      </c>
      <c r="D81" s="47">
        <f t="shared" si="13"/>
        <v>700.6026687582488</v>
      </c>
      <c r="E81" s="47">
        <f t="shared" si="13"/>
        <v>777.5710604157082</v>
      </c>
      <c r="F81" s="51">
        <f t="shared" si="13"/>
        <v>777.16905891</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11585.80057907899</v>
      </c>
      <c r="C87" s="44">
        <v>13979.481932904851</v>
      </c>
      <c r="D87" s="44">
        <v>14808.23407325462</v>
      </c>
      <c r="E87" s="45">
        <v>13604.117010919377</v>
      </c>
      <c r="F87" s="44">
        <v>14926.70000001</v>
      </c>
      <c r="G87" s="44">
        <v>0</v>
      </c>
      <c r="H87" s="44">
        <v>0</v>
      </c>
      <c r="I87" s="44">
        <v>0</v>
      </c>
    </row>
    <row r="88" spans="1:9" ht="14.25">
      <c r="A88" s="43" t="str">
        <f>HLOOKUP(INDICE!$F$2,Nombres!$C$3:$D$636,53,FALSE)</f>
        <v>Financial assets designated at fair value </v>
      </c>
      <c r="B88" s="58">
        <v>36924.40213672409</v>
      </c>
      <c r="C88" s="58">
        <v>37034.79865691993</v>
      </c>
      <c r="D88" s="58">
        <v>35977.652032904596</v>
      </c>
      <c r="E88" s="65">
        <v>36800.75519133794</v>
      </c>
      <c r="F88" s="44">
        <v>37487.704</v>
      </c>
      <c r="G88" s="44">
        <v>0</v>
      </c>
      <c r="H88" s="44">
        <v>0</v>
      </c>
      <c r="I88" s="44">
        <v>0</v>
      </c>
    </row>
    <row r="89" spans="1:9" ht="14.25">
      <c r="A89" s="43" t="str">
        <f>HLOOKUP(INDICE!$F$2,Nombres!$C$3:$D$636,54,FALSE)</f>
        <v>Financial assets at amortized cost</v>
      </c>
      <c r="B89" s="44">
        <v>66258.52601914806</v>
      </c>
      <c r="C89" s="44">
        <v>66013.6644382728</v>
      </c>
      <c r="D89" s="44">
        <v>66851.47965443572</v>
      </c>
      <c r="E89" s="45">
        <v>68426.21733491658</v>
      </c>
      <c r="F89" s="44">
        <v>70951.68300008001</v>
      </c>
      <c r="G89" s="44">
        <v>0</v>
      </c>
      <c r="H89" s="44">
        <v>0</v>
      </c>
      <c r="I89" s="44">
        <v>0</v>
      </c>
    </row>
    <row r="90" spans="1:9" ht="14.25">
      <c r="A90" s="43" t="str">
        <f>HLOOKUP(INDICE!$F$2,Nombres!$C$3:$D$636,55,FALSE)</f>
        <v>    of which loans and advances to customers</v>
      </c>
      <c r="B90" s="44">
        <v>56096.92949898283</v>
      </c>
      <c r="C90" s="44">
        <v>56435.344369711034</v>
      </c>
      <c r="D90" s="44">
        <v>56982.45788683205</v>
      </c>
      <c r="E90" s="45">
        <v>58470.45135220088</v>
      </c>
      <c r="F90" s="44">
        <v>60743.74800004</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1789.841159834219</v>
      </c>
      <c r="C92" s="44">
        <v>1773.1719324905412</v>
      </c>
      <c r="D92" s="44">
        <v>1766.7102690558072</v>
      </c>
      <c r="E92" s="45">
        <v>1813.5744566421536</v>
      </c>
      <c r="F92" s="44">
        <v>1770.6509999999998</v>
      </c>
      <c r="G92" s="44">
        <v>0</v>
      </c>
      <c r="H92" s="44">
        <v>0</v>
      </c>
      <c r="I92" s="44">
        <v>0</v>
      </c>
    </row>
    <row r="93" spans="1:9" ht="14.25">
      <c r="A93" s="43" t="str">
        <f>HLOOKUP(INDICE!$F$2,Nombres!$C$3:$D$636,57,FALSE)</f>
        <v>Other assets</v>
      </c>
      <c r="B93" s="58">
        <f>+B94-B92-B89-B88-B87</f>
        <v>3651.7602840221807</v>
      </c>
      <c r="C93" s="58">
        <f aca="true" t="shared" si="15" ref="C93:I93">+C94-C92-C89-C88-C87</f>
        <v>3412.6986146732343</v>
      </c>
      <c r="D93" s="58">
        <f t="shared" si="15"/>
        <v>3080.692245524</v>
      </c>
      <c r="E93" s="65">
        <f t="shared" si="15"/>
        <v>3093.6156521922385</v>
      </c>
      <c r="F93" s="44">
        <f t="shared" si="15"/>
        <v>3084.5814611400074</v>
      </c>
      <c r="G93" s="44">
        <f t="shared" si="15"/>
        <v>0</v>
      </c>
      <c r="H93" s="44">
        <f t="shared" si="15"/>
        <v>0</v>
      </c>
      <c r="I93" s="44">
        <f t="shared" si="15"/>
        <v>0</v>
      </c>
    </row>
    <row r="94" spans="1:9" ht="14.25">
      <c r="A94" s="47" t="str">
        <f>HLOOKUP(INDICE!$F$2,Nombres!$C$3:$D$636,58,FALSE)</f>
        <v>Total assets / Liabilities and equity</v>
      </c>
      <c r="B94" s="47">
        <v>120210.33017880755</v>
      </c>
      <c r="C94" s="47">
        <v>122213.81557526135</v>
      </c>
      <c r="D94" s="47">
        <v>122484.76827517475</v>
      </c>
      <c r="E94" s="47">
        <v>123738.27964600829</v>
      </c>
      <c r="F94" s="51">
        <v>128221.31946123001</v>
      </c>
      <c r="G94" s="51">
        <v>0</v>
      </c>
      <c r="H94" s="51">
        <v>0</v>
      </c>
      <c r="I94" s="51">
        <v>0</v>
      </c>
    </row>
    <row r="95" spans="1:9" ht="14.25">
      <c r="A95" s="43" t="str">
        <f>HLOOKUP(INDICE!$F$2,Nombres!$C$3:$D$636,59,FALSE)</f>
        <v>Financial liabilities held for trading and designated at fair value through profit or loss</v>
      </c>
      <c r="B95" s="58">
        <v>23014.131203880504</v>
      </c>
      <c r="C95" s="58">
        <v>23895.961191381866</v>
      </c>
      <c r="D95" s="58">
        <v>22821.642050536633</v>
      </c>
      <c r="E95" s="65">
        <v>20789.47993799847</v>
      </c>
      <c r="F95" s="44">
        <v>22773.464000000004</v>
      </c>
      <c r="G95" s="44">
        <v>0</v>
      </c>
      <c r="H95" s="44">
        <v>0</v>
      </c>
      <c r="I95" s="44">
        <v>0</v>
      </c>
    </row>
    <row r="96" spans="1:9" ht="14.25">
      <c r="A96" s="43" t="str">
        <f>HLOOKUP(INDICE!$F$2,Nombres!$C$3:$D$636,60,FALSE)</f>
        <v>Deposits from central banks and credit institutions</v>
      </c>
      <c r="B96" s="58">
        <v>5469.245559187666</v>
      </c>
      <c r="C96" s="58">
        <v>5709.179589590714</v>
      </c>
      <c r="D96" s="58">
        <v>5921.426818747583</v>
      </c>
      <c r="E96" s="65">
        <v>3423.666441935021</v>
      </c>
      <c r="F96" s="44">
        <v>2797.4640000100003</v>
      </c>
      <c r="G96" s="44">
        <v>0</v>
      </c>
      <c r="H96" s="44">
        <v>0</v>
      </c>
      <c r="I96" s="44">
        <v>0</v>
      </c>
    </row>
    <row r="97" spans="1:9" ht="14.25">
      <c r="A97" s="43" t="str">
        <f>HLOOKUP(INDICE!$F$2,Nombres!$C$3:$D$636,61,FALSE)</f>
        <v>Deposits from customers</v>
      </c>
      <c r="B97" s="58">
        <v>61875.80300283381</v>
      </c>
      <c r="C97" s="58">
        <v>62684.05425340714</v>
      </c>
      <c r="D97" s="58">
        <v>62814.66625140373</v>
      </c>
      <c r="E97" s="65">
        <v>67055.63894871493</v>
      </c>
      <c r="F97" s="44">
        <v>69536.84699998</v>
      </c>
      <c r="G97" s="44">
        <v>0</v>
      </c>
      <c r="H97" s="44">
        <v>0</v>
      </c>
      <c r="I97" s="44">
        <v>0</v>
      </c>
    </row>
    <row r="98" spans="1:9" ht="14.25">
      <c r="A98" s="43" t="str">
        <f>HLOOKUP(INDICE!$F$2,Nombres!$C$3:$D$636,62,FALSE)</f>
        <v>Debt certificates</v>
      </c>
      <c r="B98" s="44">
        <v>8247.459472000588</v>
      </c>
      <c r="C98" s="44">
        <v>8428.928696827486</v>
      </c>
      <c r="D98" s="44">
        <v>8395.17365066496</v>
      </c>
      <c r="E98" s="45">
        <v>8364.477868134434</v>
      </c>
      <c r="F98" s="44">
        <v>8285.599972</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13873.491633442274</v>
      </c>
      <c r="C100" s="58">
        <f aca="true" t="shared" si="16" ref="C100:I100">+C94-C95-C96-C97-C98-C101</f>
        <v>13794.230619753082</v>
      </c>
      <c r="D100" s="58">
        <f t="shared" si="16"/>
        <v>14643.483905711963</v>
      </c>
      <c r="E100" s="65">
        <f t="shared" si="16"/>
        <v>16531.68323715582</v>
      </c>
      <c r="F100" s="44">
        <f t="shared" si="16"/>
        <v>16986.916416210002</v>
      </c>
      <c r="G100" s="44">
        <f t="shared" si="16"/>
        <v>0</v>
      </c>
      <c r="H100" s="44">
        <f t="shared" si="16"/>
        <v>0</v>
      </c>
      <c r="I100" s="44">
        <f t="shared" si="16"/>
        <v>0</v>
      </c>
    </row>
    <row r="101" spans="1:9" ht="14.25">
      <c r="A101" s="43" t="str">
        <f>HLOOKUP(INDICE!$F$2,Nombres!$C$3:$D$636,282,FALSE)</f>
        <v>Regulatory capital allocated</v>
      </c>
      <c r="B101" s="44">
        <v>7730.199307462705</v>
      </c>
      <c r="C101" s="44">
        <v>7701.461224301063</v>
      </c>
      <c r="D101" s="44">
        <v>7888.375598109871</v>
      </c>
      <c r="E101" s="44">
        <v>7573.333212069605</v>
      </c>
      <c r="F101" s="44">
        <v>7841.02807303</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66" t="str">
        <f>HLOOKUP(INDICE!$F$2,Nombres!$C$3:$D$636,65,FALSE)</f>
        <v>Relevant business indicators</v>
      </c>
      <c r="B104" s="67"/>
      <c r="C104" s="67"/>
      <c r="D104" s="67"/>
      <c r="E104" s="67"/>
      <c r="F104" s="72"/>
      <c r="G104" s="72"/>
      <c r="H104" s="72"/>
      <c r="I104" s="72"/>
    </row>
    <row r="105" spans="1:9" ht="14.25">
      <c r="A105" s="35" t="str">
        <f>HLOOKUP(INDICE!$F$2,Nombres!$C$3:$D$636,73,FALSE)</f>
        <v>(Constant million euros)    </v>
      </c>
      <c r="B105" s="30"/>
      <c r="C105" s="30"/>
      <c r="D105" s="30"/>
      <c r="E105" s="30"/>
      <c r="F105" s="70"/>
      <c r="G105" s="70"/>
      <c r="H105" s="70"/>
      <c r="I105" s="70"/>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58422.6232042961</v>
      </c>
      <c r="C107" s="44">
        <v>58631.259522273445</v>
      </c>
      <c r="D107" s="44">
        <v>59034.016388987206</v>
      </c>
      <c r="E107" s="45">
        <v>60605.207047954806</v>
      </c>
      <c r="F107" s="44">
        <v>62982.134498679996</v>
      </c>
      <c r="G107" s="44">
        <v>0</v>
      </c>
      <c r="H107" s="44">
        <v>0</v>
      </c>
      <c r="I107" s="44">
        <v>0</v>
      </c>
    </row>
    <row r="108" spans="1:9" ht="14.25">
      <c r="A108" s="43" t="str">
        <f>HLOOKUP(INDICE!$F$2,Nombres!$C$3:$D$636,67,FALSE)</f>
        <v>Customer deposits under management (*)</v>
      </c>
      <c r="B108" s="44">
        <v>61501.845409345995</v>
      </c>
      <c r="C108" s="44">
        <v>61278.054687885444</v>
      </c>
      <c r="D108" s="44">
        <v>62226.74704498664</v>
      </c>
      <c r="E108" s="45">
        <v>66369.95202083627</v>
      </c>
      <c r="F108" s="44">
        <v>69088.75408645002</v>
      </c>
      <c r="G108" s="44">
        <v>0</v>
      </c>
      <c r="H108" s="44">
        <v>0</v>
      </c>
      <c r="I108" s="44">
        <v>0</v>
      </c>
    </row>
    <row r="109" spans="1:9" ht="14.25">
      <c r="A109" s="43" t="str">
        <f>HLOOKUP(INDICE!$F$2,Nombres!$C$3:$D$636,68,FALSE)</f>
        <v>Investment funds and managed portfolios</v>
      </c>
      <c r="B109" s="44">
        <v>30064.828810995135</v>
      </c>
      <c r="C109" s="44">
        <v>30631.76011406553</v>
      </c>
      <c r="D109" s="44">
        <v>31155.139047768094</v>
      </c>
      <c r="E109" s="45">
        <v>31624.76962214586</v>
      </c>
      <c r="F109" s="44">
        <v>31973.31093321</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2066.98384749275</v>
      </c>
      <c r="C111" s="44">
        <v>2214.046835073612</v>
      </c>
      <c r="D111" s="44">
        <v>2189.347052570153</v>
      </c>
      <c r="E111" s="45">
        <v>2299.2275206219315</v>
      </c>
      <c r="F111" s="44">
        <v>2461.04517101</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HLOOKUP(INDICE!$F$2,Nombres!$C$3:$D$636,74,FALSE)</f>
        <v>(Million Mexican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33509.60308059932</v>
      </c>
      <c r="C120" s="41">
        <v>33892.87224402525</v>
      </c>
      <c r="D120" s="41">
        <v>35645.2336379966</v>
      </c>
      <c r="E120" s="42">
        <v>36929.98489894235</v>
      </c>
      <c r="F120" s="50">
        <v>40150.17279525254</v>
      </c>
      <c r="G120" s="50">
        <v>0</v>
      </c>
      <c r="H120" s="50">
        <v>0</v>
      </c>
      <c r="I120" s="50">
        <v>0</v>
      </c>
    </row>
    <row r="121" spans="1:9" ht="14.25">
      <c r="A121" s="43" t="str">
        <f>HLOOKUP(INDICE!$F$2,Nombres!$C$3:$D$636,34,FALSE)</f>
        <v>Net fees and commissions</v>
      </c>
      <c r="B121" s="44">
        <v>6906.020329253886</v>
      </c>
      <c r="C121" s="44">
        <v>7221.520450830826</v>
      </c>
      <c r="D121" s="44">
        <v>7489.782262176015</v>
      </c>
      <c r="E121" s="45">
        <v>7426.1353508702405</v>
      </c>
      <c r="F121" s="44">
        <v>7880.047037184879</v>
      </c>
      <c r="G121" s="44">
        <v>0</v>
      </c>
      <c r="H121" s="44">
        <v>0</v>
      </c>
      <c r="I121" s="44">
        <v>0</v>
      </c>
    </row>
    <row r="122" spans="1:9" ht="14.25">
      <c r="A122" s="43" t="str">
        <f>HLOOKUP(INDICE!$F$2,Nombres!$C$3:$D$636,35,FALSE)</f>
        <v>Net trading income</v>
      </c>
      <c r="B122" s="44">
        <v>1695.8157988297858</v>
      </c>
      <c r="C122" s="44">
        <v>2315.558869067377</v>
      </c>
      <c r="D122" s="44">
        <v>2077.868938042165</v>
      </c>
      <c r="E122" s="45">
        <v>2698.547064262767</v>
      </c>
      <c r="F122" s="44">
        <v>2113.707477103988</v>
      </c>
      <c r="G122" s="44">
        <v>0</v>
      </c>
      <c r="H122" s="44">
        <v>0</v>
      </c>
      <c r="I122" s="44">
        <v>0</v>
      </c>
    </row>
    <row r="123" spans="1:9" ht="14.25">
      <c r="A123" s="43" t="str">
        <f>HLOOKUP(INDICE!$F$2,Nombres!$C$3:$D$636,36,FALSE)</f>
        <v>Other operating income and expenses</v>
      </c>
      <c r="B123" s="44">
        <v>1074.464013409838</v>
      </c>
      <c r="C123" s="44">
        <v>1051.0923700310425</v>
      </c>
      <c r="D123" s="44">
        <v>923.9608315843525</v>
      </c>
      <c r="E123" s="45">
        <v>1500.7578106414214</v>
      </c>
      <c r="F123" s="44">
        <v>1466.536619301929</v>
      </c>
      <c r="G123" s="44">
        <v>0</v>
      </c>
      <c r="H123" s="44">
        <v>0</v>
      </c>
      <c r="I123" s="44">
        <v>0</v>
      </c>
    </row>
    <row r="124" spans="1:9" ht="14.25">
      <c r="A124" s="41" t="str">
        <f>HLOOKUP(INDICE!$F$2,Nombres!$C$3:$D$636,37,FALSE)</f>
        <v>Gross income</v>
      </c>
      <c r="B124" s="41">
        <f>+SUM(B120:B123)</f>
        <v>43185.90322209283</v>
      </c>
      <c r="C124" s="41">
        <f aca="true" t="shared" si="19" ref="C124:I124">+SUM(C120:C123)</f>
        <v>44481.0439339545</v>
      </c>
      <c r="D124" s="41">
        <f t="shared" si="19"/>
        <v>46136.84566979913</v>
      </c>
      <c r="E124" s="42">
        <f t="shared" si="19"/>
        <v>48555.42512471678</v>
      </c>
      <c r="F124" s="50">
        <f t="shared" si="19"/>
        <v>51610.46392884334</v>
      </c>
      <c r="G124" s="50">
        <f t="shared" si="19"/>
        <v>0</v>
      </c>
      <c r="H124" s="50">
        <f t="shared" si="19"/>
        <v>0</v>
      </c>
      <c r="I124" s="50">
        <f t="shared" si="19"/>
        <v>0</v>
      </c>
    </row>
    <row r="125" spans="1:9" ht="14.25">
      <c r="A125" s="43" t="str">
        <f>HLOOKUP(INDICE!$F$2,Nombres!$C$3:$D$636,38,FALSE)</f>
        <v>Operating expenses</v>
      </c>
      <c r="B125" s="44">
        <v>-15405.8470246002</v>
      </c>
      <c r="C125" s="44">
        <v>-15699.233137511255</v>
      </c>
      <c r="D125" s="44">
        <v>-16223.756176993777</v>
      </c>
      <c r="E125" s="45">
        <v>-17003.881223439526</v>
      </c>
      <c r="F125" s="44">
        <v>-17391.017855963146</v>
      </c>
      <c r="G125" s="44">
        <v>0</v>
      </c>
      <c r="H125" s="44">
        <v>0</v>
      </c>
      <c r="I125" s="44">
        <v>0</v>
      </c>
    </row>
    <row r="126" spans="1:9" ht="14.25">
      <c r="A126" s="43" t="str">
        <f>HLOOKUP(INDICE!$F$2,Nombres!$C$3:$D$636,39,FALSE)</f>
        <v>  Administration expenses</v>
      </c>
      <c r="B126" s="44">
        <v>-13482.991183798877</v>
      </c>
      <c r="C126" s="44">
        <v>-13786.339121119687</v>
      </c>
      <c r="D126" s="44">
        <v>-14238.225465232661</v>
      </c>
      <c r="E126" s="45">
        <v>-15009.797615174439</v>
      </c>
      <c r="F126" s="44">
        <v>-15310.292871807433</v>
      </c>
      <c r="G126" s="44">
        <v>0</v>
      </c>
      <c r="H126" s="44">
        <v>0</v>
      </c>
      <c r="I126" s="44">
        <v>0</v>
      </c>
    </row>
    <row r="127" spans="1:9" ht="14.25">
      <c r="A127" s="46" t="str">
        <f>HLOOKUP(INDICE!$F$2,Nombres!$C$3:$D$636,40,FALSE)</f>
        <v>  Personnel expenses</v>
      </c>
      <c r="B127" s="44">
        <v>-6258.97552850142</v>
      </c>
      <c r="C127" s="44">
        <v>-6497.828602170945</v>
      </c>
      <c r="D127" s="44">
        <v>-7785.932305107218</v>
      </c>
      <c r="E127" s="45">
        <v>-8218.39068791291</v>
      </c>
      <c r="F127" s="44">
        <v>-7688.417394547235</v>
      </c>
      <c r="G127" s="44">
        <v>0</v>
      </c>
      <c r="H127" s="44">
        <v>0</v>
      </c>
      <c r="I127" s="44">
        <v>0</v>
      </c>
    </row>
    <row r="128" spans="1:9" ht="14.25">
      <c r="A128" s="46" t="str">
        <f>HLOOKUP(INDICE!$F$2,Nombres!$C$3:$D$636,41,FALSE)</f>
        <v>  General and administrative expenses</v>
      </c>
      <c r="B128" s="44">
        <v>-7224.015655297459</v>
      </c>
      <c r="C128" s="44">
        <v>-7288.510518948745</v>
      </c>
      <c r="D128" s="44">
        <v>-6452.293160125444</v>
      </c>
      <c r="E128" s="45">
        <v>-6791.406927261529</v>
      </c>
      <c r="F128" s="44">
        <v>-7621.875477260197</v>
      </c>
      <c r="G128" s="44">
        <v>0</v>
      </c>
      <c r="H128" s="44">
        <v>0</v>
      </c>
      <c r="I128" s="44">
        <v>0</v>
      </c>
    </row>
    <row r="129" spans="1:9" ht="14.25">
      <c r="A129" s="43" t="str">
        <f>HLOOKUP(INDICE!$F$2,Nombres!$C$3:$D$636,42,FALSE)</f>
        <v>  Depreciation</v>
      </c>
      <c r="B129" s="44">
        <v>-1922.8558408013214</v>
      </c>
      <c r="C129" s="44">
        <v>-1912.894016391569</v>
      </c>
      <c r="D129" s="44">
        <v>-1985.5307117611126</v>
      </c>
      <c r="E129" s="45">
        <v>-1994.0836082650867</v>
      </c>
      <c r="F129" s="44">
        <v>-2080.724984155713</v>
      </c>
      <c r="G129" s="44">
        <v>0</v>
      </c>
      <c r="H129" s="44">
        <v>0</v>
      </c>
      <c r="I129" s="44">
        <v>0</v>
      </c>
    </row>
    <row r="130" spans="1:9" ht="14.25">
      <c r="A130" s="41" t="str">
        <f>HLOOKUP(INDICE!$F$2,Nombres!$C$3:$D$636,43,FALSE)</f>
        <v>Operating income</v>
      </c>
      <c r="B130" s="41">
        <f>+B124+B125</f>
        <v>27780.056197492628</v>
      </c>
      <c r="C130" s="41">
        <f aca="true" t="shared" si="20" ref="C130:I130">+C124+C125</f>
        <v>28781.810796443242</v>
      </c>
      <c r="D130" s="41">
        <f t="shared" si="20"/>
        <v>29913.089492805353</v>
      </c>
      <c r="E130" s="42">
        <f t="shared" si="20"/>
        <v>31551.54390127725</v>
      </c>
      <c r="F130" s="50">
        <f t="shared" si="20"/>
        <v>34219.44607288019</v>
      </c>
      <c r="G130" s="50">
        <f t="shared" si="20"/>
        <v>0</v>
      </c>
      <c r="H130" s="50">
        <f t="shared" si="20"/>
        <v>0</v>
      </c>
      <c r="I130" s="50">
        <f t="shared" si="20"/>
        <v>0</v>
      </c>
    </row>
    <row r="131" spans="1:9" ht="14.25">
      <c r="A131" s="43" t="str">
        <f>HLOOKUP(INDICE!$F$2,Nombres!$C$3:$D$636,44,FALSE)</f>
        <v>Impaiment on financial assets not measured at fair value through profit or loss</v>
      </c>
      <c r="B131" s="44">
        <v>-11230.916846296415</v>
      </c>
      <c r="C131" s="44">
        <v>-6798.793438919782</v>
      </c>
      <c r="D131" s="44">
        <v>-7863.606737497242</v>
      </c>
      <c r="E131" s="45">
        <v>-8655.411198453878</v>
      </c>
      <c r="F131" s="44">
        <v>-9628.09972818325</v>
      </c>
      <c r="G131" s="44">
        <v>0</v>
      </c>
      <c r="H131" s="44">
        <v>0</v>
      </c>
      <c r="I131" s="44">
        <v>0</v>
      </c>
    </row>
    <row r="132" spans="1:9" ht="14.25">
      <c r="A132" s="43" t="str">
        <f>HLOOKUP(INDICE!$F$2,Nombres!$C$3:$D$636,45,FALSE)</f>
        <v>Provisions or reversal of provisions and other results</v>
      </c>
      <c r="B132" s="44">
        <v>44.36974410711076</v>
      </c>
      <c r="C132" s="44">
        <v>171.33092062854925</v>
      </c>
      <c r="D132" s="44">
        <v>211.9410303283798</v>
      </c>
      <c r="E132" s="45">
        <v>159.10681916377524</v>
      </c>
      <c r="F132" s="44">
        <v>-29.199678709938837</v>
      </c>
      <c r="G132" s="44">
        <v>0</v>
      </c>
      <c r="H132" s="44">
        <v>0</v>
      </c>
      <c r="I132" s="44">
        <v>0</v>
      </c>
    </row>
    <row r="133" spans="1:9" ht="14.25">
      <c r="A133" s="41" t="str">
        <f>HLOOKUP(INDICE!$F$2,Nombres!$C$3:$D$636,46,FALSE)</f>
        <v>Profit/(loss) before tax</v>
      </c>
      <c r="B133" s="41">
        <f>+B130+B131+B132</f>
        <v>16593.50909530332</v>
      </c>
      <c r="C133" s="41">
        <f aca="true" t="shared" si="21" ref="C133:I133">+C130+C131+C132</f>
        <v>22154.348278152007</v>
      </c>
      <c r="D133" s="41">
        <f t="shared" si="21"/>
        <v>22261.423785636493</v>
      </c>
      <c r="E133" s="42">
        <f t="shared" si="21"/>
        <v>23055.239521987147</v>
      </c>
      <c r="F133" s="50">
        <f t="shared" si="21"/>
        <v>24562.146665987006</v>
      </c>
      <c r="G133" s="50">
        <f t="shared" si="21"/>
        <v>0</v>
      </c>
      <c r="H133" s="50">
        <f t="shared" si="21"/>
        <v>0</v>
      </c>
      <c r="I133" s="50">
        <f t="shared" si="21"/>
        <v>0</v>
      </c>
    </row>
    <row r="134" spans="1:9" ht="14.25">
      <c r="A134" s="43" t="str">
        <f>HLOOKUP(INDICE!$F$2,Nombres!$C$3:$D$636,47,FALSE)</f>
        <v>Income tax</v>
      </c>
      <c r="B134" s="44">
        <v>-4601.558421408685</v>
      </c>
      <c r="C134" s="44">
        <v>-6932.858342691405</v>
      </c>
      <c r="D134" s="44">
        <v>-6150.345765952483</v>
      </c>
      <c r="E134" s="45">
        <v>-5174.048986717215</v>
      </c>
      <c r="F134" s="44">
        <v>-6690.378493689175</v>
      </c>
      <c r="G134" s="44">
        <v>0</v>
      </c>
      <c r="H134" s="44">
        <v>0</v>
      </c>
      <c r="I134" s="44">
        <v>0</v>
      </c>
    </row>
    <row r="135" spans="1:9" ht="14.25">
      <c r="A135" s="41" t="str">
        <f>HLOOKUP(INDICE!$F$2,Nombres!$C$3:$D$636,48,FALSE)</f>
        <v>Profit/(loss) for the year</v>
      </c>
      <c r="B135" s="41">
        <f>+B133+B134</f>
        <v>11991.950673894637</v>
      </c>
      <c r="C135" s="41">
        <f aca="true" t="shared" si="22" ref="C135:I135">+C133+C134</f>
        <v>15221.489935460602</v>
      </c>
      <c r="D135" s="41">
        <f t="shared" si="22"/>
        <v>16111.07801968401</v>
      </c>
      <c r="E135" s="42">
        <f t="shared" si="22"/>
        <v>17881.190535269932</v>
      </c>
      <c r="F135" s="50">
        <f t="shared" si="22"/>
        <v>17871.76817229783</v>
      </c>
      <c r="G135" s="50">
        <f t="shared" si="22"/>
        <v>0</v>
      </c>
      <c r="H135" s="50">
        <f t="shared" si="22"/>
        <v>0</v>
      </c>
      <c r="I135" s="50">
        <f t="shared" si="22"/>
        <v>0</v>
      </c>
    </row>
    <row r="136" spans="1:9" ht="14.25">
      <c r="A136" s="43" t="str">
        <f>HLOOKUP(INDICE!$F$2,Nombres!$C$3:$D$636,49,FALSE)</f>
        <v>Non-controlling interests</v>
      </c>
      <c r="B136" s="44">
        <v>-2.084813869983809</v>
      </c>
      <c r="C136" s="44">
        <v>-2.9258240399905304</v>
      </c>
      <c r="D136" s="44">
        <v>-2.9104361670034775</v>
      </c>
      <c r="E136" s="45">
        <v>-3.3754657540895385</v>
      </c>
      <c r="F136" s="44">
        <v>-3.19587034699331</v>
      </c>
      <c r="G136" s="44">
        <v>0</v>
      </c>
      <c r="H136" s="44">
        <v>0</v>
      </c>
      <c r="I136" s="44">
        <v>0</v>
      </c>
    </row>
    <row r="137" spans="1:9" ht="14.25">
      <c r="A137" s="47" t="str">
        <f>HLOOKUP(INDICE!$F$2,Nombres!$C$3:$D$636,50,FALSE)</f>
        <v>Net attributable profit</v>
      </c>
      <c r="B137" s="47">
        <f>+B135+B136</f>
        <v>11989.865860024653</v>
      </c>
      <c r="C137" s="47">
        <f aca="true" t="shared" si="23" ref="C137:I137">+C135+C136</f>
        <v>15218.564111420612</v>
      </c>
      <c r="D137" s="47">
        <f t="shared" si="23"/>
        <v>16108.167583517006</v>
      </c>
      <c r="E137" s="47">
        <f t="shared" si="23"/>
        <v>17877.815069515844</v>
      </c>
      <c r="F137" s="51">
        <f t="shared" si="23"/>
        <v>17868.572301950837</v>
      </c>
      <c r="G137" s="51">
        <f t="shared" si="23"/>
        <v>0</v>
      </c>
      <c r="H137" s="51">
        <f t="shared" si="23"/>
        <v>0</v>
      </c>
      <c r="I137" s="51">
        <f t="shared" si="23"/>
        <v>0</v>
      </c>
    </row>
    <row r="138" spans="1:9" ht="14.25">
      <c r="A138" s="62"/>
      <c r="B138" s="63">
        <v>-1.4551915228366852E-11</v>
      </c>
      <c r="C138" s="63">
        <v>0</v>
      </c>
      <c r="D138" s="63">
        <v>0</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HLOOKUP(INDICE!$F$2,Nombres!$C$3:$D$636,74,FALSE)</f>
        <v>(Million Mexican pesos)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Cash, cash balances at central banks and other demand deposits</v>
      </c>
      <c r="B143" s="44">
        <v>255933.81053383587</v>
      </c>
      <c r="C143" s="44">
        <v>308810.9497446287</v>
      </c>
      <c r="D143" s="44">
        <v>327118.33315072645</v>
      </c>
      <c r="E143" s="45">
        <v>300519.02600843436</v>
      </c>
      <c r="F143" s="44">
        <v>329735.28101254924</v>
      </c>
      <c r="G143" s="44">
        <v>0</v>
      </c>
      <c r="H143" s="44">
        <v>0</v>
      </c>
      <c r="I143" s="44">
        <v>0</v>
      </c>
    </row>
    <row r="144" spans="1:9" ht="14.25">
      <c r="A144" s="43" t="str">
        <f>HLOOKUP(INDICE!$F$2,Nombres!$C$3:$D$636,53,FALSE)</f>
        <v>Financial assets designated at fair value </v>
      </c>
      <c r="B144" s="58">
        <v>815671.120526636</v>
      </c>
      <c r="C144" s="58">
        <v>818109.812776735</v>
      </c>
      <c r="D144" s="58">
        <v>794757.1267080844</v>
      </c>
      <c r="E144" s="65">
        <v>812939.722408953</v>
      </c>
      <c r="F144" s="44">
        <v>828114.6276770476</v>
      </c>
      <c r="G144" s="44">
        <v>0</v>
      </c>
      <c r="H144" s="44">
        <v>0</v>
      </c>
      <c r="I144" s="44">
        <v>0</v>
      </c>
    </row>
    <row r="145" spans="1:9" ht="14.25">
      <c r="A145" s="43" t="str">
        <f>HLOOKUP(INDICE!$F$2,Nombres!$C$3:$D$636,54,FALSE)</f>
        <v>Financial assets at amortized cost</v>
      </c>
      <c r="B145" s="44">
        <v>1463670.7173311217</v>
      </c>
      <c r="C145" s="44">
        <v>1458261.6515510753</v>
      </c>
      <c r="D145" s="44">
        <v>1476769.2410208094</v>
      </c>
      <c r="E145" s="45">
        <v>1511555.6688041815</v>
      </c>
      <c r="F145" s="44">
        <v>1567343.962987735</v>
      </c>
      <c r="G145" s="44">
        <v>0</v>
      </c>
      <c r="H145" s="44">
        <v>0</v>
      </c>
      <c r="I145" s="44">
        <v>0</v>
      </c>
    </row>
    <row r="146" spans="1:9" ht="14.25">
      <c r="A146" s="43" t="str">
        <f>HLOOKUP(INDICE!$F$2,Nombres!$C$3:$D$636,55,FALSE)</f>
        <v>    of which loans and advances to customers</v>
      </c>
      <c r="B146" s="44">
        <v>1239198.001720131</v>
      </c>
      <c r="C146" s="44">
        <v>1246673.687739031</v>
      </c>
      <c r="D146" s="44">
        <v>1258759.5894663744</v>
      </c>
      <c r="E146" s="45">
        <v>1291629.8115146435</v>
      </c>
      <c r="F146" s="44">
        <v>1341847.616454759</v>
      </c>
      <c r="G146" s="44">
        <v>0</v>
      </c>
      <c r="H146" s="44">
        <v>0</v>
      </c>
      <c r="I146" s="44">
        <v>0</v>
      </c>
    </row>
    <row r="147" spans="1:9" ht="14.25">
      <c r="A147" s="43"/>
      <c r="B147" s="44"/>
      <c r="C147" s="44"/>
      <c r="D147" s="44"/>
      <c r="E147" s="45"/>
      <c r="F147" s="44"/>
      <c r="G147" s="44"/>
      <c r="H147" s="44"/>
      <c r="I147" s="44"/>
    </row>
    <row r="148" spans="1:9" ht="14.25">
      <c r="A148" s="43" t="str">
        <f>HLOOKUP(INDICE!$F$2,Nombres!$C$3:$D$636,56,FALSE)</f>
        <v>Tangible assets</v>
      </c>
      <c r="B148" s="44">
        <v>39538.12817336504</v>
      </c>
      <c r="C148" s="44">
        <v>39169.899940572395</v>
      </c>
      <c r="D148" s="44">
        <v>39027.15985679908</v>
      </c>
      <c r="E148" s="45">
        <v>40062.40381984506</v>
      </c>
      <c r="F148" s="44">
        <v>39114.211785576204</v>
      </c>
      <c r="G148" s="44">
        <v>0</v>
      </c>
      <c r="H148" s="44">
        <v>0</v>
      </c>
      <c r="I148" s="44">
        <v>0</v>
      </c>
    </row>
    <row r="149" spans="1:9" ht="14.25">
      <c r="A149" s="43" t="str">
        <f>HLOOKUP(INDICE!$F$2,Nombres!$C$3:$D$636,57,FALSE)</f>
        <v>Other assets</v>
      </c>
      <c r="B149" s="58">
        <f>+B150-B148-B145-B144-B143</f>
        <v>80668.48020270574</v>
      </c>
      <c r="C149" s="58">
        <f aca="true" t="shared" si="25" ref="C149:I149">+C150-C148-C145-C144-C143</f>
        <v>75387.53620824876</v>
      </c>
      <c r="D149" s="58">
        <f t="shared" si="25"/>
        <v>68053.41591177945</v>
      </c>
      <c r="E149" s="65">
        <f t="shared" si="25"/>
        <v>68338.8978421042</v>
      </c>
      <c r="F149" s="44">
        <f t="shared" si="25"/>
        <v>68139.32985150191</v>
      </c>
      <c r="G149" s="44">
        <f t="shared" si="25"/>
        <v>0</v>
      </c>
      <c r="H149" s="44">
        <f t="shared" si="25"/>
        <v>0</v>
      </c>
      <c r="I149" s="44">
        <f t="shared" si="25"/>
        <v>0</v>
      </c>
    </row>
    <row r="150" spans="1:9" ht="14.25">
      <c r="A150" s="47" t="str">
        <f>HLOOKUP(INDICE!$F$2,Nombres!$C$3:$D$636,58,FALSE)</f>
        <v>Total assets / Liabilities and equity</v>
      </c>
      <c r="B150" s="47">
        <v>2655482.2567676646</v>
      </c>
      <c r="C150" s="47">
        <v>2699739.85022126</v>
      </c>
      <c r="D150" s="47">
        <v>2705725.2766481987</v>
      </c>
      <c r="E150" s="47">
        <v>2733415.718883518</v>
      </c>
      <c r="F150" s="51">
        <v>2832447.41331441</v>
      </c>
      <c r="G150" s="51">
        <v>0</v>
      </c>
      <c r="H150" s="51">
        <v>0</v>
      </c>
      <c r="I150" s="51">
        <v>0</v>
      </c>
    </row>
    <row r="151" spans="1:9" ht="14.25">
      <c r="A151" s="43" t="str">
        <f>HLOOKUP(INDICE!$F$2,Nombres!$C$3:$D$636,59,FALSE)</f>
        <v>Financial liabilities held for trading and designated at fair value through profit or loss</v>
      </c>
      <c r="B151" s="58">
        <v>508389.06253667135</v>
      </c>
      <c r="C151" s="58">
        <v>527868.9515097103</v>
      </c>
      <c r="D151" s="58">
        <v>504136.9193925291</v>
      </c>
      <c r="E151" s="65">
        <v>459245.8486776104</v>
      </c>
      <c r="F151" s="44">
        <v>503072.6518027524</v>
      </c>
      <c r="G151" s="44">
        <v>0</v>
      </c>
      <c r="H151" s="44">
        <v>0</v>
      </c>
      <c r="I151" s="44">
        <v>0</v>
      </c>
    </row>
    <row r="152" spans="1:9" ht="14.25">
      <c r="A152" s="43" t="str">
        <f>HLOOKUP(INDICE!$F$2,Nombres!$C$3:$D$636,60,FALSE)</f>
        <v>Deposits from central banks and credit institutions</v>
      </c>
      <c r="B152" s="58">
        <v>120817.27517697644</v>
      </c>
      <c r="C152" s="58">
        <v>126117.48988882633</v>
      </c>
      <c r="D152" s="58">
        <v>130806.09485510338</v>
      </c>
      <c r="E152" s="65">
        <v>75629.81880281123</v>
      </c>
      <c r="F152" s="44">
        <v>61796.81899985728</v>
      </c>
      <c r="G152" s="44">
        <v>0</v>
      </c>
      <c r="H152" s="44">
        <v>0</v>
      </c>
      <c r="I152" s="44">
        <v>0</v>
      </c>
    </row>
    <row r="153" spans="1:9" ht="14.25">
      <c r="A153" s="43" t="str">
        <f>HLOOKUP(INDICE!$F$2,Nombres!$C$3:$D$636,61,FALSE)</f>
        <v>Deposits from customers</v>
      </c>
      <c r="B153" s="58">
        <v>1366855.0510831513</v>
      </c>
      <c r="C153" s="58">
        <v>1384709.5636838174</v>
      </c>
      <c r="D153" s="58">
        <v>1387594.8219031817</v>
      </c>
      <c r="E153" s="65">
        <v>1481279.181079257</v>
      </c>
      <c r="F153" s="44">
        <v>1536089.811294505</v>
      </c>
      <c r="G153" s="44">
        <v>0</v>
      </c>
      <c r="H153" s="44">
        <v>0</v>
      </c>
      <c r="I153" s="44">
        <v>0</v>
      </c>
    </row>
    <row r="154" spans="1:9" ht="14.25">
      <c r="A154" s="43" t="str">
        <f>HLOOKUP(INDICE!$F$2,Nombres!$C$3:$D$636,62,FALSE)</f>
        <v>Debt certificates</v>
      </c>
      <c r="B154" s="44">
        <v>182188.85397562105</v>
      </c>
      <c r="C154" s="44">
        <v>186197.56359284304</v>
      </c>
      <c r="D154" s="44">
        <v>185451.9044965937</v>
      </c>
      <c r="E154" s="45">
        <v>184773.82545175485</v>
      </c>
      <c r="F154" s="44">
        <v>183031.389062764</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306469.59223239543</v>
      </c>
      <c r="C156" s="58">
        <f aca="true" t="shared" si="26" ref="C156:I156">+C150-C151-C152-C153-C154-C157</f>
        <v>304718.6926616837</v>
      </c>
      <c r="D156" s="58">
        <f t="shared" si="26"/>
        <v>323478.95252463396</v>
      </c>
      <c r="E156" s="65">
        <f t="shared" si="26"/>
        <v>365189.84221632197</v>
      </c>
      <c r="F156" s="44">
        <f t="shared" si="26"/>
        <v>375246.07971165364</v>
      </c>
      <c r="G156" s="44">
        <f t="shared" si="26"/>
        <v>0</v>
      </c>
      <c r="H156" s="44">
        <f t="shared" si="26"/>
        <v>0</v>
      </c>
      <c r="I156" s="44">
        <f t="shared" si="26"/>
        <v>0</v>
      </c>
    </row>
    <row r="157" spans="1:9" ht="15.75" customHeight="1">
      <c r="A157" s="43" t="str">
        <f>HLOOKUP(INDICE!$F$2,Nombres!$C$3:$D$636,282,FALSE)</f>
        <v>Regulatory capital allocated</v>
      </c>
      <c r="B157" s="44">
        <v>170762.42176284923</v>
      </c>
      <c r="C157" s="44">
        <v>170127.58888437907</v>
      </c>
      <c r="D157" s="44">
        <v>174256.583476157</v>
      </c>
      <c r="E157" s="44">
        <v>167297.20265576255</v>
      </c>
      <c r="F157" s="44">
        <v>173210.66244287768</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6" t="str">
        <f>HLOOKUP(INDICE!$F$2,Nombres!$C$3:$D$636,65,FALSE)</f>
        <v>Relevant business indicators</v>
      </c>
      <c r="B160" s="67"/>
      <c r="C160" s="67"/>
      <c r="D160" s="67"/>
      <c r="E160" s="67"/>
      <c r="F160" s="72"/>
      <c r="G160" s="72"/>
      <c r="H160" s="72"/>
      <c r="I160" s="72"/>
    </row>
    <row r="161" spans="1:9" ht="14.25">
      <c r="A161" s="35" t="str">
        <f>HLOOKUP(INDICE!$F$2,Nombres!$C$3:$D$636,74,FALSE)</f>
        <v>(Million Mexican pesos)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Loans and advances to customers (gross) (*)</v>
      </c>
      <c r="B163" s="44">
        <v>1290573.2733789755</v>
      </c>
      <c r="C163" s="44">
        <v>1295182.1122340232</v>
      </c>
      <c r="D163" s="44">
        <v>1304079.1322468529</v>
      </c>
      <c r="E163" s="45">
        <v>1338787.2052608898</v>
      </c>
      <c r="F163" s="44">
        <v>1391294.2457260152</v>
      </c>
      <c r="G163" s="44">
        <v>0</v>
      </c>
      <c r="H163" s="44">
        <v>0</v>
      </c>
      <c r="I163" s="44">
        <v>0</v>
      </c>
    </row>
    <row r="164" spans="1:9" ht="14.25">
      <c r="A164" s="43" t="str">
        <f>HLOOKUP(INDICE!$F$2,Nombres!$C$3:$D$636,67,FALSE)</f>
        <v>Customer deposits under management (*)</v>
      </c>
      <c r="B164" s="44">
        <v>1358594.2156556693</v>
      </c>
      <c r="C164" s="44">
        <v>1353650.6114813543</v>
      </c>
      <c r="D164" s="44">
        <v>1374607.5102575745</v>
      </c>
      <c r="E164" s="45">
        <v>1466132.1511362325</v>
      </c>
      <c r="F164" s="44">
        <v>1526191.3044066834</v>
      </c>
      <c r="G164" s="44">
        <v>0</v>
      </c>
      <c r="H164" s="44">
        <v>0</v>
      </c>
      <c r="I164" s="44">
        <v>0</v>
      </c>
    </row>
    <row r="165" spans="1:9" ht="14.25">
      <c r="A165" s="43" t="str">
        <f>HLOOKUP(INDICE!$F$2,Nombres!$C$3:$D$636,68,FALSE)</f>
        <v>Investment funds and managed portfolios</v>
      </c>
      <c r="B165" s="44">
        <v>664141.0878882156</v>
      </c>
      <c r="C165" s="44">
        <v>676664.77045252</v>
      </c>
      <c r="D165" s="44">
        <v>688226.3681117713</v>
      </c>
      <c r="E165" s="45">
        <v>698600.6483890217</v>
      </c>
      <c r="F165" s="44">
        <v>706300.0305128762</v>
      </c>
      <c r="G165" s="44">
        <v>0</v>
      </c>
      <c r="H165" s="44">
        <v>0</v>
      </c>
      <c r="I165" s="44">
        <v>0</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45660.29328659152</v>
      </c>
      <c r="C167" s="44">
        <v>48908.95880117197</v>
      </c>
      <c r="D167" s="44">
        <v>48363.333195731975</v>
      </c>
      <c r="E167" s="45">
        <v>50790.6256991533</v>
      </c>
      <c r="F167" s="44">
        <v>54365.22614154609</v>
      </c>
      <c r="G167" s="44">
        <v>0</v>
      </c>
      <c r="H167" s="44">
        <v>0</v>
      </c>
      <c r="I167" s="44">
        <v>0</v>
      </c>
      <c r="N167" s="74"/>
      <c r="O167" s="74"/>
    </row>
    <row r="168" spans="1:15" ht="14.25">
      <c r="A168" s="62" t="str">
        <f>HLOOKUP(INDICE!$F$2,Nombres!$C$3:$D$636,71,FALSE)</f>
        <v>(*) Excluding repos. </v>
      </c>
      <c r="B168" s="58"/>
      <c r="C168" s="58"/>
      <c r="D168" s="58"/>
      <c r="E168" s="58"/>
      <c r="F168" s="44"/>
      <c r="G168" s="44"/>
      <c r="H168" s="44"/>
      <c r="I168" s="44"/>
      <c r="N168" s="74"/>
      <c r="O168" s="74"/>
    </row>
    <row r="169" spans="1:15" ht="14.25">
      <c r="A169" s="62">
        <f>HLOOKUP(INDICE!$F$2,Nombres!$C$3:$D$636,72,FALSE)</f>
        <v>0</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HLOOKUP(INDICE!$F$2,Nombres!$C$3:$D$636,12,FALSE)</f>
        <v>Turkey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529.5730000000001</v>
      </c>
      <c r="C8" s="41">
        <v>506.62400001000015</v>
      </c>
      <c r="D8" s="41">
        <v>614.6899999999998</v>
      </c>
      <c r="E8" s="42">
        <v>719.3530000000001</v>
      </c>
      <c r="F8" s="50">
        <v>705.6270000099998</v>
      </c>
      <c r="G8" s="50">
        <v>0</v>
      </c>
      <c r="H8" s="50">
        <v>0</v>
      </c>
      <c r="I8" s="50">
        <v>0</v>
      </c>
    </row>
    <row r="9" spans="1:9" ht="14.25">
      <c r="A9" s="43" t="str">
        <f>HLOOKUP(INDICE!$F$2,Nombres!$C$3:$D$636,34,FALSE)</f>
        <v>Net fees and commissions</v>
      </c>
      <c r="B9" s="44">
        <v>154.40100001000002</v>
      </c>
      <c r="C9" s="44">
        <v>142.64500001</v>
      </c>
      <c r="D9" s="44">
        <v>145.87599999000003</v>
      </c>
      <c r="E9" s="45">
        <v>121.50100002000006</v>
      </c>
      <c r="F9" s="44">
        <v>131.70999999000003</v>
      </c>
      <c r="G9" s="44">
        <v>0</v>
      </c>
      <c r="H9" s="44">
        <v>0</v>
      </c>
      <c r="I9" s="44">
        <v>0</v>
      </c>
    </row>
    <row r="10" spans="1:9" ht="14.25">
      <c r="A10" s="43" t="str">
        <f>HLOOKUP(INDICE!$F$2,Nombres!$C$3:$D$636,35,FALSE)</f>
        <v>Net trading income</v>
      </c>
      <c r="B10" s="44">
        <v>125.63700000999998</v>
      </c>
      <c r="C10" s="44">
        <v>54.027</v>
      </c>
      <c r="D10" s="44">
        <v>59.10599996999999</v>
      </c>
      <c r="E10" s="45">
        <v>174.50500001999998</v>
      </c>
      <c r="F10" s="44">
        <v>174.904</v>
      </c>
      <c r="G10" s="44">
        <v>0</v>
      </c>
      <c r="H10" s="44">
        <v>0</v>
      </c>
      <c r="I10" s="44">
        <v>0</v>
      </c>
    </row>
    <row r="11" spans="1:9" ht="14.25">
      <c r="A11" s="43" t="str">
        <f>HLOOKUP(INDICE!$F$2,Nombres!$C$3:$D$636,36,FALSE)</f>
        <v>Other operating income and expenses</v>
      </c>
      <c r="B11" s="44">
        <v>24.439999999999998</v>
      </c>
      <c r="C11" s="44">
        <v>33.91299999999998</v>
      </c>
      <c r="D11" s="44">
        <v>22.784000000000052</v>
      </c>
      <c r="E11" s="45">
        <v>-7.001000000000081</v>
      </c>
      <c r="F11" s="44">
        <v>14.667000000000009</v>
      </c>
      <c r="G11" s="44">
        <v>0</v>
      </c>
      <c r="H11" s="44">
        <v>0</v>
      </c>
      <c r="I11" s="44">
        <v>0</v>
      </c>
    </row>
    <row r="12" spans="1:9" ht="14.25">
      <c r="A12" s="41" t="str">
        <f>HLOOKUP(INDICE!$F$2,Nombres!$C$3:$D$636,37,FALSE)</f>
        <v>Gross income</v>
      </c>
      <c r="B12" s="41">
        <f>+SUM(B8:B11)</f>
        <v>834.05100002</v>
      </c>
      <c r="C12" s="41">
        <f aca="true" t="shared" si="0" ref="C12:I12">+SUM(C8:C11)</f>
        <v>737.2090000200002</v>
      </c>
      <c r="D12" s="41">
        <f t="shared" si="0"/>
        <v>842.45599996</v>
      </c>
      <c r="E12" s="42">
        <f t="shared" si="0"/>
        <v>1008.3580000400001</v>
      </c>
      <c r="F12" s="50">
        <f t="shared" si="0"/>
        <v>1026.908</v>
      </c>
      <c r="G12" s="50">
        <f t="shared" si="0"/>
        <v>0</v>
      </c>
      <c r="H12" s="50">
        <f t="shared" si="0"/>
        <v>0</v>
      </c>
      <c r="I12" s="50">
        <f t="shared" si="0"/>
        <v>0</v>
      </c>
    </row>
    <row r="13" spans="1:9" ht="14.25">
      <c r="A13" s="43" t="str">
        <f>HLOOKUP(INDICE!$F$2,Nombres!$C$3:$D$636,38,FALSE)</f>
        <v>Operating expenses</v>
      </c>
      <c r="B13" s="44">
        <v>-265.29226374000007</v>
      </c>
      <c r="C13" s="44">
        <v>-233.94551273999997</v>
      </c>
      <c r="D13" s="44">
        <v>-235.74078479000002</v>
      </c>
      <c r="E13" s="45">
        <v>-274.73369719999994</v>
      </c>
      <c r="F13" s="44">
        <v>-229.82415687999998</v>
      </c>
      <c r="G13" s="44">
        <v>0</v>
      </c>
      <c r="H13" s="44">
        <v>0</v>
      </c>
      <c r="I13" s="44">
        <v>0</v>
      </c>
    </row>
    <row r="14" spans="1:9" ht="14.25">
      <c r="A14" s="43" t="str">
        <f>HLOOKUP(INDICE!$F$2,Nombres!$C$3:$D$636,39,FALSE)</f>
        <v>  Administration expenses</v>
      </c>
      <c r="B14" s="44">
        <v>-231.51924174000004</v>
      </c>
      <c r="C14" s="44">
        <v>-204.13049174999998</v>
      </c>
      <c r="D14" s="44">
        <v>-204.82276278</v>
      </c>
      <c r="E14" s="45">
        <v>-250.86567622</v>
      </c>
      <c r="F14" s="44">
        <v>-207.22413488</v>
      </c>
      <c r="G14" s="44">
        <v>0</v>
      </c>
      <c r="H14" s="44">
        <v>0</v>
      </c>
      <c r="I14" s="44">
        <v>0</v>
      </c>
    </row>
    <row r="15" spans="1:9" ht="14.25">
      <c r="A15" s="46" t="str">
        <f>HLOOKUP(INDICE!$F$2,Nombres!$C$3:$D$636,40,FALSE)</f>
        <v>  Personnel expenses</v>
      </c>
      <c r="B15" s="44">
        <v>-141.87522909</v>
      </c>
      <c r="C15" s="44">
        <v>-139.68222914</v>
      </c>
      <c r="D15" s="44">
        <v>-139.68122918000003</v>
      </c>
      <c r="E15" s="45">
        <v>-172.01340153</v>
      </c>
      <c r="F15" s="44">
        <v>-130.46028502</v>
      </c>
      <c r="G15" s="44">
        <v>0</v>
      </c>
      <c r="H15" s="44">
        <v>0</v>
      </c>
      <c r="I15" s="44">
        <v>0</v>
      </c>
    </row>
    <row r="16" spans="1:9" ht="14.25">
      <c r="A16" s="46" t="str">
        <f>HLOOKUP(INDICE!$F$2,Nombres!$C$3:$D$636,41,FALSE)</f>
        <v>  General and administrative expenses</v>
      </c>
      <c r="B16" s="44">
        <v>-89.64401265000001</v>
      </c>
      <c r="C16" s="44">
        <v>-64.44826260999999</v>
      </c>
      <c r="D16" s="44">
        <v>-65.1415336</v>
      </c>
      <c r="E16" s="45">
        <v>-78.85227469</v>
      </c>
      <c r="F16" s="44">
        <v>-76.76384986</v>
      </c>
      <c r="G16" s="44">
        <v>0</v>
      </c>
      <c r="H16" s="44">
        <v>0</v>
      </c>
      <c r="I16" s="44">
        <v>0</v>
      </c>
    </row>
    <row r="17" spans="1:9" ht="14.25">
      <c r="A17" s="43" t="str">
        <f>HLOOKUP(INDICE!$F$2,Nombres!$C$3:$D$636,42,FALSE)</f>
        <v>  Depreciation</v>
      </c>
      <c r="B17" s="44">
        <v>-33.773022</v>
      </c>
      <c r="C17" s="44">
        <v>-29.81502099</v>
      </c>
      <c r="D17" s="44">
        <v>-30.918022009999998</v>
      </c>
      <c r="E17" s="45">
        <v>-23.868020979999994</v>
      </c>
      <c r="F17" s="44">
        <v>-22.600022</v>
      </c>
      <c r="G17" s="44">
        <v>0</v>
      </c>
      <c r="H17" s="44">
        <v>0</v>
      </c>
      <c r="I17" s="44">
        <v>0</v>
      </c>
    </row>
    <row r="18" spans="1:9" ht="14.25">
      <c r="A18" s="41" t="str">
        <f>HLOOKUP(INDICE!$F$2,Nombres!$C$3:$D$636,43,FALSE)</f>
        <v>Operating income</v>
      </c>
      <c r="B18" s="41">
        <f>+B12+B13</f>
        <v>568.7587362799999</v>
      </c>
      <c r="C18" s="41">
        <f aca="true" t="shared" si="1" ref="C18:I18">+C12+C13</f>
        <v>503.2634872800002</v>
      </c>
      <c r="D18" s="41">
        <f t="shared" si="1"/>
        <v>606.71521517</v>
      </c>
      <c r="E18" s="42">
        <f t="shared" si="1"/>
        <v>733.6243028400002</v>
      </c>
      <c r="F18" s="50">
        <f t="shared" si="1"/>
        <v>797.08384312</v>
      </c>
      <c r="G18" s="50">
        <f t="shared" si="1"/>
        <v>0</v>
      </c>
      <c r="H18" s="50">
        <f t="shared" si="1"/>
        <v>0</v>
      </c>
      <c r="I18" s="50">
        <f t="shared" si="1"/>
        <v>0</v>
      </c>
    </row>
    <row r="19" spans="1:9" ht="14.25">
      <c r="A19" s="43" t="str">
        <f>HLOOKUP(INDICE!$F$2,Nombres!$C$3:$D$636,44,FALSE)</f>
        <v>Impaiment on financial assets not measured at fair value through profit or loss</v>
      </c>
      <c r="B19" s="44">
        <v>-122.84000001000001</v>
      </c>
      <c r="C19" s="44">
        <v>-44.93799996999999</v>
      </c>
      <c r="D19" s="44">
        <v>-67.13700002999998</v>
      </c>
      <c r="E19" s="45">
        <v>-259.22800002</v>
      </c>
      <c r="F19" s="44">
        <v>-96.86999999</v>
      </c>
      <c r="G19" s="44">
        <v>0</v>
      </c>
      <c r="H19" s="44">
        <v>0</v>
      </c>
      <c r="I19" s="44">
        <v>0</v>
      </c>
    </row>
    <row r="20" spans="1:9" ht="14.25">
      <c r="A20" s="43" t="str">
        <f>HLOOKUP(INDICE!$F$2,Nombres!$C$3:$D$636,45,FALSE)</f>
        <v>Provisions or reversal of provisions and other results</v>
      </c>
      <c r="B20" s="44">
        <v>34.80999999999998</v>
      </c>
      <c r="C20" s="44">
        <v>12.811999999999989</v>
      </c>
      <c r="D20" s="44">
        <v>11.643000000000022</v>
      </c>
      <c r="E20" s="45">
        <v>-25.86500000000006</v>
      </c>
      <c r="F20" s="44">
        <v>-4.423999990000013</v>
      </c>
      <c r="G20" s="44">
        <v>0</v>
      </c>
      <c r="H20" s="44">
        <v>0</v>
      </c>
      <c r="I20" s="44">
        <v>0</v>
      </c>
    </row>
    <row r="21" spans="1:9" ht="14.25">
      <c r="A21" s="41" t="str">
        <f>HLOOKUP(INDICE!$F$2,Nombres!$C$3:$D$636,46,FALSE)</f>
        <v>Profit/(loss) before tax</v>
      </c>
      <c r="B21" s="41">
        <f>+B18+B19+B20</f>
        <v>480.72873626999984</v>
      </c>
      <c r="C21" s="41">
        <f aca="true" t="shared" si="2" ref="C21:I21">+C18+C19+C20</f>
        <v>471.1374873100002</v>
      </c>
      <c r="D21" s="41">
        <f t="shared" si="2"/>
        <v>551.22121514</v>
      </c>
      <c r="E21" s="42">
        <f t="shared" si="2"/>
        <v>448.53130282000006</v>
      </c>
      <c r="F21" s="50">
        <f t="shared" si="2"/>
        <v>695.78984314</v>
      </c>
      <c r="G21" s="50">
        <f t="shared" si="2"/>
        <v>0</v>
      </c>
      <c r="H21" s="50">
        <f t="shared" si="2"/>
        <v>0</v>
      </c>
      <c r="I21" s="50">
        <f t="shared" si="2"/>
        <v>0</v>
      </c>
    </row>
    <row r="22" spans="1:9" ht="14.25">
      <c r="A22" s="43" t="str">
        <f>HLOOKUP(INDICE!$F$2,Nombres!$C$3:$D$636,47,FALSE)</f>
        <v>Income tax</v>
      </c>
      <c r="B22" s="44">
        <v>-93.79882088</v>
      </c>
      <c r="C22" s="44">
        <v>-80.54364616</v>
      </c>
      <c r="D22" s="44">
        <v>-148.25646458</v>
      </c>
      <c r="E22" s="45">
        <v>-132.20889083000003</v>
      </c>
      <c r="F22" s="44">
        <v>-192.60185294000001</v>
      </c>
      <c r="G22" s="44">
        <v>0</v>
      </c>
      <c r="H22" s="44">
        <v>0</v>
      </c>
      <c r="I22" s="44">
        <v>0</v>
      </c>
    </row>
    <row r="23" spans="1:9" ht="14.25">
      <c r="A23" s="41" t="str">
        <f>HLOOKUP(INDICE!$F$2,Nombres!$C$3:$D$636,48,FALSE)</f>
        <v>Profit/(loss) for the year</v>
      </c>
      <c r="B23" s="41">
        <f>+B21+B22</f>
        <v>386.92991538999985</v>
      </c>
      <c r="C23" s="41">
        <f aca="true" t="shared" si="3" ref="C23:I23">+C21+C22</f>
        <v>390.59384115000023</v>
      </c>
      <c r="D23" s="41">
        <f t="shared" si="3"/>
        <v>402.96475056</v>
      </c>
      <c r="E23" s="42">
        <f t="shared" si="3"/>
        <v>316.32241199000003</v>
      </c>
      <c r="F23" s="50">
        <f t="shared" si="3"/>
        <v>503.1879902</v>
      </c>
      <c r="G23" s="50">
        <f t="shared" si="3"/>
        <v>0</v>
      </c>
      <c r="H23" s="50">
        <f t="shared" si="3"/>
        <v>0</v>
      </c>
      <c r="I23" s="50">
        <f t="shared" si="3"/>
        <v>0</v>
      </c>
    </row>
    <row r="24" spans="1:9" ht="14.25">
      <c r="A24" s="43" t="str">
        <f>HLOOKUP(INDICE!$F$2,Nombres!$C$3:$D$636,49,FALSE)</f>
        <v>Non-controlling interests</v>
      </c>
      <c r="B24" s="44">
        <v>-196.24699999</v>
      </c>
      <c r="C24" s="44">
        <v>-197.59500002000001</v>
      </c>
      <c r="D24" s="44">
        <v>-203.94899999000006</v>
      </c>
      <c r="E24" s="45">
        <v>-160.35</v>
      </c>
      <c r="F24" s="44">
        <v>-254.12900001</v>
      </c>
      <c r="G24" s="44">
        <v>0</v>
      </c>
      <c r="H24" s="44">
        <v>0</v>
      </c>
      <c r="I24" s="44">
        <v>0</v>
      </c>
    </row>
    <row r="25" spans="1:9" ht="14.25">
      <c r="A25" s="47" t="str">
        <f>HLOOKUP(INDICE!$F$2,Nombres!$C$3:$D$636,50,FALSE)</f>
        <v>Net attributable profit</v>
      </c>
      <c r="B25" s="47">
        <f>+B23+B24</f>
        <v>190.68291539999984</v>
      </c>
      <c r="C25" s="47">
        <f aca="true" t="shared" si="4" ref="C25:I25">+C23+C24</f>
        <v>192.99884113000022</v>
      </c>
      <c r="D25" s="47">
        <f t="shared" si="4"/>
        <v>199.01575056999997</v>
      </c>
      <c r="E25" s="47">
        <f t="shared" si="4"/>
        <v>155.97241199000004</v>
      </c>
      <c r="F25" s="51">
        <f t="shared" si="4"/>
        <v>249.05899019</v>
      </c>
      <c r="G25" s="51">
        <f t="shared" si="4"/>
        <v>0</v>
      </c>
      <c r="H25" s="51">
        <f t="shared" si="4"/>
        <v>0</v>
      </c>
      <c r="I25" s="51">
        <f t="shared" si="4"/>
        <v>0</v>
      </c>
    </row>
    <row r="26" spans="1:9" ht="14.25">
      <c r="A26" s="62"/>
      <c r="B26" s="63">
        <v>0</v>
      </c>
      <c r="C26" s="63">
        <v>0</v>
      </c>
      <c r="D26" s="63">
        <v>0</v>
      </c>
      <c r="E26" s="63">
        <v>0</v>
      </c>
      <c r="F26" s="63">
        <v>0</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Cash, cash balances at central banks and other demand deposits</v>
      </c>
      <c r="B31" s="44">
        <v>6682.253</v>
      </c>
      <c r="C31" s="44">
        <v>6656.599999999999</v>
      </c>
      <c r="D31" s="44">
        <v>6257.517</v>
      </c>
      <c r="E31" s="45">
        <v>7763.787</v>
      </c>
      <c r="F31" s="44">
        <v>7926.378000000001</v>
      </c>
      <c r="G31" s="44">
        <v>0</v>
      </c>
      <c r="H31" s="44">
        <v>0</v>
      </c>
      <c r="I31" s="44">
        <v>0</v>
      </c>
    </row>
    <row r="32" spans="1:9" ht="14.25">
      <c r="A32" s="43" t="str">
        <f>HLOOKUP(INDICE!$F$2,Nombres!$C$3:$D$636,53,FALSE)</f>
        <v>Financial assets designated at fair value </v>
      </c>
      <c r="B32" s="58">
        <v>5492.143</v>
      </c>
      <c r="C32" s="58">
        <v>5153.531</v>
      </c>
      <c r="D32" s="58">
        <v>5417.218000000001</v>
      </c>
      <c r="E32" s="65">
        <v>5289.342999999999</v>
      </c>
      <c r="F32" s="44">
        <v>5177.576</v>
      </c>
      <c r="G32" s="44">
        <v>0</v>
      </c>
      <c r="H32" s="44">
        <v>0</v>
      </c>
      <c r="I32" s="44">
        <v>0</v>
      </c>
    </row>
    <row r="33" spans="1:9" ht="14.25">
      <c r="A33" s="43" t="str">
        <f>HLOOKUP(INDICE!$F$2,Nombres!$C$3:$D$636,54,FALSE)</f>
        <v>Financial assets at amortized cost</v>
      </c>
      <c r="B33" s="44">
        <v>44633.130000000005</v>
      </c>
      <c r="C33" s="44">
        <v>45507.883</v>
      </c>
      <c r="D33" s="44">
        <v>47893.36</v>
      </c>
      <c r="E33" s="45">
        <v>41543.922</v>
      </c>
      <c r="F33" s="44">
        <v>43623.72899999999</v>
      </c>
      <c r="G33" s="44">
        <v>0</v>
      </c>
      <c r="H33" s="44">
        <v>0</v>
      </c>
      <c r="I33" s="44">
        <v>0</v>
      </c>
    </row>
    <row r="34" spans="1:9" ht="14.25">
      <c r="A34" s="43" t="str">
        <f>HLOOKUP(INDICE!$F$2,Nombres!$C$3:$D$636,55,FALSE)</f>
        <v>    of which loans and advances to customers</v>
      </c>
      <c r="B34" s="44">
        <v>36858.534</v>
      </c>
      <c r="C34" s="44">
        <v>36911.164</v>
      </c>
      <c r="D34" s="44">
        <v>38932.94</v>
      </c>
      <c r="E34" s="45">
        <v>31414.156</v>
      </c>
      <c r="F34" s="44">
        <v>33726.289000000004</v>
      </c>
      <c r="G34" s="44">
        <v>0</v>
      </c>
      <c r="H34" s="44">
        <v>0</v>
      </c>
      <c r="I34" s="44">
        <v>0</v>
      </c>
    </row>
    <row r="35" spans="1:9" ht="14.25">
      <c r="A35" s="43"/>
      <c r="B35" s="44"/>
      <c r="C35" s="44"/>
      <c r="D35" s="44"/>
      <c r="E35" s="45"/>
      <c r="F35" s="44"/>
      <c r="G35" s="44"/>
      <c r="H35" s="44"/>
      <c r="I35" s="44"/>
    </row>
    <row r="36" spans="1:9" ht="14.25">
      <c r="A36" s="43" t="str">
        <f>HLOOKUP(INDICE!$F$2,Nombres!$C$3:$D$636,56,FALSE)</f>
        <v>Tangible assets</v>
      </c>
      <c r="B36" s="44">
        <v>871.2429999999999</v>
      </c>
      <c r="C36" s="44">
        <v>814.192</v>
      </c>
      <c r="D36" s="44">
        <v>851.2760000000001</v>
      </c>
      <c r="E36" s="45">
        <v>623.266</v>
      </c>
      <c r="F36" s="44">
        <v>606.766</v>
      </c>
      <c r="G36" s="44">
        <v>0</v>
      </c>
      <c r="H36" s="44">
        <v>0</v>
      </c>
      <c r="I36" s="44">
        <v>0</v>
      </c>
    </row>
    <row r="37" spans="1:9" ht="14.25">
      <c r="A37" s="43" t="str">
        <f>HLOOKUP(INDICE!$F$2,Nombres!$C$3:$D$636,57,FALSE)</f>
        <v>Other assets</v>
      </c>
      <c r="B37" s="58">
        <f>+B38-B36-B33-B32-B31</f>
        <v>1197.1019999999999</v>
      </c>
      <c r="C37" s="58">
        <f aca="true" t="shared" si="5" ref="C37:I37">+C38-C36-C33-C32-C31</f>
        <v>1111.1409999999978</v>
      </c>
      <c r="D37" s="58">
        <f t="shared" si="5"/>
        <v>1129.546030849997</v>
      </c>
      <c r="E37" s="65">
        <f t="shared" si="5"/>
        <v>1024.6029999999937</v>
      </c>
      <c r="F37" s="44">
        <f t="shared" si="5"/>
        <v>1216.6869999999944</v>
      </c>
      <c r="G37" s="44">
        <f t="shared" si="5"/>
        <v>0</v>
      </c>
      <c r="H37" s="44">
        <f t="shared" si="5"/>
        <v>0</v>
      </c>
      <c r="I37" s="44">
        <f t="shared" si="5"/>
        <v>0</v>
      </c>
    </row>
    <row r="38" spans="1:9" ht="14.25">
      <c r="A38" s="47" t="str">
        <f>HLOOKUP(INDICE!$F$2,Nombres!$C$3:$D$636,58,FALSE)</f>
        <v>Total assets / Liabilities and equity</v>
      </c>
      <c r="B38" s="51">
        <v>58875.87100000001</v>
      </c>
      <c r="C38" s="51">
        <v>59243.347</v>
      </c>
      <c r="D38" s="51">
        <v>61548.917030849996</v>
      </c>
      <c r="E38" s="80">
        <v>56244.920999999995</v>
      </c>
      <c r="F38" s="51">
        <v>58551.13599999999</v>
      </c>
      <c r="G38" s="51">
        <v>0</v>
      </c>
      <c r="H38" s="51">
        <v>0</v>
      </c>
      <c r="I38" s="51">
        <v>0</v>
      </c>
    </row>
    <row r="39" spans="1:9" ht="14.25">
      <c r="A39" s="43" t="str">
        <f>HLOOKUP(INDICE!$F$2,Nombres!$C$3:$D$636,59,FALSE)</f>
        <v>Financial liabilities held for trading and designated at fair value through profit or loss</v>
      </c>
      <c r="B39" s="58">
        <v>2061.667</v>
      </c>
      <c r="C39" s="58">
        <v>1969.616</v>
      </c>
      <c r="D39" s="58">
        <v>1998.7019999999998</v>
      </c>
      <c r="E39" s="65">
        <v>2271.785999999999</v>
      </c>
      <c r="F39" s="44">
        <v>2198.122</v>
      </c>
      <c r="G39" s="44">
        <v>0</v>
      </c>
      <c r="H39" s="44">
        <v>0</v>
      </c>
      <c r="I39" s="44">
        <v>0</v>
      </c>
    </row>
    <row r="40" spans="1:9" ht="15.75" customHeight="1">
      <c r="A40" s="43" t="str">
        <f>HLOOKUP(INDICE!$F$2,Nombres!$C$3:$D$636,60,FALSE)</f>
        <v>Deposits from central banks and credit institutions</v>
      </c>
      <c r="B40" s="58">
        <v>4671.436</v>
      </c>
      <c r="C40" s="58">
        <v>3749.326</v>
      </c>
      <c r="D40" s="58">
        <v>3879.982</v>
      </c>
      <c r="E40" s="65">
        <v>4086.755</v>
      </c>
      <c r="F40" s="44">
        <v>3677.411</v>
      </c>
      <c r="G40" s="44">
        <v>0</v>
      </c>
      <c r="H40" s="44">
        <v>0</v>
      </c>
      <c r="I40" s="44">
        <v>0</v>
      </c>
    </row>
    <row r="41" spans="1:9" ht="14.25">
      <c r="A41" s="43" t="str">
        <f>HLOOKUP(INDICE!$F$2,Nombres!$C$3:$D$636,61,FALSE)</f>
        <v>Deposits from customers</v>
      </c>
      <c r="B41" s="58">
        <v>38089.234</v>
      </c>
      <c r="C41" s="58">
        <v>39858.453</v>
      </c>
      <c r="D41" s="58">
        <v>41281.827999999994</v>
      </c>
      <c r="E41" s="65">
        <v>38341.210999999996</v>
      </c>
      <c r="F41" s="44">
        <v>40156.687</v>
      </c>
      <c r="G41" s="44">
        <v>0</v>
      </c>
      <c r="H41" s="44">
        <v>0</v>
      </c>
      <c r="I41" s="44">
        <v>0</v>
      </c>
    </row>
    <row r="42" spans="1:9" ht="14.25">
      <c r="A42" s="43" t="str">
        <f>HLOOKUP(INDICE!$F$2,Nombres!$C$3:$D$636,62,FALSE)</f>
        <v>Debt certificates</v>
      </c>
      <c r="B42" s="44">
        <v>4242.74763894</v>
      </c>
      <c r="C42" s="44">
        <v>3869.5861344400005</v>
      </c>
      <c r="D42" s="44">
        <v>3971.0202847</v>
      </c>
      <c r="E42" s="45">
        <v>3618.19992327</v>
      </c>
      <c r="F42" s="44">
        <v>3548.0527025700003</v>
      </c>
      <c r="G42" s="44">
        <v>0</v>
      </c>
      <c r="H42" s="44">
        <v>0</v>
      </c>
      <c r="I42" s="44">
        <v>0</v>
      </c>
    </row>
    <row r="43" spans="1:9" ht="14.25">
      <c r="A43" s="43"/>
      <c r="B43" s="44"/>
      <c r="C43" s="44"/>
      <c r="D43" s="44"/>
      <c r="E43" s="45"/>
      <c r="F43" s="44"/>
      <c r="G43" s="44"/>
      <c r="H43" s="44"/>
      <c r="I43" s="44"/>
    </row>
    <row r="44" spans="1:9" ht="14.25">
      <c r="A44" s="43" t="str">
        <f>HLOOKUP(INDICE!$F$2,Nombres!$C$3:$D$636,63,FALSE)</f>
        <v>Other liabilities</v>
      </c>
      <c r="B44" s="58">
        <f>+B38-B39-B40-B41-B42-B45</f>
        <v>3364.9573332000064</v>
      </c>
      <c r="C44" s="58">
        <f aca="true" t="shared" si="6" ref="C44:I44">+C38-C39-C40-C41-C42-C45</f>
        <v>3685.081260259998</v>
      </c>
      <c r="D44" s="58">
        <f t="shared" si="6"/>
        <v>3735.150669470002</v>
      </c>
      <c r="E44" s="65">
        <f t="shared" si="6"/>
        <v>2165.685295340001</v>
      </c>
      <c r="F44" s="44">
        <f t="shared" si="6"/>
        <v>2567.7795127299905</v>
      </c>
      <c r="G44" s="44">
        <f t="shared" si="6"/>
        <v>0</v>
      </c>
      <c r="H44" s="44">
        <f t="shared" si="6"/>
        <v>0</v>
      </c>
      <c r="I44" s="44">
        <f t="shared" si="6"/>
        <v>0</v>
      </c>
    </row>
    <row r="45" spans="1:9" ht="14.25">
      <c r="A45" s="43" t="str">
        <f>HLOOKUP(INDICE!$F$2,Nombres!$C$3:$D$636,282,FALSE)</f>
        <v>Regulatory capital allocated</v>
      </c>
      <c r="B45" s="44">
        <v>6445.829027860001</v>
      </c>
      <c r="C45" s="44">
        <v>6111.284605299999</v>
      </c>
      <c r="D45" s="44">
        <v>6682.234076679999</v>
      </c>
      <c r="E45" s="44">
        <v>5761.2837813900005</v>
      </c>
      <c r="F45" s="44">
        <v>6403.0837847</v>
      </c>
      <c r="G45" s="44">
        <v>0</v>
      </c>
      <c r="H45" s="44">
        <v>0</v>
      </c>
      <c r="I45" s="44">
        <v>0</v>
      </c>
    </row>
    <row r="46" spans="1:9" ht="14.25">
      <c r="A46" s="62"/>
      <c r="B46" s="58"/>
      <c r="C46" s="58"/>
      <c r="D46" s="58"/>
      <c r="E46" s="58"/>
      <c r="F46" s="77"/>
      <c r="G46" s="77"/>
      <c r="H46" s="77"/>
      <c r="I46" s="77"/>
    </row>
    <row r="47" spans="1:9" ht="14.25">
      <c r="A47" s="43"/>
      <c r="B47" s="58"/>
      <c r="C47" s="58"/>
      <c r="D47" s="58"/>
      <c r="E47" s="58"/>
      <c r="F47" s="77"/>
      <c r="G47" s="77"/>
      <c r="H47" s="77"/>
      <c r="I47" s="77"/>
    </row>
    <row r="48" spans="1:9" ht="16.5">
      <c r="A48" s="33" t="str">
        <f>HLOOKUP(INDICE!$F$2,Nombres!$C$3:$D$636,65,FALSE)</f>
        <v>Relevant business indicators</v>
      </c>
      <c r="B48" s="34"/>
      <c r="C48" s="34"/>
      <c r="D48" s="34"/>
      <c r="E48" s="34"/>
      <c r="F48" s="81"/>
      <c r="G48" s="81"/>
      <c r="H48" s="81"/>
      <c r="I48" s="81"/>
    </row>
    <row r="49" spans="1:9" ht="14.25">
      <c r="A49" s="35" t="str">
        <f>HLOOKUP(INDICE!$F$2,Nombres!$C$3:$D$636,32,FALSE)</f>
        <v>(Million euros)</v>
      </c>
      <c r="B49" s="30"/>
      <c r="C49" s="30"/>
      <c r="D49" s="30"/>
      <c r="E49" s="30"/>
      <c r="F49" s="79"/>
      <c r="G49" s="77"/>
      <c r="H49" s="77"/>
      <c r="I49" s="77"/>
    </row>
    <row r="50" spans="1:9" ht="14.25">
      <c r="A50" s="30"/>
      <c r="B50" s="53">
        <f aca="true" t="shared" si="7" ref="B50:I50">+B$30</f>
        <v>44286</v>
      </c>
      <c r="C50" s="53">
        <f t="shared" si="7"/>
        <v>44377</v>
      </c>
      <c r="D50" s="53">
        <f t="shared" si="7"/>
        <v>44469</v>
      </c>
      <c r="E50" s="68">
        <f t="shared" si="7"/>
        <v>44561</v>
      </c>
      <c r="F50" s="76">
        <f t="shared" si="7"/>
        <v>44651</v>
      </c>
      <c r="G50" s="76">
        <f t="shared" si="7"/>
        <v>44742</v>
      </c>
      <c r="H50" s="76">
        <f t="shared" si="7"/>
        <v>44834</v>
      </c>
      <c r="I50" s="76">
        <f t="shared" si="7"/>
        <v>44926</v>
      </c>
    </row>
    <row r="51" spans="1:9" ht="14.25">
      <c r="A51" s="43" t="str">
        <f>HLOOKUP(INDICE!$F$2,Nombres!$C$3:$D$636,66,FALSE)</f>
        <v>Loans and advances to customers (gross) (*)</v>
      </c>
      <c r="B51" s="44">
        <v>39266.594000000005</v>
      </c>
      <c r="C51" s="44">
        <v>39186.41300000001</v>
      </c>
      <c r="D51" s="44">
        <v>41346.916</v>
      </c>
      <c r="E51" s="45">
        <v>33450.820999999996</v>
      </c>
      <c r="F51" s="44">
        <v>35828.403</v>
      </c>
      <c r="G51" s="44">
        <v>0</v>
      </c>
      <c r="H51" s="44">
        <v>0</v>
      </c>
      <c r="I51" s="44">
        <v>0</v>
      </c>
    </row>
    <row r="52" spans="1:9" ht="14.25">
      <c r="A52" s="43" t="str">
        <f>HLOOKUP(INDICE!$F$2,Nombres!$C$3:$D$636,67,FALSE)</f>
        <v>Customer deposits under management (*)</v>
      </c>
      <c r="B52" s="44">
        <v>38086.758</v>
      </c>
      <c r="C52" s="44">
        <v>39856.34500000001</v>
      </c>
      <c r="D52" s="44">
        <v>41279.562999999995</v>
      </c>
      <c r="E52" s="45">
        <v>38334.89699999999</v>
      </c>
      <c r="F52" s="44">
        <v>40154.911</v>
      </c>
      <c r="G52" s="44">
        <v>0</v>
      </c>
      <c r="H52" s="44">
        <v>0</v>
      </c>
      <c r="I52" s="44">
        <v>0</v>
      </c>
    </row>
    <row r="53" spans="1:9" ht="14.25">
      <c r="A53" s="43" t="str">
        <f>HLOOKUP(INDICE!$F$2,Nombres!$C$3:$D$636,68,FALSE)</f>
        <v>Investment funds and managed portfolios</v>
      </c>
      <c r="B53" s="44">
        <v>1232.623</v>
      </c>
      <c r="C53" s="44">
        <v>1453.084</v>
      </c>
      <c r="D53" s="44">
        <v>1978.496</v>
      </c>
      <c r="E53" s="45">
        <v>1721.798</v>
      </c>
      <c r="F53" s="44">
        <v>2088.436</v>
      </c>
      <c r="G53" s="44">
        <v>0</v>
      </c>
      <c r="H53" s="44">
        <v>0</v>
      </c>
      <c r="I53" s="44">
        <v>0</v>
      </c>
    </row>
    <row r="54" spans="1:9" ht="14.25">
      <c r="A54" s="43" t="str">
        <f>HLOOKUP(INDICE!$F$2,Nombres!$C$3:$D$636,69,FALSE)</f>
        <v>Pension funds</v>
      </c>
      <c r="B54" s="44">
        <v>2434.119</v>
      </c>
      <c r="C54" s="44">
        <v>2482.271</v>
      </c>
      <c r="D54" s="44">
        <v>2586.371</v>
      </c>
      <c r="E54" s="45">
        <v>2172.906</v>
      </c>
      <c r="F54" s="44">
        <v>2333.143</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301.2576614845659</v>
      </c>
      <c r="C64" s="41">
        <v>328.3735468313506</v>
      </c>
      <c r="D64" s="41">
        <v>393.16480935310085</v>
      </c>
      <c r="E64" s="42">
        <v>566.1906619139685</v>
      </c>
      <c r="F64" s="50">
        <v>705.6270000099998</v>
      </c>
      <c r="G64" s="50">
        <v>0</v>
      </c>
      <c r="H64" s="50">
        <v>0</v>
      </c>
      <c r="I64" s="50">
        <v>0</v>
      </c>
    </row>
    <row r="65" spans="1:9" ht="14.25">
      <c r="A65" s="43" t="str">
        <f>HLOOKUP(INDICE!$F$2,Nombres!$C$3:$D$636,34,FALSE)</f>
        <v>Net fees and commissions</v>
      </c>
      <c r="B65" s="44">
        <v>87.83394205122062</v>
      </c>
      <c r="C65" s="44">
        <v>92.66207551705786</v>
      </c>
      <c r="D65" s="44">
        <v>93.913350090126</v>
      </c>
      <c r="E65" s="45">
        <v>103.97452118582804</v>
      </c>
      <c r="F65" s="44">
        <v>131.70999999</v>
      </c>
      <c r="G65" s="44">
        <v>0</v>
      </c>
      <c r="H65" s="44">
        <v>0</v>
      </c>
      <c r="I65" s="44">
        <v>0</v>
      </c>
    </row>
    <row r="66" spans="1:9" ht="14.25">
      <c r="A66" s="43" t="str">
        <f>HLOOKUP(INDICE!$F$2,Nombres!$C$3:$D$636,35,FALSE)</f>
        <v>Net trading income</v>
      </c>
      <c r="B66" s="44">
        <v>71.47099421411022</v>
      </c>
      <c r="C66" s="44">
        <v>37.69942551888983</v>
      </c>
      <c r="D66" s="44">
        <v>38.75793945626978</v>
      </c>
      <c r="E66" s="45">
        <v>129.12732715552565</v>
      </c>
      <c r="F66" s="44">
        <v>174.90400000000002</v>
      </c>
      <c r="G66" s="44">
        <v>0</v>
      </c>
      <c r="H66" s="44">
        <v>0</v>
      </c>
      <c r="I66" s="44">
        <v>0</v>
      </c>
    </row>
    <row r="67" spans="1:9" ht="14.25">
      <c r="A67" s="43" t="str">
        <f>HLOOKUP(INDICE!$F$2,Nombres!$C$3:$D$636,36,FALSE)</f>
        <v>Other operating income and expenses</v>
      </c>
      <c r="B67" s="44">
        <v>13.903158292969609</v>
      </c>
      <c r="C67" s="44">
        <v>21.55425945530035</v>
      </c>
      <c r="D67" s="44">
        <v>14.810468839430126</v>
      </c>
      <c r="E67" s="45">
        <v>-0.567807069563834</v>
      </c>
      <c r="F67" s="44">
        <v>14.66700000000001</v>
      </c>
      <c r="G67" s="44">
        <v>0</v>
      </c>
      <c r="H67" s="44">
        <v>0</v>
      </c>
      <c r="I67" s="44">
        <v>0</v>
      </c>
    </row>
    <row r="68" spans="1:9" ht="14.25">
      <c r="A68" s="41" t="str">
        <f>HLOOKUP(INDICE!$F$2,Nombres!$C$3:$D$636,37,FALSE)</f>
        <v>Gross income</v>
      </c>
      <c r="B68" s="41">
        <f>+SUM(B64:B67)</f>
        <v>474.4657560428664</v>
      </c>
      <c r="C68" s="41">
        <f aca="true" t="shared" si="9" ref="C68:I68">+SUM(C64:C67)</f>
        <v>480.28930732259863</v>
      </c>
      <c r="D68" s="41">
        <f t="shared" si="9"/>
        <v>540.6465677389267</v>
      </c>
      <c r="E68" s="42">
        <f t="shared" si="9"/>
        <v>798.7247031857584</v>
      </c>
      <c r="F68" s="50">
        <f t="shared" si="9"/>
        <v>1026.908</v>
      </c>
      <c r="G68" s="50">
        <f t="shared" si="9"/>
        <v>0</v>
      </c>
      <c r="H68" s="50">
        <f t="shared" si="9"/>
        <v>0</v>
      </c>
      <c r="I68" s="50">
        <f t="shared" si="9"/>
        <v>0</v>
      </c>
    </row>
    <row r="69" spans="1:9" ht="14.25">
      <c r="A69" s="43" t="str">
        <f>HLOOKUP(INDICE!$F$2,Nombres!$C$3:$D$636,38,FALSE)</f>
        <v>Operating expenses</v>
      </c>
      <c r="B69" s="44">
        <v>-150.91654405390594</v>
      </c>
      <c r="C69" s="44">
        <v>-152.43859443715354</v>
      </c>
      <c r="D69" s="44">
        <v>-151.99592159633983</v>
      </c>
      <c r="E69" s="45">
        <v>-221.55057388794245</v>
      </c>
      <c r="F69" s="44">
        <v>-229.82415688000003</v>
      </c>
      <c r="G69" s="44">
        <v>0</v>
      </c>
      <c r="H69" s="44">
        <v>0</v>
      </c>
      <c r="I69" s="44">
        <v>0</v>
      </c>
    </row>
    <row r="70" spans="1:9" ht="14.25">
      <c r="A70" s="43" t="str">
        <f>HLOOKUP(INDICE!$F$2,Nombres!$C$3:$D$636,39,FALSE)</f>
        <v>  Administration expenses</v>
      </c>
      <c r="B70" s="44">
        <v>-131.70411889441556</v>
      </c>
      <c r="C70" s="44">
        <v>-133.01259819429308</v>
      </c>
      <c r="D70" s="44">
        <v>-132.08374145722615</v>
      </c>
      <c r="E70" s="45">
        <v>-200.74429771692323</v>
      </c>
      <c r="F70" s="44">
        <v>-207.22413488</v>
      </c>
      <c r="G70" s="44">
        <v>0</v>
      </c>
      <c r="H70" s="44">
        <v>0</v>
      </c>
      <c r="I70" s="44">
        <v>0</v>
      </c>
    </row>
    <row r="71" spans="1:9" ht="14.25">
      <c r="A71" s="46" t="str">
        <f>HLOOKUP(INDICE!$F$2,Nombres!$C$3:$D$636,40,FALSE)</f>
        <v>  Personnel expenses</v>
      </c>
      <c r="B71" s="44">
        <v>-80.70841930808496</v>
      </c>
      <c r="C71" s="44">
        <v>-90.37619359274595</v>
      </c>
      <c r="D71" s="44">
        <v>-89.89100321854147</v>
      </c>
      <c r="E71" s="45">
        <v>-136.7350237130766</v>
      </c>
      <c r="F71" s="44">
        <v>-130.46028502000001</v>
      </c>
      <c r="G71" s="44">
        <v>0</v>
      </c>
      <c r="H71" s="44">
        <v>0</v>
      </c>
      <c r="I71" s="44">
        <v>0</v>
      </c>
    </row>
    <row r="72" spans="1:9" ht="14.25">
      <c r="A72" s="46" t="str">
        <f>HLOOKUP(INDICE!$F$2,Nombres!$C$3:$D$636,41,FALSE)</f>
        <v>  General and administrative expenses</v>
      </c>
      <c r="B72" s="44">
        <v>-50.9956995863306</v>
      </c>
      <c r="C72" s="44">
        <v>-42.6364046015471</v>
      </c>
      <c r="D72" s="44">
        <v>-42.19273823868469</v>
      </c>
      <c r="E72" s="45">
        <v>-64.00927400384666</v>
      </c>
      <c r="F72" s="44">
        <v>-76.76384986</v>
      </c>
      <c r="G72" s="44">
        <v>0</v>
      </c>
      <c r="H72" s="44">
        <v>0</v>
      </c>
      <c r="I72" s="44">
        <v>0</v>
      </c>
    </row>
    <row r="73" spans="1:9" ht="14.25">
      <c r="A73" s="43" t="str">
        <f>HLOOKUP(INDICE!$F$2,Nombres!$C$3:$D$636,42,FALSE)</f>
        <v>  Depreciation</v>
      </c>
      <c r="B73" s="44">
        <v>-19.212425159490383</v>
      </c>
      <c r="C73" s="44">
        <v>-19.425996242860492</v>
      </c>
      <c r="D73" s="44">
        <v>-19.91218013911368</v>
      </c>
      <c r="E73" s="45">
        <v>-20.806276171019213</v>
      </c>
      <c r="F73" s="44">
        <v>-22.600022000000003</v>
      </c>
      <c r="G73" s="44">
        <v>0</v>
      </c>
      <c r="H73" s="44">
        <v>0</v>
      </c>
      <c r="I73" s="44">
        <v>0</v>
      </c>
    </row>
    <row r="74" spans="1:9" ht="14.25">
      <c r="A74" s="41" t="str">
        <f>HLOOKUP(INDICE!$F$2,Nombres!$C$3:$D$636,43,FALSE)</f>
        <v>Operating income</v>
      </c>
      <c r="B74" s="41">
        <f>+B68+B69</f>
        <v>323.54921198896045</v>
      </c>
      <c r="C74" s="41">
        <f aca="true" t="shared" si="10" ref="C74:I74">+C68+C69</f>
        <v>327.8507128854451</v>
      </c>
      <c r="D74" s="41">
        <f t="shared" si="10"/>
        <v>388.6506461425869</v>
      </c>
      <c r="E74" s="42">
        <f t="shared" si="10"/>
        <v>577.1741292978159</v>
      </c>
      <c r="F74" s="50">
        <f t="shared" si="10"/>
        <v>797.0838431199999</v>
      </c>
      <c r="G74" s="50">
        <f t="shared" si="10"/>
        <v>0</v>
      </c>
      <c r="H74" s="50">
        <f t="shared" si="10"/>
        <v>0</v>
      </c>
      <c r="I74" s="50">
        <f t="shared" si="10"/>
        <v>0</v>
      </c>
    </row>
    <row r="75" spans="1:9" ht="14.25">
      <c r="A75" s="43" t="str">
        <f>HLOOKUP(INDICE!$F$2,Nombres!$C$3:$D$636,44,FALSE)</f>
        <v>Impaiment on financial assets not measured at fair value through profit or loss</v>
      </c>
      <c r="B75" s="44">
        <v>-69.87986762878143</v>
      </c>
      <c r="C75" s="44">
        <v>-32.06818361554351</v>
      </c>
      <c r="D75" s="44">
        <v>-43.591968453867494</v>
      </c>
      <c r="E75" s="45">
        <v>-185.72881588534867</v>
      </c>
      <c r="F75" s="44">
        <v>-96.86999998999998</v>
      </c>
      <c r="G75" s="44">
        <v>0</v>
      </c>
      <c r="H75" s="44">
        <v>0</v>
      </c>
      <c r="I75" s="44">
        <v>0</v>
      </c>
    </row>
    <row r="76" spans="1:9" ht="14.25">
      <c r="A76" s="43" t="str">
        <f>HLOOKUP(INDICE!$F$2,Nombres!$C$3:$D$636,45,FALSE)</f>
        <v>Provisions or reversal of provisions and other results</v>
      </c>
      <c r="B76" s="44">
        <v>19.80232979452831</v>
      </c>
      <c r="C76" s="44">
        <v>9.134539741024474</v>
      </c>
      <c r="D76" s="44">
        <v>7.780365494335485</v>
      </c>
      <c r="E76" s="45">
        <v>-14.326188090402061</v>
      </c>
      <c r="F76" s="44">
        <v>-4.423999990000013</v>
      </c>
      <c r="G76" s="44">
        <v>0</v>
      </c>
      <c r="H76" s="44">
        <v>0</v>
      </c>
      <c r="I76" s="44">
        <v>0</v>
      </c>
    </row>
    <row r="77" spans="1:9" ht="14.25">
      <c r="A77" s="41" t="str">
        <f>HLOOKUP(INDICE!$F$2,Nombres!$C$3:$D$636,46,FALSE)</f>
        <v>Profit/(loss) before tax</v>
      </c>
      <c r="B77" s="41">
        <f>+B74+B75+B76</f>
        <v>273.47167415470733</v>
      </c>
      <c r="C77" s="41">
        <f aca="true" t="shared" si="11" ref="C77:I77">+C74+C75+C76</f>
        <v>304.91706901092607</v>
      </c>
      <c r="D77" s="41">
        <f t="shared" si="11"/>
        <v>352.8390431830549</v>
      </c>
      <c r="E77" s="42">
        <f t="shared" si="11"/>
        <v>377.1191253220651</v>
      </c>
      <c r="F77" s="50">
        <f t="shared" si="11"/>
        <v>695.7898431399999</v>
      </c>
      <c r="G77" s="50">
        <f t="shared" si="11"/>
        <v>0</v>
      </c>
      <c r="H77" s="50">
        <f t="shared" si="11"/>
        <v>0</v>
      </c>
      <c r="I77" s="50">
        <f t="shared" si="11"/>
        <v>0</v>
      </c>
    </row>
    <row r="78" spans="1:9" ht="14.25">
      <c r="A78" s="43" t="str">
        <f>HLOOKUP(INDICE!$F$2,Nombres!$C$3:$D$636,47,FALSE)</f>
        <v>Income tax</v>
      </c>
      <c r="B78" s="44">
        <v>-53.35924117792729</v>
      </c>
      <c r="C78" s="44">
        <v>-52.57762042475417</v>
      </c>
      <c r="D78" s="44">
        <v>-93.92715244747279</v>
      </c>
      <c r="E78" s="45">
        <v>-105.03488717509924</v>
      </c>
      <c r="F78" s="44">
        <v>-192.60185294000001</v>
      </c>
      <c r="G78" s="44">
        <v>0</v>
      </c>
      <c r="H78" s="44">
        <v>0</v>
      </c>
      <c r="I78" s="44">
        <v>0</v>
      </c>
    </row>
    <row r="79" spans="1:9" ht="14.25">
      <c r="A79" s="41" t="str">
        <f>HLOOKUP(INDICE!$F$2,Nombres!$C$3:$D$636,48,FALSE)</f>
        <v>Profit/(loss) for the year</v>
      </c>
      <c r="B79" s="41">
        <f>+B77+B78</f>
        <v>220.11243297678004</v>
      </c>
      <c r="C79" s="41">
        <f aca="true" t="shared" si="12" ref="C79:I79">+C77+C78</f>
        <v>252.3394485861719</v>
      </c>
      <c r="D79" s="41">
        <f t="shared" si="12"/>
        <v>258.9118907355821</v>
      </c>
      <c r="E79" s="42">
        <f t="shared" si="12"/>
        <v>272.08423814696584</v>
      </c>
      <c r="F79" s="50">
        <f t="shared" si="12"/>
        <v>503.1879901999999</v>
      </c>
      <c r="G79" s="50">
        <f t="shared" si="12"/>
        <v>0</v>
      </c>
      <c r="H79" s="50">
        <f t="shared" si="12"/>
        <v>0</v>
      </c>
      <c r="I79" s="50">
        <f t="shared" si="12"/>
        <v>0</v>
      </c>
    </row>
    <row r="80" spans="1:9" ht="14.25">
      <c r="A80" s="43" t="str">
        <f>HLOOKUP(INDICE!$F$2,Nombres!$C$3:$D$636,49,FALSE)</f>
        <v>Non-controlling interests</v>
      </c>
      <c r="B80" s="44">
        <v>-111.63883409907426</v>
      </c>
      <c r="C80" s="44">
        <v>-127.67397451691326</v>
      </c>
      <c r="D80" s="44">
        <v>-131.04461390576955</v>
      </c>
      <c r="E80" s="45">
        <v>-137.89319777012992</v>
      </c>
      <c r="F80" s="44">
        <v>-254.12900001</v>
      </c>
      <c r="G80" s="44">
        <v>0</v>
      </c>
      <c r="H80" s="44">
        <v>0</v>
      </c>
      <c r="I80" s="44">
        <v>0</v>
      </c>
    </row>
    <row r="81" spans="1:9" ht="14.25">
      <c r="A81" s="47" t="str">
        <f>HLOOKUP(INDICE!$F$2,Nombres!$C$3:$D$636,50,FALSE)</f>
        <v>Net attributable profit</v>
      </c>
      <c r="B81" s="47">
        <f>+B79+B80</f>
        <v>108.47359887770578</v>
      </c>
      <c r="C81" s="47">
        <f aca="true" t="shared" si="13" ref="C81:I81">+C79+C80</f>
        <v>124.66547406925864</v>
      </c>
      <c r="D81" s="47">
        <f t="shared" si="13"/>
        <v>127.86727682981257</v>
      </c>
      <c r="E81" s="47">
        <f t="shared" si="13"/>
        <v>134.19104037683593</v>
      </c>
      <c r="F81" s="51">
        <f t="shared" si="13"/>
        <v>249.0589901899999</v>
      </c>
      <c r="G81" s="51">
        <f t="shared" si="13"/>
        <v>0</v>
      </c>
      <c r="H81" s="51">
        <f t="shared" si="13"/>
        <v>0</v>
      </c>
      <c r="I81" s="51">
        <f t="shared" si="13"/>
        <v>0</v>
      </c>
    </row>
    <row r="82" spans="1:9" ht="14.25">
      <c r="A82" s="62"/>
      <c r="B82" s="63">
        <v>0</v>
      </c>
      <c r="C82" s="63">
        <v>0</v>
      </c>
      <c r="D82" s="63">
        <v>0</v>
      </c>
      <c r="E82" s="63">
        <v>0</v>
      </c>
      <c r="F82" s="63">
        <v>0</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3991.138255957986</v>
      </c>
      <c r="C87" s="44">
        <v>4219.475663758374</v>
      </c>
      <c r="D87" s="44">
        <v>3957.7047356827816</v>
      </c>
      <c r="E87" s="45">
        <v>7263.694273164099</v>
      </c>
      <c r="F87" s="44">
        <v>7926.378000000001</v>
      </c>
      <c r="G87" s="44">
        <v>0</v>
      </c>
      <c r="H87" s="44">
        <v>0</v>
      </c>
      <c r="I87" s="44">
        <v>0</v>
      </c>
    </row>
    <row r="88" spans="1:9" ht="14.25">
      <c r="A88" s="43" t="str">
        <f>HLOOKUP(INDICE!$F$2,Nombres!$C$3:$D$636,53,FALSE)</f>
        <v>Financial assets designated at fair value </v>
      </c>
      <c r="B88" s="58">
        <v>3280.316090170765</v>
      </c>
      <c r="C88" s="58">
        <v>3266.71253146116</v>
      </c>
      <c r="D88" s="58">
        <v>3426.239086977471</v>
      </c>
      <c r="E88" s="65">
        <v>4948.637882247493</v>
      </c>
      <c r="F88" s="44">
        <v>5177.576</v>
      </c>
      <c r="G88" s="44">
        <v>0</v>
      </c>
      <c r="H88" s="44">
        <v>0</v>
      </c>
      <c r="I88" s="44">
        <v>0</v>
      </c>
    </row>
    <row r="89" spans="1:9" ht="14.25">
      <c r="A89" s="43" t="str">
        <f>HLOOKUP(INDICE!$F$2,Nombres!$C$3:$D$636,54,FALSE)</f>
        <v>Financial assets at amortized cost</v>
      </c>
      <c r="B89" s="44">
        <v>26658.223300755904</v>
      </c>
      <c r="C89" s="44">
        <v>28846.4688921767</v>
      </c>
      <c r="D89" s="44">
        <v>30291.212581565545</v>
      </c>
      <c r="E89" s="45">
        <v>38867.93240414453</v>
      </c>
      <c r="F89" s="44">
        <v>43623.72899999999</v>
      </c>
      <c r="G89" s="44">
        <v>0</v>
      </c>
      <c r="H89" s="44">
        <v>0</v>
      </c>
      <c r="I89" s="44">
        <v>0</v>
      </c>
    </row>
    <row r="90" spans="1:9" ht="14.25">
      <c r="A90" s="43" t="str">
        <f>HLOOKUP(INDICE!$F$2,Nombres!$C$3:$D$636,55,FALSE)</f>
        <v>    of which loans and advances to customers</v>
      </c>
      <c r="B90" s="44">
        <v>22014.656599492435</v>
      </c>
      <c r="C90" s="44">
        <v>23397.193495026622</v>
      </c>
      <c r="D90" s="44">
        <v>24623.997188030586</v>
      </c>
      <c r="E90" s="45">
        <v>29390.66012932653</v>
      </c>
      <c r="F90" s="44">
        <v>33726.289000000004</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520.3710885438793</v>
      </c>
      <c r="C92" s="44">
        <v>516.0988086450677</v>
      </c>
      <c r="D92" s="44">
        <v>538.4082946275809</v>
      </c>
      <c r="E92" s="45">
        <v>583.1192528669187</v>
      </c>
      <c r="F92" s="44">
        <v>606.766</v>
      </c>
      <c r="G92" s="44">
        <v>0</v>
      </c>
      <c r="H92" s="44">
        <v>0</v>
      </c>
      <c r="I92" s="44">
        <v>0</v>
      </c>
    </row>
    <row r="93" spans="1:9" ht="14.25">
      <c r="A93" s="43" t="str">
        <f>HLOOKUP(INDICE!$F$2,Nombres!$C$3:$D$636,57,FALSE)</f>
        <v>Other assets</v>
      </c>
      <c r="B93" s="58">
        <f>+B94-B92-B89-B88-B87</f>
        <v>714.9983079784315</v>
      </c>
      <c r="C93" s="58">
        <f aca="true" t="shared" si="15" ref="C93:I93">+C94-C92-C89-C88-C87</f>
        <v>704.3283971553228</v>
      </c>
      <c r="D93" s="58">
        <f t="shared" si="15"/>
        <v>714.4063173087252</v>
      </c>
      <c r="E93" s="65">
        <f t="shared" si="15"/>
        <v>958.6047303161158</v>
      </c>
      <c r="F93" s="44">
        <f t="shared" si="15"/>
        <v>1216.6869999999944</v>
      </c>
      <c r="G93" s="44">
        <f t="shared" si="15"/>
        <v>0</v>
      </c>
      <c r="H93" s="44">
        <f t="shared" si="15"/>
        <v>0</v>
      </c>
      <c r="I93" s="44">
        <f t="shared" si="15"/>
        <v>0</v>
      </c>
    </row>
    <row r="94" spans="1:9" ht="14.25">
      <c r="A94" s="47" t="str">
        <f>HLOOKUP(INDICE!$F$2,Nombres!$C$3:$D$636,58,FALSE)</f>
        <v>Total assets / Liabilities and equity</v>
      </c>
      <c r="B94" s="47">
        <v>35165.047043406965</v>
      </c>
      <c r="C94" s="47">
        <v>37553.084293196625</v>
      </c>
      <c r="D94" s="47">
        <v>38927.971016162104</v>
      </c>
      <c r="E94" s="47">
        <v>52621.98854273916</v>
      </c>
      <c r="F94" s="47">
        <v>58551.13599999999</v>
      </c>
      <c r="G94" s="47">
        <v>0</v>
      </c>
      <c r="H94" s="47">
        <v>0</v>
      </c>
      <c r="I94" s="47">
        <v>0</v>
      </c>
    </row>
    <row r="95" spans="1:9" ht="14.25">
      <c r="A95" s="43" t="str">
        <f>HLOOKUP(INDICE!$F$2,Nombres!$C$3:$D$636,59,FALSE)</f>
        <v>Financial liabilities held for trading and designated at fair value through profit or loss</v>
      </c>
      <c r="B95" s="58">
        <v>1231.3807984741275</v>
      </c>
      <c r="C95" s="58">
        <v>1248.4972476863734</v>
      </c>
      <c r="D95" s="58">
        <v>1264.123193052236</v>
      </c>
      <c r="E95" s="65">
        <v>2125.4523028586914</v>
      </c>
      <c r="F95" s="44">
        <v>2198.122</v>
      </c>
      <c r="G95" s="44">
        <v>0</v>
      </c>
      <c r="H95" s="44">
        <v>0</v>
      </c>
      <c r="I95" s="44">
        <v>0</v>
      </c>
    </row>
    <row r="96" spans="1:9" ht="14.25">
      <c r="A96" s="43" t="str">
        <f>HLOOKUP(INDICE!$F$2,Nombres!$C$3:$D$636,60,FALSE)</f>
        <v>Deposits from central banks and credit institutions</v>
      </c>
      <c r="B96" s="58">
        <v>2790.1288577160058</v>
      </c>
      <c r="C96" s="58">
        <v>2376.6171637918046</v>
      </c>
      <c r="D96" s="58">
        <v>2453.9802505952357</v>
      </c>
      <c r="E96" s="65">
        <v>3823.512789483373</v>
      </c>
      <c r="F96" s="44">
        <v>3677.411</v>
      </c>
      <c r="G96" s="44">
        <v>0</v>
      </c>
      <c r="H96" s="44">
        <v>0</v>
      </c>
      <c r="I96" s="44">
        <v>0</v>
      </c>
    </row>
    <row r="97" spans="1:9" ht="14.25">
      <c r="A97" s="43" t="str">
        <f>HLOOKUP(INDICE!$F$2,Nombres!$C$3:$D$636,61,FALSE)</f>
        <v>Deposits from customers</v>
      </c>
      <c r="B97" s="58">
        <v>22749.7221307747</v>
      </c>
      <c r="C97" s="58">
        <v>25265.416643415097</v>
      </c>
      <c r="D97" s="58">
        <v>26109.603245703052</v>
      </c>
      <c r="E97" s="65">
        <v>35871.51924271961</v>
      </c>
      <c r="F97" s="44">
        <v>40156.687</v>
      </c>
      <c r="G97" s="44">
        <v>0</v>
      </c>
      <c r="H97" s="44">
        <v>0</v>
      </c>
      <c r="I97" s="44">
        <v>0</v>
      </c>
    </row>
    <row r="98" spans="1:9" ht="14.25">
      <c r="A98" s="43" t="str">
        <f>HLOOKUP(INDICE!$F$2,Nombres!$C$3:$D$636,62,FALSE)</f>
        <v>Debt certificates</v>
      </c>
      <c r="B98" s="44">
        <v>2534.0842994344653</v>
      </c>
      <c r="C98" s="44">
        <v>2452.8474781549767</v>
      </c>
      <c r="D98" s="44">
        <v>2511.559423050641</v>
      </c>
      <c r="E98" s="45">
        <v>3385.1389871745682</v>
      </c>
      <c r="F98" s="44">
        <v>3548.0527025700003</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2009.8026731703858</v>
      </c>
      <c r="C100" s="58">
        <f aca="true" t="shared" si="16" ref="C100:I100">+C94-C95-C96-C97-C98-C101</f>
        <v>2335.893804140118</v>
      </c>
      <c r="D100" s="58">
        <f t="shared" si="16"/>
        <v>2362.3784790437066</v>
      </c>
      <c r="E100" s="65">
        <f t="shared" si="16"/>
        <v>2026.1859163880881</v>
      </c>
      <c r="F100" s="44">
        <f t="shared" si="16"/>
        <v>2567.7795127299905</v>
      </c>
      <c r="G100" s="44">
        <f t="shared" si="16"/>
        <v>0</v>
      </c>
      <c r="H100" s="44">
        <f t="shared" si="16"/>
        <v>0</v>
      </c>
      <c r="I100" s="44">
        <f t="shared" si="16"/>
        <v>0</v>
      </c>
    </row>
    <row r="101" spans="1:9" ht="14.25">
      <c r="A101" s="43" t="str">
        <f>HLOOKUP(INDICE!$F$2,Nombres!$C$3:$D$636,282,FALSE)</f>
        <v>Regulatory capital allocated</v>
      </c>
      <c r="B101" s="44">
        <v>3849.928283837281</v>
      </c>
      <c r="C101" s="44">
        <v>3873.811956008255</v>
      </c>
      <c r="D101" s="44">
        <v>4226.326424717231</v>
      </c>
      <c r="E101" s="44">
        <v>5390.179304114828</v>
      </c>
      <c r="F101" s="44">
        <v>6403.0837847</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23452.9290487161</v>
      </c>
      <c r="C107" s="44">
        <v>24839.424932170292</v>
      </c>
      <c r="D107" s="44">
        <v>26150.769587853807</v>
      </c>
      <c r="E107" s="45">
        <v>31296.13639971542</v>
      </c>
      <c r="F107" s="44">
        <v>35828.403</v>
      </c>
      <c r="G107" s="44">
        <v>0</v>
      </c>
      <c r="H107" s="44">
        <v>0</v>
      </c>
      <c r="I107" s="44">
        <v>0</v>
      </c>
    </row>
    <row r="108" spans="1:9" ht="14.25">
      <c r="A108" s="43" t="str">
        <f>HLOOKUP(INDICE!$F$2,Nombres!$C$3:$D$636,67,FALSE)</f>
        <v>Customer deposits under management (*)</v>
      </c>
      <c r="B108" s="44">
        <v>22748.243279506765</v>
      </c>
      <c r="C108" s="44">
        <v>25264.080427524223</v>
      </c>
      <c r="D108" s="44">
        <v>26108.170696462465</v>
      </c>
      <c r="E108" s="45">
        <v>35865.61194958537</v>
      </c>
      <c r="F108" s="44">
        <v>40154.911</v>
      </c>
      <c r="G108" s="44">
        <v>0</v>
      </c>
      <c r="H108" s="44">
        <v>0</v>
      </c>
      <c r="I108" s="44">
        <v>0</v>
      </c>
    </row>
    <row r="109" spans="1:9" ht="14.25">
      <c r="A109" s="43" t="str">
        <f>HLOOKUP(INDICE!$F$2,Nombres!$C$3:$D$636,68,FALSE)</f>
        <v>Investment funds and managed portfolios</v>
      </c>
      <c r="B109" s="44">
        <v>736.2140898397145</v>
      </c>
      <c r="C109" s="44">
        <v>921.0787151694068</v>
      </c>
      <c r="D109" s="44">
        <v>1251.3434623876276</v>
      </c>
      <c r="E109" s="45">
        <v>1610.8909572281414</v>
      </c>
      <c r="F109" s="44">
        <v>2088.436</v>
      </c>
      <c r="G109" s="44">
        <v>0</v>
      </c>
      <c r="H109" s="44">
        <v>0</v>
      </c>
      <c r="I109" s="44">
        <v>0</v>
      </c>
    </row>
    <row r="110" spans="1:9" ht="14.25">
      <c r="A110" s="43" t="str">
        <f>HLOOKUP(INDICE!$F$2,Nombres!$C$3:$D$636,69,FALSE)</f>
        <v>Pension funds</v>
      </c>
      <c r="B110" s="44">
        <v>1453.8368212718372</v>
      </c>
      <c r="C110" s="44">
        <v>1573.4582332351597</v>
      </c>
      <c r="D110" s="44">
        <v>1635.8074224860454</v>
      </c>
      <c r="E110" s="45">
        <v>2032.9415101578531</v>
      </c>
      <c r="F110" s="44">
        <v>2333.143</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HLOOKUP(INDICE!$F$2,Nombres!$C$3:$D$636,77,FALSE)</f>
        <v>(Million Turkish liras)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4721.452565633921</v>
      </c>
      <c r="C120" s="41">
        <v>5146.425546600154</v>
      </c>
      <c r="D120" s="41">
        <v>6161.864859102583</v>
      </c>
      <c r="E120" s="42">
        <v>8873.607861649794</v>
      </c>
      <c r="F120" s="50">
        <v>11058.920105666639</v>
      </c>
      <c r="G120" s="50">
        <v>0</v>
      </c>
      <c r="H120" s="50">
        <v>0</v>
      </c>
      <c r="I120" s="50">
        <v>0</v>
      </c>
    </row>
    <row r="121" spans="1:9" ht="14.25">
      <c r="A121" s="43" t="str">
        <f>HLOOKUP(INDICE!$F$2,Nombres!$C$3:$D$636,34,FALSE)</f>
        <v>Net fees and commissions</v>
      </c>
      <c r="B121" s="44">
        <v>1376.5750852737165</v>
      </c>
      <c r="C121" s="44">
        <v>1452.243876657029</v>
      </c>
      <c r="D121" s="44">
        <v>1471.8544436189177</v>
      </c>
      <c r="E121" s="45">
        <v>1629.5378759638174</v>
      </c>
      <c r="F121" s="44">
        <v>2064.221418661874</v>
      </c>
      <c r="G121" s="44">
        <v>0</v>
      </c>
      <c r="H121" s="44">
        <v>0</v>
      </c>
      <c r="I121" s="44">
        <v>0</v>
      </c>
    </row>
    <row r="122" spans="1:9" ht="14.25">
      <c r="A122" s="43" t="str">
        <f>HLOOKUP(INDICE!$F$2,Nombres!$C$3:$D$636,35,FALSE)</f>
        <v>Net trading income</v>
      </c>
      <c r="B122" s="44">
        <v>1120.1272270976117</v>
      </c>
      <c r="C122" s="44">
        <v>590.8432285570483</v>
      </c>
      <c r="D122" s="44">
        <v>607.4327596606674</v>
      </c>
      <c r="E122" s="45">
        <v>2023.7445483959646</v>
      </c>
      <c r="F122" s="44">
        <v>2741.178217576859</v>
      </c>
      <c r="G122" s="44">
        <v>0</v>
      </c>
      <c r="H122" s="44">
        <v>0</v>
      </c>
      <c r="I122" s="44">
        <v>0</v>
      </c>
    </row>
    <row r="123" spans="1:9" ht="14.25">
      <c r="A123" s="43" t="str">
        <f>HLOOKUP(INDICE!$F$2,Nombres!$C$3:$D$636,36,FALSE)</f>
        <v>Other operating income and expenses</v>
      </c>
      <c r="B123" s="44">
        <v>217.89687296008864</v>
      </c>
      <c r="C123" s="44">
        <v>337.80854934632384</v>
      </c>
      <c r="D123" s="44">
        <v>232.11667300202782</v>
      </c>
      <c r="E123" s="45">
        <v>-8.898940966899346</v>
      </c>
      <c r="F123" s="44">
        <v>229.86816148973</v>
      </c>
      <c r="G123" s="44">
        <v>0</v>
      </c>
      <c r="H123" s="44">
        <v>0</v>
      </c>
      <c r="I123" s="44">
        <v>0</v>
      </c>
    </row>
    <row r="124" spans="1:9" ht="14.25">
      <c r="A124" s="41" t="str">
        <f>HLOOKUP(INDICE!$F$2,Nombres!$C$3:$D$636,37,FALSE)</f>
        <v>Gross income</v>
      </c>
      <c r="B124" s="41">
        <f>+SUM(B120:B123)</f>
        <v>7436.051750965337</v>
      </c>
      <c r="C124" s="41">
        <f aca="true" t="shared" si="19" ref="C124:I124">+SUM(C120:C123)</f>
        <v>7527.321201160555</v>
      </c>
      <c r="D124" s="41">
        <f t="shared" si="19"/>
        <v>8473.268735384197</v>
      </c>
      <c r="E124" s="42">
        <f t="shared" si="19"/>
        <v>12517.991345042677</v>
      </c>
      <c r="F124" s="50">
        <f t="shared" si="19"/>
        <v>16094.1879033951</v>
      </c>
      <c r="G124" s="50">
        <f t="shared" si="19"/>
        <v>0</v>
      </c>
      <c r="H124" s="50">
        <f t="shared" si="19"/>
        <v>0</v>
      </c>
      <c r="I124" s="50">
        <f t="shared" si="19"/>
        <v>0</v>
      </c>
    </row>
    <row r="125" spans="1:9" ht="14.25">
      <c r="A125" s="43" t="str">
        <f>HLOOKUP(INDICE!$F$2,Nombres!$C$3:$D$636,38,FALSE)</f>
        <v>Operating expenses</v>
      </c>
      <c r="B125" s="44">
        <v>-2365.2354619250873</v>
      </c>
      <c r="C125" s="44">
        <v>-2389.089755461043</v>
      </c>
      <c r="D125" s="44">
        <v>-2382.151977315596</v>
      </c>
      <c r="E125" s="45">
        <v>-3472.245387374105</v>
      </c>
      <c r="F125" s="44">
        <v>-3601.9128934296696</v>
      </c>
      <c r="G125" s="44">
        <v>0</v>
      </c>
      <c r="H125" s="44">
        <v>0</v>
      </c>
      <c r="I125" s="44">
        <v>0</v>
      </c>
    </row>
    <row r="126" spans="1:9" ht="14.25">
      <c r="A126" s="43" t="str">
        <f>HLOOKUP(INDICE!$F$2,Nombres!$C$3:$D$636,39,FALSE)</f>
        <v>  Administration expenses</v>
      </c>
      <c r="B126" s="44">
        <v>-2064.129247350116</v>
      </c>
      <c r="C126" s="44">
        <v>-2084.6363538483924</v>
      </c>
      <c r="D126" s="44">
        <v>-2070.078871715924</v>
      </c>
      <c r="E126" s="45">
        <v>-3146.1595858550645</v>
      </c>
      <c r="F126" s="44">
        <v>-3247.71465883722</v>
      </c>
      <c r="G126" s="44">
        <v>0</v>
      </c>
      <c r="H126" s="44">
        <v>0</v>
      </c>
      <c r="I126" s="44">
        <v>0</v>
      </c>
    </row>
    <row r="127" spans="1:9" ht="14.25">
      <c r="A127" s="46" t="str">
        <f>HLOOKUP(INDICE!$F$2,Nombres!$C$3:$D$636,40,FALSE)</f>
        <v>  Personnel expenses</v>
      </c>
      <c r="B127" s="44">
        <v>-1264.9005224716536</v>
      </c>
      <c r="C127" s="44">
        <v>-1416.4184539172606</v>
      </c>
      <c r="D127" s="44">
        <v>-1408.8143208777228</v>
      </c>
      <c r="E127" s="45">
        <v>-2142.9759672857167</v>
      </c>
      <c r="F127" s="44">
        <v>-2044.635294536961</v>
      </c>
      <c r="G127" s="44">
        <v>0</v>
      </c>
      <c r="H127" s="44">
        <v>0</v>
      </c>
      <c r="I127" s="44">
        <v>0</v>
      </c>
    </row>
    <row r="128" spans="1:9" ht="14.25">
      <c r="A128" s="46" t="str">
        <f>HLOOKUP(INDICE!$F$2,Nombres!$C$3:$D$636,41,FALSE)</f>
        <v>  General and administrative expenses</v>
      </c>
      <c r="B128" s="44">
        <v>-799.2287248784631</v>
      </c>
      <c r="C128" s="44">
        <v>-668.2178999311319</v>
      </c>
      <c r="D128" s="44">
        <v>-661.2645508382009</v>
      </c>
      <c r="E128" s="45">
        <v>-1003.1836185693477</v>
      </c>
      <c r="F128" s="44">
        <v>-1203.079364300259</v>
      </c>
      <c r="G128" s="44">
        <v>0</v>
      </c>
      <c r="H128" s="44">
        <v>0</v>
      </c>
      <c r="I128" s="44">
        <v>0</v>
      </c>
    </row>
    <row r="129" spans="1:9" ht="14.25">
      <c r="A129" s="43" t="str">
        <f>HLOOKUP(INDICE!$F$2,Nombres!$C$3:$D$636,42,FALSE)</f>
        <v>  Depreciation</v>
      </c>
      <c r="B129" s="44">
        <v>-301.10621457497064</v>
      </c>
      <c r="C129" s="44">
        <v>-304.4534016126509</v>
      </c>
      <c r="D129" s="44">
        <v>-312.07310559967175</v>
      </c>
      <c r="E129" s="45">
        <v>-326.085801519041</v>
      </c>
      <c r="F129" s="44">
        <v>-354.19823459244964</v>
      </c>
      <c r="G129" s="44">
        <v>0</v>
      </c>
      <c r="H129" s="44">
        <v>0</v>
      </c>
      <c r="I129" s="44">
        <v>0</v>
      </c>
    </row>
    <row r="130" spans="1:9" ht="14.25">
      <c r="A130" s="41" t="str">
        <f>HLOOKUP(INDICE!$F$2,Nombres!$C$3:$D$636,43,FALSE)</f>
        <v>Operating income</v>
      </c>
      <c r="B130" s="41">
        <f>+B124+B125</f>
        <v>5070.81628904025</v>
      </c>
      <c r="C130" s="41">
        <f aca="true" t="shared" si="20" ref="C130:I130">+C124+C125</f>
        <v>5138.231445699512</v>
      </c>
      <c r="D130" s="41">
        <f t="shared" si="20"/>
        <v>6091.1167580686015</v>
      </c>
      <c r="E130" s="42">
        <f t="shared" si="20"/>
        <v>9045.745957668572</v>
      </c>
      <c r="F130" s="50">
        <f t="shared" si="20"/>
        <v>12492.275009965431</v>
      </c>
      <c r="G130" s="50">
        <f t="shared" si="20"/>
        <v>0</v>
      </c>
      <c r="H130" s="50">
        <f t="shared" si="20"/>
        <v>0</v>
      </c>
      <c r="I130" s="50">
        <f t="shared" si="20"/>
        <v>0</v>
      </c>
    </row>
    <row r="131" spans="1:9" ht="14.25">
      <c r="A131" s="43" t="str">
        <f>HLOOKUP(INDICE!$F$2,Nombres!$C$3:$D$636,44,FALSE)</f>
        <v>Impaiment on financial assets not measured at fair value through profit or loss</v>
      </c>
      <c r="B131" s="44">
        <v>-1095.190338649602</v>
      </c>
      <c r="C131" s="44">
        <v>-502.587741870872</v>
      </c>
      <c r="D131" s="44">
        <v>-683.1939486063164</v>
      </c>
      <c r="E131" s="45">
        <v>-2910.829852269021</v>
      </c>
      <c r="F131" s="44">
        <v>-1518.1924593448898</v>
      </c>
      <c r="G131" s="44">
        <v>0</v>
      </c>
      <c r="H131" s="44">
        <v>0</v>
      </c>
      <c r="I131" s="44">
        <v>0</v>
      </c>
    </row>
    <row r="132" spans="1:9" ht="14.25">
      <c r="A132" s="43" t="str">
        <f>HLOOKUP(INDICE!$F$2,Nombres!$C$3:$D$636,45,FALSE)</f>
        <v>Provisions or reversal of provisions and other results</v>
      </c>
      <c r="B132" s="44">
        <v>310.35147904012643</v>
      </c>
      <c r="C132" s="44">
        <v>143.16082745784246</v>
      </c>
      <c r="D132" s="44">
        <v>121.93756813943114</v>
      </c>
      <c r="E132" s="45">
        <v>-224.5267960385086</v>
      </c>
      <c r="F132" s="44">
        <v>-69.33502039489238</v>
      </c>
      <c r="G132" s="44">
        <v>0</v>
      </c>
      <c r="H132" s="44">
        <v>0</v>
      </c>
      <c r="I132" s="44">
        <v>0</v>
      </c>
    </row>
    <row r="133" spans="1:9" ht="14.25">
      <c r="A133" s="41" t="str">
        <f>HLOOKUP(INDICE!$F$2,Nombres!$C$3:$D$636,46,FALSE)</f>
        <v>Profit/(loss) before tax</v>
      </c>
      <c r="B133" s="41">
        <f>+B130+B131+B132</f>
        <v>4285.9774294307745</v>
      </c>
      <c r="C133" s="41">
        <f aca="true" t="shared" si="21" ref="C133:I133">+C130+C131+C132</f>
        <v>4778.8045312864815</v>
      </c>
      <c r="D133" s="41">
        <f t="shared" si="21"/>
        <v>5529.860377601716</v>
      </c>
      <c r="E133" s="42">
        <f t="shared" si="21"/>
        <v>5910.389309361042</v>
      </c>
      <c r="F133" s="50">
        <f t="shared" si="21"/>
        <v>10904.74753022565</v>
      </c>
      <c r="G133" s="50">
        <f t="shared" si="21"/>
        <v>0</v>
      </c>
      <c r="H133" s="50">
        <f t="shared" si="21"/>
        <v>0</v>
      </c>
      <c r="I133" s="50">
        <f t="shared" si="21"/>
        <v>0</v>
      </c>
    </row>
    <row r="134" spans="1:9" ht="14.25">
      <c r="A134" s="43" t="str">
        <f>HLOOKUP(INDICE!$F$2,Nombres!$C$3:$D$636,47,FALSE)</f>
        <v>Income tax</v>
      </c>
      <c r="B134" s="44">
        <v>-836.2712666569346</v>
      </c>
      <c r="C134" s="44">
        <v>-824.0213365066566</v>
      </c>
      <c r="D134" s="44">
        <v>-1472.070760691771</v>
      </c>
      <c r="E134" s="45">
        <v>-1646.1564333006968</v>
      </c>
      <c r="F134" s="44">
        <v>-3018.547339935448</v>
      </c>
      <c r="G134" s="44">
        <v>0</v>
      </c>
      <c r="H134" s="44">
        <v>0</v>
      </c>
      <c r="I134" s="44">
        <v>0</v>
      </c>
    </row>
    <row r="135" spans="1:9" ht="14.25">
      <c r="A135" s="41" t="str">
        <f>HLOOKUP(INDICE!$F$2,Nombres!$C$3:$D$636,48,FALSE)</f>
        <v>Profit/(loss) for the year</v>
      </c>
      <c r="B135" s="41">
        <f>+B133+B134</f>
        <v>3449.70616277384</v>
      </c>
      <c r="C135" s="41">
        <f aca="true" t="shared" si="22" ref="C135:I135">+C133+C134</f>
        <v>3954.783194779825</v>
      </c>
      <c r="D135" s="41">
        <f t="shared" si="22"/>
        <v>4057.789616909945</v>
      </c>
      <c r="E135" s="42">
        <f t="shared" si="22"/>
        <v>4264.232876060345</v>
      </c>
      <c r="F135" s="50">
        <f t="shared" si="22"/>
        <v>7886.200190290202</v>
      </c>
      <c r="G135" s="50">
        <f t="shared" si="22"/>
        <v>0</v>
      </c>
      <c r="H135" s="50">
        <f t="shared" si="22"/>
        <v>0</v>
      </c>
      <c r="I135" s="50">
        <f t="shared" si="22"/>
        <v>0</v>
      </c>
    </row>
    <row r="136" spans="1:9" ht="14.25">
      <c r="A136" s="43" t="str">
        <f>HLOOKUP(INDICE!$F$2,Nombres!$C$3:$D$636,49,FALSE)</f>
        <v>Non-controlling interests</v>
      </c>
      <c r="B136" s="44">
        <v>-1749.6566131595564</v>
      </c>
      <c r="C136" s="44">
        <v>-2000.966918407959</v>
      </c>
      <c r="D136" s="44">
        <v>-2053.793173222254</v>
      </c>
      <c r="E136" s="45">
        <v>-2161.1274189240844</v>
      </c>
      <c r="F136" s="44">
        <v>-3982.829891151726</v>
      </c>
      <c r="G136" s="44">
        <v>0</v>
      </c>
      <c r="H136" s="44">
        <v>0</v>
      </c>
      <c r="I136" s="44">
        <v>0</v>
      </c>
    </row>
    <row r="137" spans="1:9" ht="14.25">
      <c r="A137" s="47" t="str">
        <f>HLOOKUP(INDICE!$F$2,Nombres!$C$3:$D$636,50,FALSE)</f>
        <v>Net attributable profit</v>
      </c>
      <c r="B137" s="47">
        <f>+B135+B136</f>
        <v>1700.0495496142835</v>
      </c>
      <c r="C137" s="47">
        <f aca="true" t="shared" si="23" ref="C137:I137">+C135+C136</f>
        <v>1953.816276371866</v>
      </c>
      <c r="D137" s="47">
        <f t="shared" si="23"/>
        <v>2003.9964436876908</v>
      </c>
      <c r="E137" s="47">
        <f t="shared" si="23"/>
        <v>2103.1054571362606</v>
      </c>
      <c r="F137" s="51">
        <f t="shared" si="23"/>
        <v>3903.370299138476</v>
      </c>
      <c r="G137" s="51">
        <f t="shared" si="23"/>
        <v>0</v>
      </c>
      <c r="H137" s="51">
        <f t="shared" si="23"/>
        <v>0</v>
      </c>
      <c r="I137" s="51">
        <f t="shared" si="23"/>
        <v>0</v>
      </c>
    </row>
    <row r="138" spans="1:9" ht="14.25">
      <c r="A138" s="62"/>
      <c r="B138" s="63">
        <v>0</v>
      </c>
      <c r="C138" s="63">
        <v>0</v>
      </c>
      <c r="D138" s="63">
        <v>1.8189894035458565E-12</v>
      </c>
      <c r="E138" s="63">
        <v>0</v>
      </c>
      <c r="F138" s="63">
        <v>0</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HLOOKUP(INDICE!$F$2,Nombres!$C$3:$D$636,77,FALSE)</f>
        <v>(Million Turkish liras)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Cash, cash balances at central banks and other demand deposits</v>
      </c>
      <c r="B143" s="44">
        <v>64984.91042509099</v>
      </c>
      <c r="C143" s="44">
        <v>68702.7686001253</v>
      </c>
      <c r="D143" s="44">
        <v>64440.53581791313</v>
      </c>
      <c r="E143" s="45">
        <v>118269.6492641332</v>
      </c>
      <c r="F143" s="44">
        <v>129059.66450961103</v>
      </c>
      <c r="G143" s="44">
        <v>0</v>
      </c>
      <c r="H143" s="44">
        <v>0</v>
      </c>
      <c r="I143" s="44">
        <v>0</v>
      </c>
    </row>
    <row r="144" spans="1:9" ht="14.25">
      <c r="A144" s="43" t="str">
        <f>HLOOKUP(INDICE!$F$2,Nombres!$C$3:$D$636,53,FALSE)</f>
        <v>Financial assets designated at fair value </v>
      </c>
      <c r="B144" s="58">
        <v>53411.09067507478</v>
      </c>
      <c r="C144" s="58">
        <v>53189.59345109702</v>
      </c>
      <c r="D144" s="58">
        <v>55787.05268598451</v>
      </c>
      <c r="E144" s="65">
        <v>80575.2065902501</v>
      </c>
      <c r="F144" s="44">
        <v>84302.84570493786</v>
      </c>
      <c r="G144" s="44">
        <v>0</v>
      </c>
      <c r="H144" s="44">
        <v>0</v>
      </c>
      <c r="I144" s="44">
        <v>0</v>
      </c>
    </row>
    <row r="145" spans="1:9" ht="14.25">
      <c r="A145" s="43" t="str">
        <f>HLOOKUP(INDICE!$F$2,Nombres!$C$3:$D$636,54,FALSE)</f>
        <v>Financial assets at amortized cost</v>
      </c>
      <c r="B145" s="44">
        <v>434057.1892506077</v>
      </c>
      <c r="C145" s="44">
        <v>469686.8604438566</v>
      </c>
      <c r="D145" s="44">
        <v>493210.6106176312</v>
      </c>
      <c r="E145" s="45">
        <v>632859.3357850373</v>
      </c>
      <c r="F145" s="44">
        <v>710294.6426978615</v>
      </c>
      <c r="G145" s="44">
        <v>0</v>
      </c>
      <c r="H145" s="44">
        <v>0</v>
      </c>
      <c r="I145" s="44">
        <v>0</v>
      </c>
    </row>
    <row r="146" spans="1:9" ht="14.25">
      <c r="A146" s="43" t="str">
        <f>HLOOKUP(INDICE!$F$2,Nombres!$C$3:$D$636,55,FALSE)</f>
        <v>    of which loans and advances to customers</v>
      </c>
      <c r="B146" s="44">
        <v>358449.2431505018</v>
      </c>
      <c r="C146" s="44">
        <v>380960.123644695</v>
      </c>
      <c r="D146" s="44">
        <v>400935.30941532605</v>
      </c>
      <c r="E146" s="45">
        <v>478547.54542451585</v>
      </c>
      <c r="F146" s="44">
        <v>549141.555385598</v>
      </c>
      <c r="G146" s="44">
        <v>0</v>
      </c>
      <c r="H146" s="44">
        <v>0</v>
      </c>
      <c r="I146" s="44">
        <v>0</v>
      </c>
    </row>
    <row r="147" spans="1:9" ht="14.25">
      <c r="A147" s="43"/>
      <c r="B147" s="44"/>
      <c r="C147" s="44"/>
      <c r="D147" s="44"/>
      <c r="E147" s="45"/>
      <c r="F147" s="44"/>
      <c r="G147" s="44"/>
      <c r="H147" s="44"/>
      <c r="I147" s="44"/>
    </row>
    <row r="148" spans="1:9" ht="14.25">
      <c r="A148" s="43" t="str">
        <f>HLOOKUP(INDICE!$F$2,Nombres!$C$3:$D$636,56,FALSE)</f>
        <v>Tangible assets</v>
      </c>
      <c r="B148" s="44">
        <v>8472.838175011862</v>
      </c>
      <c r="C148" s="44">
        <v>8403.275632015326</v>
      </c>
      <c r="D148" s="44">
        <v>8766.525375628993</v>
      </c>
      <c r="E148" s="45">
        <v>9494.522610970555</v>
      </c>
      <c r="F148" s="44">
        <v>9879.546041816155</v>
      </c>
      <c r="G148" s="44">
        <v>0</v>
      </c>
      <c r="H148" s="44">
        <v>0</v>
      </c>
      <c r="I148" s="44">
        <v>0</v>
      </c>
    </row>
    <row r="149" spans="1:9" ht="14.25">
      <c r="A149" s="43" t="str">
        <f>HLOOKUP(INDICE!$F$2,Nombres!$C$3:$D$636,57,FALSE)</f>
        <v>Other assets</v>
      </c>
      <c r="B149" s="58">
        <f>+B150-B148-B145-B144-B143</f>
        <v>11641.81695001648</v>
      </c>
      <c r="C149" s="58">
        <f aca="true" t="shared" si="25" ref="C149:I149">+C150-C148-C145-C144-C143</f>
        <v>11468.086261020711</v>
      </c>
      <c r="D149" s="58">
        <f t="shared" si="25"/>
        <v>11632.17798033492</v>
      </c>
      <c r="E149" s="65">
        <f t="shared" si="25"/>
        <v>15608.289800451501</v>
      </c>
      <c r="F149" s="44">
        <f t="shared" si="25"/>
        <v>19810.462740132236</v>
      </c>
      <c r="G149" s="44">
        <f t="shared" si="25"/>
        <v>0</v>
      </c>
      <c r="H149" s="44">
        <f t="shared" si="25"/>
        <v>0</v>
      </c>
      <c r="I149" s="44">
        <f t="shared" si="25"/>
        <v>0</v>
      </c>
    </row>
    <row r="150" spans="1:9" ht="14.25">
      <c r="A150" s="47" t="str">
        <f>HLOOKUP(INDICE!$F$2,Nombres!$C$3:$D$636,58,FALSE)</f>
        <v>Total assets / Liabilities and equity</v>
      </c>
      <c r="B150" s="47">
        <v>572567.8454758018</v>
      </c>
      <c r="C150" s="47">
        <v>611450.584388115</v>
      </c>
      <c r="D150" s="47">
        <v>633836.9024774927</v>
      </c>
      <c r="E150" s="71">
        <v>856807.0040508426</v>
      </c>
      <c r="F150" s="51">
        <v>953347.1616943588</v>
      </c>
      <c r="G150" s="51">
        <v>0</v>
      </c>
      <c r="H150" s="51">
        <v>0</v>
      </c>
      <c r="I150" s="51">
        <v>0</v>
      </c>
    </row>
    <row r="151" spans="1:9" ht="14.25">
      <c r="A151" s="43" t="str">
        <f>HLOOKUP(INDICE!$F$2,Nombres!$C$3:$D$636,59,FALSE)</f>
        <v>Financial liabilities held for trading and designated at fair value through profit or loss</v>
      </c>
      <c r="B151" s="58">
        <v>20049.71157502807</v>
      </c>
      <c r="C151" s="58">
        <v>20328.40673603707</v>
      </c>
      <c r="D151" s="58">
        <v>20582.83306626808</v>
      </c>
      <c r="E151" s="65">
        <v>34607.25203089266</v>
      </c>
      <c r="F151" s="44">
        <v>35790.48184065852</v>
      </c>
      <c r="G151" s="44">
        <v>0</v>
      </c>
      <c r="H151" s="44">
        <v>0</v>
      </c>
      <c r="I151" s="44">
        <v>0</v>
      </c>
    </row>
    <row r="152" spans="1:9" ht="14.25">
      <c r="A152" s="43" t="str">
        <f>HLOOKUP(INDICE!$F$2,Nombres!$C$3:$D$636,60,FALSE)</f>
        <v>Deposits from central banks and credit institutions</v>
      </c>
      <c r="B152" s="58">
        <v>45429.71510006361</v>
      </c>
      <c r="C152" s="58">
        <v>38696.79364607059</v>
      </c>
      <c r="D152" s="58">
        <v>39956.44263433215</v>
      </c>
      <c r="E152" s="65">
        <v>62255.5822923069</v>
      </c>
      <c r="F152" s="44">
        <v>59876.70912539791</v>
      </c>
      <c r="G152" s="44">
        <v>0</v>
      </c>
      <c r="H152" s="44">
        <v>0</v>
      </c>
      <c r="I152" s="44">
        <v>0</v>
      </c>
    </row>
    <row r="153" spans="1:9" ht="14.25">
      <c r="A153" s="43" t="str">
        <f>HLOOKUP(INDICE!$F$2,Nombres!$C$3:$D$636,61,FALSE)</f>
        <v>Deposits from customers</v>
      </c>
      <c r="B153" s="58">
        <v>370417.8006505186</v>
      </c>
      <c r="C153" s="58">
        <v>411379.0934137504</v>
      </c>
      <c r="D153" s="58">
        <v>425124.392928206</v>
      </c>
      <c r="E153" s="65">
        <v>584070.8377666885</v>
      </c>
      <c r="F153" s="44">
        <v>653843.2247411691</v>
      </c>
      <c r="G153" s="44">
        <v>0</v>
      </c>
      <c r="H153" s="44">
        <v>0</v>
      </c>
      <c r="I153" s="44">
        <v>0</v>
      </c>
    </row>
    <row r="154" spans="1:9" ht="14.25">
      <c r="A154" s="43" t="str">
        <f>HLOOKUP(INDICE!$F$2,Nombres!$C$3:$D$636,62,FALSE)</f>
        <v>Debt certificates</v>
      </c>
      <c r="B154" s="44">
        <v>41260.72078874927</v>
      </c>
      <c r="C154" s="44">
        <v>39937.99849362808</v>
      </c>
      <c r="D154" s="44">
        <v>40893.96399400432</v>
      </c>
      <c r="E154" s="45">
        <v>55117.8485309626</v>
      </c>
      <c r="F154" s="44">
        <v>57770.458519149965</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32724.210065416075</v>
      </c>
      <c r="C156" s="58">
        <f aca="true" t="shared" si="26" ref="C156:I156">+C150-C151-C152-C153-C154-C157</f>
        <v>38033.72368721239</v>
      </c>
      <c r="D156" s="58">
        <f t="shared" si="26"/>
        <v>38464.95510939622</v>
      </c>
      <c r="E156" s="65">
        <f t="shared" si="26"/>
        <v>32990.96694645952</v>
      </c>
      <c r="F156" s="44">
        <f t="shared" si="26"/>
        <v>41809.356360191974</v>
      </c>
      <c r="G156" s="44">
        <f t="shared" si="26"/>
        <v>0</v>
      </c>
      <c r="H156" s="44">
        <f t="shared" si="26"/>
        <v>0</v>
      </c>
      <c r="I156" s="44">
        <f t="shared" si="26"/>
        <v>0</v>
      </c>
    </row>
    <row r="157" spans="1:9" ht="15.75" customHeight="1">
      <c r="A157" s="43" t="str">
        <f>HLOOKUP(INDICE!$F$2,Nombres!$C$3:$D$636,282,FALSE)</f>
        <v>Regulatory capital allocated</v>
      </c>
      <c r="B157" s="44">
        <v>62685.68729602627</v>
      </c>
      <c r="C157" s="44">
        <v>63074.568411416345</v>
      </c>
      <c r="D157" s="44">
        <v>68814.3147452859</v>
      </c>
      <c r="E157" s="44">
        <v>87764.51648353235</v>
      </c>
      <c r="F157" s="44">
        <v>104256.93110779129</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HLOOKUP(INDICE!$F$2,Nombres!$C$3:$D$636,77,FALSE)</f>
        <v>(Million Turkish liras)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Loans and advances to customers (gross) (*)</v>
      </c>
      <c r="B163" s="44">
        <v>381867.6266505346</v>
      </c>
      <c r="C163" s="44">
        <v>404442.9685737377</v>
      </c>
      <c r="D163" s="44">
        <v>425794.67566100816</v>
      </c>
      <c r="E163" s="45">
        <v>509573.0817019196</v>
      </c>
      <c r="F163" s="44">
        <v>583368.8061678539</v>
      </c>
      <c r="G163" s="44">
        <v>0</v>
      </c>
      <c r="H163" s="44">
        <v>0</v>
      </c>
      <c r="I163" s="44">
        <v>0</v>
      </c>
    </row>
    <row r="164" spans="1:9" ht="14.25">
      <c r="A164" s="43" t="str">
        <f>HLOOKUP(INDICE!$F$2,Nombres!$C$3:$D$636,67,FALSE)</f>
        <v>Customer deposits under management (*)</v>
      </c>
      <c r="B164" s="44">
        <v>370393.72155051853</v>
      </c>
      <c r="C164" s="44">
        <v>411357.33674575033</v>
      </c>
      <c r="D164" s="44">
        <v>425101.0677317059</v>
      </c>
      <c r="E164" s="45">
        <v>583974.6534476888</v>
      </c>
      <c r="F164" s="44">
        <v>653814.3073763689</v>
      </c>
      <c r="G164" s="44">
        <v>0</v>
      </c>
      <c r="H164" s="44">
        <v>0</v>
      </c>
      <c r="I164" s="44">
        <v>0</v>
      </c>
    </row>
    <row r="165" spans="1:9" ht="14.25">
      <c r="A165" s="43" t="str">
        <f>HLOOKUP(INDICE!$F$2,Nombres!$C$3:$D$636,68,FALSE)</f>
        <v>Investment funds and managed portfolios</v>
      </c>
      <c r="B165" s="44">
        <v>11987.258675016783</v>
      </c>
      <c r="C165" s="44">
        <v>14997.279964027355</v>
      </c>
      <c r="D165" s="44">
        <v>20374.749657667388</v>
      </c>
      <c r="E165" s="45">
        <v>26229.00983291865</v>
      </c>
      <c r="F165" s="44">
        <v>34004.5414828556</v>
      </c>
      <c r="G165" s="44">
        <v>0</v>
      </c>
      <c r="H165" s="44">
        <v>0</v>
      </c>
      <c r="I165" s="44">
        <v>0</v>
      </c>
    </row>
    <row r="166" spans="1:9" ht="14.25">
      <c r="A166" s="43" t="str">
        <f>HLOOKUP(INDICE!$F$2,Nombres!$C$3:$D$636,69,FALSE)</f>
        <v>Pension funds</v>
      </c>
      <c r="B166" s="44">
        <v>23671.807275033145</v>
      </c>
      <c r="C166" s="44">
        <v>25619.51899104673</v>
      </c>
      <c r="D166" s="44">
        <v>26634.70719518809</v>
      </c>
      <c r="E166" s="45">
        <v>33100.96355089734</v>
      </c>
      <c r="F166" s="44">
        <v>37988.93426896212</v>
      </c>
      <c r="G166" s="44">
        <v>0</v>
      </c>
      <c r="H166" s="44">
        <v>0</v>
      </c>
      <c r="I166" s="44">
        <v>0</v>
      </c>
    </row>
    <row r="167" spans="1:15" ht="14.25">
      <c r="A167" s="43" t="str">
        <f>HLOOKUP(INDICE!$F$2,Nombres!$C$3:$D$636,70,FALSE)</f>
        <v>Other off balance-sheet funds</v>
      </c>
      <c r="B167" s="44">
        <v>0</v>
      </c>
      <c r="C167" s="44">
        <v>0</v>
      </c>
      <c r="D167" s="44">
        <v>0</v>
      </c>
      <c r="E167" s="45">
        <v>0</v>
      </c>
      <c r="F167" s="44">
        <v>0</v>
      </c>
      <c r="G167" s="44">
        <v>0</v>
      </c>
      <c r="H167" s="44">
        <v>0</v>
      </c>
      <c r="I167" s="44">
        <v>0</v>
      </c>
      <c r="N167" s="74"/>
      <c r="O167" s="74"/>
    </row>
    <row r="168" spans="1:15" ht="14.25">
      <c r="A168" s="62" t="str">
        <f>HLOOKUP(INDICE!$F$2,Nombres!$C$3:$D$636,71,FALSE)</f>
        <v>(*) Excluding repos. </v>
      </c>
      <c r="B168" s="58"/>
      <c r="C168" s="58"/>
      <c r="D168" s="58"/>
      <c r="E168" s="58"/>
      <c r="F168" s="44"/>
      <c r="G168" s="44"/>
      <c r="H168" s="44"/>
      <c r="I168" s="44"/>
      <c r="N168" s="74"/>
      <c r="O168" s="74"/>
    </row>
    <row r="169" spans="1:15" ht="14.25">
      <c r="A169" s="62">
        <f>HLOOKUP(INDICE!$F$2,Nombres!$C$3:$D$636,72,FALSE)</f>
        <v>0</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HLOOKUP(INDICE!$F$2,Nombres!$C$3:$D$636,283,FALSE)</f>
        <v>South America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659.8777555500001</v>
      </c>
      <c r="C8" s="41">
        <v>667.90775358</v>
      </c>
      <c r="D8" s="41">
        <v>732.88197283</v>
      </c>
      <c r="E8" s="42">
        <v>798.53109522</v>
      </c>
      <c r="F8" s="50">
        <v>809.3452602399998</v>
      </c>
      <c r="G8" s="50">
        <v>0</v>
      </c>
      <c r="H8" s="50">
        <v>0</v>
      </c>
      <c r="I8" s="50">
        <v>0</v>
      </c>
    </row>
    <row r="9" spans="1:9" ht="14.25">
      <c r="A9" s="43" t="str">
        <f>HLOOKUP(INDICE!$F$2,Nombres!$C$3:$D$636,34,FALSE)</f>
        <v>Net fees and commissions</v>
      </c>
      <c r="B9" s="44">
        <v>120.15356926</v>
      </c>
      <c r="C9" s="44">
        <v>146.68809574</v>
      </c>
      <c r="D9" s="44">
        <v>159.10616692</v>
      </c>
      <c r="E9" s="45">
        <v>162.84024071</v>
      </c>
      <c r="F9" s="44">
        <v>178.23668924000003</v>
      </c>
      <c r="G9" s="44">
        <v>0</v>
      </c>
      <c r="H9" s="44">
        <v>0</v>
      </c>
      <c r="I9" s="44">
        <v>0</v>
      </c>
    </row>
    <row r="10" spans="1:9" ht="14.25">
      <c r="A10" s="43" t="str">
        <f>HLOOKUP(INDICE!$F$2,Nombres!$C$3:$D$636,35,FALSE)</f>
        <v>Net trading income</v>
      </c>
      <c r="B10" s="44">
        <v>74.42403224</v>
      </c>
      <c r="C10" s="44">
        <v>105.54285952999999</v>
      </c>
      <c r="D10" s="44">
        <v>70.48393611000002</v>
      </c>
      <c r="E10" s="45">
        <v>73.96165569</v>
      </c>
      <c r="F10" s="44">
        <v>93.22845095000001</v>
      </c>
      <c r="G10" s="44">
        <v>0</v>
      </c>
      <c r="H10" s="44">
        <v>0</v>
      </c>
      <c r="I10" s="44">
        <v>0</v>
      </c>
    </row>
    <row r="11" spans="1:9" ht="14.25">
      <c r="A11" s="43" t="str">
        <f>HLOOKUP(INDICE!$F$2,Nombres!$C$3:$D$636,36,FALSE)</f>
        <v>Other operating income and expenses</v>
      </c>
      <c r="B11" s="44">
        <v>-140.19099999999997</v>
      </c>
      <c r="C11" s="44">
        <v>-154.58100000000002</v>
      </c>
      <c r="D11" s="44">
        <v>-148.22700000000003</v>
      </c>
      <c r="E11" s="45">
        <v>-167.86100000000005</v>
      </c>
      <c r="F11" s="44">
        <v>-199.326</v>
      </c>
      <c r="G11" s="44">
        <v>0</v>
      </c>
      <c r="H11" s="44">
        <v>0</v>
      </c>
      <c r="I11" s="44">
        <v>0</v>
      </c>
    </row>
    <row r="12" spans="1:9" ht="14.25">
      <c r="A12" s="41" t="str">
        <f>HLOOKUP(INDICE!$F$2,Nombres!$C$3:$D$636,37,FALSE)</f>
        <v>Gross income</v>
      </c>
      <c r="B12" s="41">
        <f>+SUM(B8:B11)</f>
        <v>714.2643570500002</v>
      </c>
      <c r="C12" s="41">
        <f aca="true" t="shared" si="0" ref="C12:I12">+SUM(C8:C11)</f>
        <v>765.5577088499999</v>
      </c>
      <c r="D12" s="41">
        <f t="shared" si="0"/>
        <v>814.24507586</v>
      </c>
      <c r="E12" s="42">
        <f t="shared" si="0"/>
        <v>867.4719916199999</v>
      </c>
      <c r="F12" s="50">
        <f t="shared" si="0"/>
        <v>881.4844004299998</v>
      </c>
      <c r="G12" s="50">
        <f t="shared" si="0"/>
        <v>0</v>
      </c>
      <c r="H12" s="50">
        <f t="shared" si="0"/>
        <v>0</v>
      </c>
      <c r="I12" s="50">
        <f t="shared" si="0"/>
        <v>0</v>
      </c>
    </row>
    <row r="13" spans="1:9" ht="14.25">
      <c r="A13" s="43" t="str">
        <f>HLOOKUP(INDICE!$F$2,Nombres!$C$3:$D$636,38,FALSE)</f>
        <v>Operating expenses</v>
      </c>
      <c r="B13" s="44">
        <v>-342.53702811000005</v>
      </c>
      <c r="C13" s="44">
        <v>-350.82946807</v>
      </c>
      <c r="D13" s="44">
        <v>-396.50146483000003</v>
      </c>
      <c r="E13" s="45">
        <v>-432.4261928200001</v>
      </c>
      <c r="F13" s="44">
        <v>-412.74003183</v>
      </c>
      <c r="G13" s="44">
        <v>0</v>
      </c>
      <c r="H13" s="44">
        <v>0</v>
      </c>
      <c r="I13" s="44">
        <v>0</v>
      </c>
    </row>
    <row r="14" spans="1:9" ht="14.25">
      <c r="A14" s="43" t="str">
        <f>HLOOKUP(INDICE!$F$2,Nombres!$C$3:$D$636,39,FALSE)</f>
        <v>  Administration expenses</v>
      </c>
      <c r="B14" s="44">
        <v>-308.13902811</v>
      </c>
      <c r="C14" s="44">
        <v>-315.34146807</v>
      </c>
      <c r="D14" s="44">
        <v>-359.88646483</v>
      </c>
      <c r="E14" s="45">
        <v>-393.90419282</v>
      </c>
      <c r="F14" s="44">
        <v>-378.11303183000007</v>
      </c>
      <c r="G14" s="44">
        <v>0</v>
      </c>
      <c r="H14" s="44">
        <v>0</v>
      </c>
      <c r="I14" s="44">
        <v>0</v>
      </c>
    </row>
    <row r="15" spans="1:9" ht="14.25">
      <c r="A15" s="46" t="str">
        <f>HLOOKUP(INDICE!$F$2,Nombres!$C$3:$D$636,40,FALSE)</f>
        <v>  Personnel expenses</v>
      </c>
      <c r="B15" s="44">
        <v>-165.87710144000002</v>
      </c>
      <c r="C15" s="44">
        <v>-166.23455489999998</v>
      </c>
      <c r="D15" s="44">
        <v>-186.48427492000002</v>
      </c>
      <c r="E15" s="45">
        <v>-205.72601752</v>
      </c>
      <c r="F15" s="44">
        <v>-200.64723098000002</v>
      </c>
      <c r="G15" s="44">
        <v>0</v>
      </c>
      <c r="H15" s="44">
        <v>0</v>
      </c>
      <c r="I15" s="44">
        <v>0</v>
      </c>
    </row>
    <row r="16" spans="1:9" ht="14.25">
      <c r="A16" s="46" t="str">
        <f>HLOOKUP(INDICE!$F$2,Nombres!$C$3:$D$636,41,FALSE)</f>
        <v>  General and administrative expenses</v>
      </c>
      <c r="B16" s="44">
        <v>-142.26192667000004</v>
      </c>
      <c r="C16" s="44">
        <v>-149.10691316999998</v>
      </c>
      <c r="D16" s="44">
        <v>-173.40218991</v>
      </c>
      <c r="E16" s="45">
        <v>-188.17817530000002</v>
      </c>
      <c r="F16" s="44">
        <v>-177.46580085</v>
      </c>
      <c r="G16" s="44">
        <v>0</v>
      </c>
      <c r="H16" s="44">
        <v>0</v>
      </c>
      <c r="I16" s="44">
        <v>0</v>
      </c>
    </row>
    <row r="17" spans="1:9" ht="14.25">
      <c r="A17" s="43" t="str">
        <f>HLOOKUP(INDICE!$F$2,Nombres!$C$3:$D$636,42,FALSE)</f>
        <v>  Depreciation</v>
      </c>
      <c r="B17" s="44">
        <v>-34.397999999999996</v>
      </c>
      <c r="C17" s="44">
        <v>-35.488</v>
      </c>
      <c r="D17" s="44">
        <v>-36.615</v>
      </c>
      <c r="E17" s="45">
        <v>-38.522000000000006</v>
      </c>
      <c r="F17" s="44">
        <v>-34.627</v>
      </c>
      <c r="G17" s="44">
        <v>0</v>
      </c>
      <c r="H17" s="44">
        <v>0</v>
      </c>
      <c r="I17" s="44">
        <v>0</v>
      </c>
    </row>
    <row r="18" spans="1:9" ht="14.25">
      <c r="A18" s="41" t="str">
        <f>HLOOKUP(INDICE!$F$2,Nombres!$C$3:$D$636,43,FALSE)</f>
        <v>Operating income</v>
      </c>
      <c r="B18" s="41">
        <f>+B12+B13</f>
        <v>371.7273289400001</v>
      </c>
      <c r="C18" s="41">
        <f aca="true" t="shared" si="1" ref="C18:I18">+C12+C13</f>
        <v>414.7282407799999</v>
      </c>
      <c r="D18" s="41">
        <f t="shared" si="1"/>
        <v>417.74361103</v>
      </c>
      <c r="E18" s="42">
        <f t="shared" si="1"/>
        <v>435.04579879999983</v>
      </c>
      <c r="F18" s="50">
        <f t="shared" si="1"/>
        <v>468.7443685999998</v>
      </c>
      <c r="G18" s="50">
        <f t="shared" si="1"/>
        <v>0</v>
      </c>
      <c r="H18" s="50">
        <f t="shared" si="1"/>
        <v>0</v>
      </c>
      <c r="I18" s="50">
        <f t="shared" si="1"/>
        <v>0</v>
      </c>
    </row>
    <row r="19" spans="1:9" ht="14.25">
      <c r="A19" s="43" t="str">
        <f>HLOOKUP(INDICE!$F$2,Nombres!$C$3:$D$636,44,FALSE)</f>
        <v>Impaiment on financial assets not measured at fair value through profit or loss</v>
      </c>
      <c r="B19" s="44">
        <v>-159.254</v>
      </c>
      <c r="C19" s="44">
        <v>-184.08600000000004</v>
      </c>
      <c r="D19" s="44">
        <v>-164.624</v>
      </c>
      <c r="E19" s="45">
        <v>-114.34799999999998</v>
      </c>
      <c r="F19" s="44">
        <v>-140.98599999999996</v>
      </c>
      <c r="G19" s="44">
        <v>0</v>
      </c>
      <c r="H19" s="44">
        <v>0</v>
      </c>
      <c r="I19" s="44">
        <v>0</v>
      </c>
    </row>
    <row r="20" spans="1:9" ht="14.25">
      <c r="A20" s="43" t="str">
        <f>HLOOKUP(INDICE!$F$2,Nombres!$C$3:$D$636,45,FALSE)</f>
        <v>Provisions or reversal of provisions and other results</v>
      </c>
      <c r="B20" s="44">
        <v>-15.966793999999998</v>
      </c>
      <c r="C20" s="44">
        <v>-13.527615</v>
      </c>
      <c r="D20" s="44">
        <v>-17.842942999999998</v>
      </c>
      <c r="E20" s="45">
        <v>-29.586426000000003</v>
      </c>
      <c r="F20" s="44">
        <v>-16.292266</v>
      </c>
      <c r="G20" s="44">
        <v>0</v>
      </c>
      <c r="H20" s="44">
        <v>0</v>
      </c>
      <c r="I20" s="44">
        <v>0</v>
      </c>
    </row>
    <row r="21" spans="1:9" ht="14.25">
      <c r="A21" s="41" t="str">
        <f>HLOOKUP(INDICE!$F$2,Nombres!$C$3:$D$636,46,FALSE)</f>
        <v>Profit/(loss) before tax</v>
      </c>
      <c r="B21" s="41">
        <f>+B18+B19+B20</f>
        <v>196.50653494000014</v>
      </c>
      <c r="C21" s="41">
        <f aca="true" t="shared" si="2" ref="C21:I21">+C18+C19+C20</f>
        <v>217.11462577999987</v>
      </c>
      <c r="D21" s="41">
        <f t="shared" si="2"/>
        <v>235.27666803000002</v>
      </c>
      <c r="E21" s="42">
        <f t="shared" si="2"/>
        <v>291.11137279999986</v>
      </c>
      <c r="F21" s="50">
        <f t="shared" si="2"/>
        <v>311.46610259999983</v>
      </c>
      <c r="G21" s="50">
        <f t="shared" si="2"/>
        <v>0</v>
      </c>
      <c r="H21" s="50">
        <f t="shared" si="2"/>
        <v>0</v>
      </c>
      <c r="I21" s="50">
        <f t="shared" si="2"/>
        <v>0</v>
      </c>
    </row>
    <row r="22" spans="1:9" ht="14.25">
      <c r="A22" s="43" t="str">
        <f>HLOOKUP(INDICE!$F$2,Nombres!$C$3:$D$636,47,FALSE)</f>
        <v>Income tax</v>
      </c>
      <c r="B22" s="44">
        <v>-57.47451337</v>
      </c>
      <c r="C22" s="44">
        <v>-70.3317353</v>
      </c>
      <c r="D22" s="44">
        <v>-74.38511543000001</v>
      </c>
      <c r="E22" s="45">
        <v>-78.58547755000004</v>
      </c>
      <c r="F22" s="44">
        <v>-87.51025711</v>
      </c>
      <c r="G22" s="44">
        <v>0</v>
      </c>
      <c r="H22" s="44">
        <v>0</v>
      </c>
      <c r="I22" s="44">
        <v>0</v>
      </c>
    </row>
    <row r="23" spans="1:9" ht="14.25">
      <c r="A23" s="41" t="str">
        <f>HLOOKUP(INDICE!$F$2,Nombres!$C$3:$D$636,48,FALSE)</f>
        <v>Profit/(loss) for the year</v>
      </c>
      <c r="B23" s="41">
        <f>+B21+B22</f>
        <v>139.03202157000015</v>
      </c>
      <c r="C23" s="41">
        <f aca="true" t="shared" si="3" ref="C23:I23">+C21+C22</f>
        <v>146.78289047999988</v>
      </c>
      <c r="D23" s="41">
        <f t="shared" si="3"/>
        <v>160.8915526</v>
      </c>
      <c r="E23" s="42">
        <f t="shared" si="3"/>
        <v>212.52589524999982</v>
      </c>
      <c r="F23" s="50">
        <f t="shared" si="3"/>
        <v>223.95584548999983</v>
      </c>
      <c r="G23" s="50">
        <f t="shared" si="3"/>
        <v>0</v>
      </c>
      <c r="H23" s="50">
        <f t="shared" si="3"/>
        <v>0</v>
      </c>
      <c r="I23" s="50">
        <f t="shared" si="3"/>
        <v>0</v>
      </c>
    </row>
    <row r="24" spans="1:9" ht="14.25">
      <c r="A24" s="43" t="str">
        <f>HLOOKUP(INDICE!$F$2,Nombres!$C$3:$D$636,49,FALSE)</f>
        <v>Non-controlling interests</v>
      </c>
      <c r="B24" s="44">
        <v>-39.13709874999999</v>
      </c>
      <c r="C24" s="44">
        <v>-36.19065583</v>
      </c>
      <c r="D24" s="44">
        <v>-43.94528358999999</v>
      </c>
      <c r="E24" s="45">
        <v>-64.34477244000001</v>
      </c>
      <c r="F24" s="44">
        <v>-66.08692095999999</v>
      </c>
      <c r="G24" s="44">
        <v>0</v>
      </c>
      <c r="H24" s="44">
        <v>0</v>
      </c>
      <c r="I24" s="44">
        <v>0</v>
      </c>
    </row>
    <row r="25" spans="1:9" ht="14.25">
      <c r="A25" s="47" t="str">
        <f>HLOOKUP(INDICE!$F$2,Nombres!$C$3:$D$636,50,FALSE)</f>
        <v>Net attributable profit</v>
      </c>
      <c r="B25" s="47">
        <f>+B23+B24</f>
        <v>99.89492282000016</v>
      </c>
      <c r="C25" s="47">
        <f aca="true" t="shared" si="4" ref="C25:I25">+C23+C24</f>
        <v>110.59223464999988</v>
      </c>
      <c r="D25" s="47">
        <f t="shared" si="4"/>
        <v>116.94626901000002</v>
      </c>
      <c r="E25" s="47">
        <f t="shared" si="4"/>
        <v>148.1811228099998</v>
      </c>
      <c r="F25" s="51">
        <f t="shared" si="4"/>
        <v>157.86892452999984</v>
      </c>
      <c r="G25" s="51">
        <f t="shared" si="4"/>
        <v>0</v>
      </c>
      <c r="H25" s="51">
        <f t="shared" si="4"/>
        <v>0</v>
      </c>
      <c r="I25" s="51">
        <f t="shared" si="4"/>
        <v>0</v>
      </c>
    </row>
    <row r="26" spans="1:9" ht="14.25">
      <c r="A26" s="62"/>
      <c r="B26" s="63">
        <v>1.2789769243681803E-13</v>
      </c>
      <c r="C26" s="63">
        <v>0</v>
      </c>
      <c r="D26" s="63">
        <v>0</v>
      </c>
      <c r="E26" s="63">
        <v>-2.8421709430404007E-13</v>
      </c>
      <c r="F26" s="63">
        <v>0</v>
      </c>
      <c r="G26" s="63">
        <v>0</v>
      </c>
      <c r="H26" s="63">
        <v>0</v>
      </c>
      <c r="I26" s="63">
        <v>0</v>
      </c>
    </row>
    <row r="27" spans="1:15" ht="14.25">
      <c r="A27" s="41"/>
      <c r="B27" s="41"/>
      <c r="C27" s="41"/>
      <c r="D27" s="41"/>
      <c r="E27" s="41"/>
      <c r="F27" s="41"/>
      <c r="G27" s="41"/>
      <c r="H27" s="41"/>
      <c r="I27" s="41"/>
      <c r="N27" s="163"/>
      <c r="O27" s="163"/>
    </row>
    <row r="28" spans="1:15" ht="16.5">
      <c r="A28" s="33" t="str">
        <f>HLOOKUP(INDICE!$F$2,Nombres!$C$3:$D$636,51,FALSE)</f>
        <v>Balance sheets</v>
      </c>
      <c r="B28" s="34"/>
      <c r="C28" s="34"/>
      <c r="D28" s="34"/>
      <c r="E28" s="34"/>
      <c r="F28" s="34"/>
      <c r="G28" s="34"/>
      <c r="H28" s="34"/>
      <c r="I28" s="34"/>
      <c r="N28" s="163"/>
      <c r="O28" s="163"/>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10" ht="14.25">
      <c r="A31" s="43" t="str">
        <f>HLOOKUP(INDICE!$F$2,Nombres!$C$3:$D$636,52,FALSE)</f>
        <v>Cash, cash balances at central banks and other demand deposits</v>
      </c>
      <c r="B31" s="44">
        <v>6794.749999999998</v>
      </c>
      <c r="C31" s="44">
        <v>7127.522</v>
      </c>
      <c r="D31" s="44">
        <v>7852.526999999999</v>
      </c>
      <c r="E31" s="45">
        <v>8549.476</v>
      </c>
      <c r="F31" s="44">
        <v>8269.488</v>
      </c>
      <c r="G31" s="44">
        <v>0</v>
      </c>
      <c r="H31" s="44">
        <v>0</v>
      </c>
      <c r="I31" s="44">
        <v>0</v>
      </c>
      <c r="J31" s="82"/>
    </row>
    <row r="32" spans="1:10" ht="14.25">
      <c r="A32" s="43" t="str">
        <f>HLOOKUP(INDICE!$F$2,Nombres!$C$3:$D$636,53,FALSE)</f>
        <v>Financial assets designated at fair value </v>
      </c>
      <c r="B32" s="58">
        <v>7432.951999999999</v>
      </c>
      <c r="C32" s="58">
        <v>7266.091</v>
      </c>
      <c r="D32" s="58">
        <v>7357.267</v>
      </c>
      <c r="E32" s="65">
        <v>7174.592</v>
      </c>
      <c r="F32" s="44">
        <v>9977.302</v>
      </c>
      <c r="G32" s="44">
        <v>0</v>
      </c>
      <c r="H32" s="44">
        <v>0</v>
      </c>
      <c r="I32" s="44">
        <v>0</v>
      </c>
      <c r="J32" s="82"/>
    </row>
    <row r="33" spans="1:10" ht="14.25">
      <c r="A33" s="43" t="str">
        <f>HLOOKUP(INDICE!$F$2,Nombres!$C$3:$D$636,54,FALSE)</f>
        <v>Financial assets at amortized cost</v>
      </c>
      <c r="B33" s="44">
        <v>36380.903999999995</v>
      </c>
      <c r="C33" s="44">
        <v>36356.060999999994</v>
      </c>
      <c r="D33" s="44">
        <v>36364.706</v>
      </c>
      <c r="E33" s="45">
        <v>37746.981999999996</v>
      </c>
      <c r="F33" s="44">
        <v>40535.475</v>
      </c>
      <c r="G33" s="44">
        <v>0</v>
      </c>
      <c r="H33" s="44">
        <v>0</v>
      </c>
      <c r="I33" s="44">
        <v>0</v>
      </c>
      <c r="J33" s="82"/>
    </row>
    <row r="34" spans="1:10" ht="14.25">
      <c r="A34" s="43" t="str">
        <f>HLOOKUP(INDICE!$F$2,Nombres!$C$3:$D$636,55,FALSE)</f>
        <v>    of which loans and advances to customers</v>
      </c>
      <c r="B34" s="44">
        <v>32443.496999999996</v>
      </c>
      <c r="C34" s="44">
        <v>32634.762</v>
      </c>
      <c r="D34" s="44">
        <v>32421.622000000003</v>
      </c>
      <c r="E34" s="45">
        <v>34608.019</v>
      </c>
      <c r="F34" s="44">
        <v>37974.615000000005</v>
      </c>
      <c r="G34" s="44">
        <v>0</v>
      </c>
      <c r="H34" s="44">
        <v>0</v>
      </c>
      <c r="I34" s="44">
        <v>0</v>
      </c>
      <c r="J34" s="82"/>
    </row>
    <row r="35" spans="1:10" ht="14.25">
      <c r="A35" s="43"/>
      <c r="B35" s="44"/>
      <c r="C35" s="44"/>
      <c r="D35" s="44"/>
      <c r="E35" s="45"/>
      <c r="F35" s="44"/>
      <c r="G35" s="44"/>
      <c r="H35" s="44"/>
      <c r="I35" s="44"/>
      <c r="J35" s="82"/>
    </row>
    <row r="36" spans="1:10" ht="14.25">
      <c r="A36" s="43" t="str">
        <f>HLOOKUP(INDICE!$F$2,Nombres!$C$3:$D$636,56,FALSE)</f>
        <v>Tangible assets</v>
      </c>
      <c r="B36" s="44">
        <v>805.5433658399999</v>
      </c>
      <c r="C36" s="44">
        <v>799.439</v>
      </c>
      <c r="D36" s="44">
        <v>813.9630000000001</v>
      </c>
      <c r="E36" s="45">
        <v>894.5609999999999</v>
      </c>
      <c r="F36" s="44">
        <v>992.9409999999999</v>
      </c>
      <c r="G36" s="44">
        <v>0</v>
      </c>
      <c r="H36" s="44">
        <v>0</v>
      </c>
      <c r="I36" s="44">
        <v>0</v>
      </c>
      <c r="J36" s="82"/>
    </row>
    <row r="37" spans="1:10" ht="14.25">
      <c r="A37" s="43" t="str">
        <f>HLOOKUP(INDICE!$F$2,Nombres!$C$3:$D$636,57,FALSE)</f>
        <v>Other assets</v>
      </c>
      <c r="B37" s="58">
        <f aca="true" t="shared" si="5" ref="B37:I37">+B38-B36-B33-B32-B31</f>
        <v>1750.1792020199937</v>
      </c>
      <c r="C37" s="58">
        <f t="shared" si="5"/>
        <v>1794.0877783200021</v>
      </c>
      <c r="D37" s="58">
        <f t="shared" si="5"/>
        <v>1750.8512304400092</v>
      </c>
      <c r="E37" s="65">
        <f t="shared" si="5"/>
        <v>1758.2016149600004</v>
      </c>
      <c r="F37" s="44">
        <f t="shared" si="5"/>
        <v>1862.290709829993</v>
      </c>
      <c r="G37" s="44">
        <f t="shared" si="5"/>
        <v>0</v>
      </c>
      <c r="H37" s="44">
        <f t="shared" si="5"/>
        <v>0</v>
      </c>
      <c r="I37" s="44">
        <f t="shared" si="5"/>
        <v>0</v>
      </c>
      <c r="J37" s="82"/>
    </row>
    <row r="38" spans="1:10" ht="14.25">
      <c r="A38" s="47" t="str">
        <f>HLOOKUP(INDICE!$F$2,Nombres!$C$3:$D$636,58,FALSE)</f>
        <v>Total assets / Liabilities and equity</v>
      </c>
      <c r="B38" s="47">
        <v>53164.328567859986</v>
      </c>
      <c r="C38" s="47">
        <v>53343.200778319995</v>
      </c>
      <c r="D38" s="47">
        <v>54139.31423044001</v>
      </c>
      <c r="E38" s="47">
        <v>56123.81261496</v>
      </c>
      <c r="F38" s="51">
        <v>61637.49670982999</v>
      </c>
      <c r="G38" s="51">
        <v>0</v>
      </c>
      <c r="H38" s="51">
        <v>0</v>
      </c>
      <c r="I38" s="51">
        <v>0</v>
      </c>
      <c r="J38" s="82"/>
    </row>
    <row r="39" spans="1:10" ht="14.25">
      <c r="A39" s="43" t="str">
        <f>HLOOKUP(INDICE!$F$2,Nombres!$C$3:$D$636,59,FALSE)</f>
        <v>Financial liabilities held for trading and designated at fair value through profit or loss</v>
      </c>
      <c r="B39" s="58">
        <v>1222.644</v>
      </c>
      <c r="C39" s="58">
        <v>1176.6830000000002</v>
      </c>
      <c r="D39" s="58">
        <v>1588.1860000000001</v>
      </c>
      <c r="E39" s="65">
        <v>1883.662</v>
      </c>
      <c r="F39" s="44">
        <v>2583.813</v>
      </c>
      <c r="G39" s="44">
        <v>0</v>
      </c>
      <c r="H39" s="44">
        <v>0</v>
      </c>
      <c r="I39" s="44">
        <v>0</v>
      </c>
      <c r="J39" s="82"/>
    </row>
    <row r="40" spans="1:10" ht="15.75" customHeight="1">
      <c r="A40" s="43" t="str">
        <f>HLOOKUP(INDICE!$F$2,Nombres!$C$3:$D$636,60,FALSE)</f>
        <v>Deposits from central banks and credit institutions</v>
      </c>
      <c r="B40" s="58">
        <v>5196.62500001</v>
      </c>
      <c r="C40" s="58">
        <v>5348.602999999999</v>
      </c>
      <c r="D40" s="58">
        <v>5239.848999989999</v>
      </c>
      <c r="E40" s="65">
        <v>5501.245</v>
      </c>
      <c r="F40" s="44">
        <v>6513.56600001</v>
      </c>
      <c r="G40" s="44">
        <v>0</v>
      </c>
      <c r="H40" s="44">
        <v>0</v>
      </c>
      <c r="I40" s="44">
        <v>0</v>
      </c>
      <c r="J40" s="82"/>
    </row>
    <row r="41" spans="1:10" ht="14.25">
      <c r="A41" s="43" t="str">
        <f>HLOOKUP(INDICE!$F$2,Nombres!$C$3:$D$636,61,FALSE)</f>
        <v>Deposits from customers</v>
      </c>
      <c r="B41" s="58">
        <v>34919.717999989996</v>
      </c>
      <c r="C41" s="58">
        <v>35236.349</v>
      </c>
      <c r="D41" s="58">
        <v>35458.31500001</v>
      </c>
      <c r="E41" s="65">
        <v>36340.104999999996</v>
      </c>
      <c r="F41" s="44">
        <v>38875.17499999</v>
      </c>
      <c r="G41" s="44">
        <v>0</v>
      </c>
      <c r="H41" s="44">
        <v>0</v>
      </c>
      <c r="I41" s="44">
        <v>0</v>
      </c>
      <c r="J41" s="82"/>
    </row>
    <row r="42" spans="1:10" ht="14.25">
      <c r="A42" s="43" t="str">
        <f>HLOOKUP(INDICE!$F$2,Nombres!$C$3:$D$636,62,FALSE)</f>
        <v>Debt certificates</v>
      </c>
      <c r="B42" s="44">
        <v>3233.9270526300006</v>
      </c>
      <c r="C42" s="44">
        <v>3133.04524343</v>
      </c>
      <c r="D42" s="44">
        <v>3159.1872175900003</v>
      </c>
      <c r="E42" s="45">
        <v>3214.71881898</v>
      </c>
      <c r="F42" s="44">
        <v>3383.66458862</v>
      </c>
      <c r="G42" s="44">
        <v>0</v>
      </c>
      <c r="H42" s="44">
        <v>0</v>
      </c>
      <c r="I42" s="44">
        <v>0</v>
      </c>
      <c r="J42" s="82"/>
    </row>
    <row r="43" spans="1:10" ht="14.25">
      <c r="A43" s="43"/>
      <c r="B43" s="44"/>
      <c r="C43" s="44"/>
      <c r="D43" s="44"/>
      <c r="E43" s="45"/>
      <c r="F43" s="44"/>
      <c r="G43" s="44"/>
      <c r="H43" s="44"/>
      <c r="I43" s="44"/>
      <c r="J43" s="82"/>
    </row>
    <row r="44" spans="1:10" ht="14.25">
      <c r="A44" s="43" t="str">
        <f>HLOOKUP(INDICE!$F$2,Nombres!$C$3:$D$636,63,FALSE)</f>
        <v>Other liabilities</v>
      </c>
      <c r="B44" s="58">
        <f aca="true" t="shared" si="6" ref="B44:I44">+B38-B39-B40-B41-B42-B45</f>
        <v>4044.7450244599922</v>
      </c>
      <c r="C44" s="58">
        <f t="shared" si="6"/>
        <v>3992.8996800699997</v>
      </c>
      <c r="D44" s="58">
        <f>+D38-D39-D40-D41-D42-D45</f>
        <v>4076.4331153800103</v>
      </c>
      <c r="E44" s="65">
        <f t="shared" si="6"/>
        <v>4206.903091690005</v>
      </c>
      <c r="F44" s="44">
        <f t="shared" si="6"/>
        <v>4686.023669419986</v>
      </c>
      <c r="G44" s="44">
        <f t="shared" si="6"/>
        <v>0</v>
      </c>
      <c r="H44" s="44">
        <f t="shared" si="6"/>
        <v>0</v>
      </c>
      <c r="I44" s="44">
        <f t="shared" si="6"/>
        <v>0</v>
      </c>
      <c r="J44" s="82"/>
    </row>
    <row r="45" spans="1:10" ht="14.25">
      <c r="A45" s="43" t="str">
        <f>HLOOKUP(INDICE!$F$2,Nombres!$C$3:$D$636,282,FALSE)</f>
        <v>Regulatory capital allocated</v>
      </c>
      <c r="B45" s="44">
        <v>4546.669490769999</v>
      </c>
      <c r="C45" s="44">
        <v>4455.62085482</v>
      </c>
      <c r="D45" s="58">
        <v>4617.34389747</v>
      </c>
      <c r="E45" s="65">
        <v>4977.17870429</v>
      </c>
      <c r="F45" s="44">
        <v>5595.25445179</v>
      </c>
      <c r="G45" s="44">
        <v>0</v>
      </c>
      <c r="H45" s="44">
        <v>0</v>
      </c>
      <c r="I45" s="44">
        <v>0</v>
      </c>
      <c r="J45" s="82"/>
    </row>
    <row r="46" spans="1:10" ht="14.25">
      <c r="A46" s="62"/>
      <c r="B46" s="58"/>
      <c r="C46" s="58"/>
      <c r="D46" s="58"/>
      <c r="E46" s="58"/>
      <c r="F46" s="44"/>
      <c r="G46" s="44"/>
      <c r="H46" s="44"/>
      <c r="I46" s="44"/>
      <c r="J46" s="82"/>
    </row>
    <row r="47" spans="1:10" ht="14.25">
      <c r="A47" s="43"/>
      <c r="B47" s="58"/>
      <c r="C47" s="58"/>
      <c r="D47" s="58"/>
      <c r="E47" s="58"/>
      <c r="F47" s="44"/>
      <c r="G47" s="44"/>
      <c r="H47" s="44"/>
      <c r="I47" s="44"/>
      <c r="J47" s="82"/>
    </row>
    <row r="48" spans="1:10" ht="16.5">
      <c r="A48" s="33" t="str">
        <f>HLOOKUP(INDICE!$F$2,Nombres!$C$3:$D$636,65,FALSE)</f>
        <v>Relevant business indicators</v>
      </c>
      <c r="B48" s="34"/>
      <c r="C48" s="34"/>
      <c r="D48" s="34"/>
      <c r="E48" s="34"/>
      <c r="F48" s="69"/>
      <c r="G48" s="69"/>
      <c r="H48" s="69"/>
      <c r="I48" s="69"/>
      <c r="J48" s="82"/>
    </row>
    <row r="49" spans="1:10" ht="14.25">
      <c r="A49" s="35" t="str">
        <f>HLOOKUP(INDICE!$F$2,Nombres!$C$3:$D$636,32,FALSE)</f>
        <v>(Million euros)</v>
      </c>
      <c r="B49" s="30"/>
      <c r="C49" s="30"/>
      <c r="D49" s="30"/>
      <c r="E49" s="30"/>
      <c r="F49" s="70"/>
      <c r="G49" s="44"/>
      <c r="H49" s="44"/>
      <c r="I49" s="44"/>
      <c r="J49" s="82"/>
    </row>
    <row r="50" spans="1:10"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c r="J50" s="82"/>
    </row>
    <row r="51" spans="1:10" ht="14.25">
      <c r="A51" s="43" t="str">
        <f>HLOOKUP(INDICE!$F$2,Nombres!$C$3:$D$636,66,FALSE)</f>
        <v>Loans and advances to customers (gross) (*)</v>
      </c>
      <c r="B51" s="44">
        <v>34337.82003006</v>
      </c>
      <c r="C51" s="44">
        <v>34509.814344599996</v>
      </c>
      <c r="D51" s="44">
        <v>34229.01637415</v>
      </c>
      <c r="E51" s="45">
        <v>36329.22122551</v>
      </c>
      <c r="F51" s="44">
        <v>39794.069410359996</v>
      </c>
      <c r="G51" s="44">
        <v>0</v>
      </c>
      <c r="H51" s="44">
        <v>0</v>
      </c>
      <c r="I51" s="44">
        <v>0</v>
      </c>
      <c r="J51" s="82"/>
    </row>
    <row r="52" spans="1:10" ht="14.25">
      <c r="A52" s="43" t="str">
        <f>HLOOKUP(INDICE!$F$2,Nombres!$C$3:$D$636,67,FALSE)</f>
        <v>Customer deposits under management (*)</v>
      </c>
      <c r="B52" s="44">
        <v>34931.98349856999</v>
      </c>
      <c r="C52" s="44">
        <v>35235.611469610005</v>
      </c>
      <c r="D52" s="44">
        <v>35453.32985423</v>
      </c>
      <c r="E52" s="45">
        <v>36364.32316639999</v>
      </c>
      <c r="F52" s="44">
        <v>38892.96598518001</v>
      </c>
      <c r="G52" s="44">
        <v>0</v>
      </c>
      <c r="H52" s="44">
        <v>0</v>
      </c>
      <c r="I52" s="44">
        <v>0</v>
      </c>
      <c r="J52" s="82"/>
    </row>
    <row r="53" spans="1:10" ht="14.25">
      <c r="A53" s="43" t="str">
        <f>HLOOKUP(INDICE!$F$2,Nombres!$C$3:$D$636,68,FALSE)</f>
        <v>Investment funds and managed portfolios</v>
      </c>
      <c r="B53" s="44">
        <v>5176.273867</v>
      </c>
      <c r="C53" s="44">
        <v>4653.72200139</v>
      </c>
      <c r="D53" s="44">
        <v>4690.867094689999</v>
      </c>
      <c r="E53" s="45">
        <v>5728.47216985</v>
      </c>
      <c r="F53" s="44">
        <v>6100.543357230001</v>
      </c>
      <c r="G53" s="44">
        <v>0</v>
      </c>
      <c r="H53" s="44">
        <v>0</v>
      </c>
      <c r="I53" s="44">
        <v>0</v>
      </c>
      <c r="J53" s="82"/>
    </row>
    <row r="54" spans="1:10" ht="14.25">
      <c r="A54" s="43" t="str">
        <f>HLOOKUP(INDICE!$F$2,Nombres!$C$3:$D$636,69,FALSE)</f>
        <v>Pension funds</v>
      </c>
      <c r="B54" s="44">
        <v>9644.26944677</v>
      </c>
      <c r="C54" s="44">
        <v>9723.71141773</v>
      </c>
      <c r="D54" s="44">
        <v>10139.32699649</v>
      </c>
      <c r="E54" s="45">
        <v>10494.68899456</v>
      </c>
      <c r="F54" s="44">
        <v>10877.21268134</v>
      </c>
      <c r="G54" s="44">
        <v>0</v>
      </c>
      <c r="H54" s="44">
        <v>0</v>
      </c>
      <c r="I54" s="44">
        <v>0</v>
      </c>
      <c r="J54" s="82"/>
    </row>
    <row r="55" spans="1:10" ht="14.25">
      <c r="A55" s="43" t="str">
        <f>HLOOKUP(INDICE!$F$2,Nombres!$C$3:$D$636,70,FALSE)</f>
        <v>Other off balance-sheet funds</v>
      </c>
      <c r="B55" s="44">
        <v>0</v>
      </c>
      <c r="C55" s="44">
        <v>0</v>
      </c>
      <c r="D55" s="44">
        <v>0</v>
      </c>
      <c r="E55" s="45">
        <v>0</v>
      </c>
      <c r="F55" s="44">
        <v>0</v>
      </c>
      <c r="G55" s="44">
        <v>0</v>
      </c>
      <c r="H55" s="44">
        <v>0</v>
      </c>
      <c r="I55" s="44">
        <v>0</v>
      </c>
      <c r="J55" s="82"/>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637.3179410563234</v>
      </c>
      <c r="C64" s="41">
        <v>678.1041574734425</v>
      </c>
      <c r="D64" s="41">
        <v>746.737440624356</v>
      </c>
      <c r="E64" s="42">
        <v>815.3139194518787</v>
      </c>
      <c r="F64" s="50">
        <v>809.3452602399999</v>
      </c>
      <c r="G64" s="50">
        <v>0</v>
      </c>
      <c r="H64" s="50">
        <v>0</v>
      </c>
      <c r="I64" s="50">
        <v>0</v>
      </c>
    </row>
    <row r="65" spans="1:9" ht="14.25">
      <c r="A65" s="43" t="str">
        <f>HLOOKUP(INDICE!$F$2,Nombres!$C$3:$D$636,34,FALSE)</f>
        <v>Net fees and commissions</v>
      </c>
      <c r="B65" s="44">
        <v>118.86006906507353</v>
      </c>
      <c r="C65" s="44">
        <v>150.31579801450596</v>
      </c>
      <c r="D65" s="44">
        <v>163.68590925421591</v>
      </c>
      <c r="E65" s="45">
        <v>167.73481743799135</v>
      </c>
      <c r="F65" s="44">
        <v>178.23668924</v>
      </c>
      <c r="G65" s="44">
        <v>0</v>
      </c>
      <c r="H65" s="44">
        <v>0</v>
      </c>
      <c r="I65" s="44">
        <v>0</v>
      </c>
    </row>
    <row r="66" spans="1:9" ht="14.25">
      <c r="A66" s="43" t="str">
        <f>HLOOKUP(INDICE!$F$2,Nombres!$C$3:$D$636,35,FALSE)</f>
        <v>Net trading income</v>
      </c>
      <c r="B66" s="44">
        <v>72.70682935535726</v>
      </c>
      <c r="C66" s="44">
        <v>108.97429149222549</v>
      </c>
      <c r="D66" s="44">
        <v>73.36505598016022</v>
      </c>
      <c r="E66" s="45">
        <v>77.3418678417125</v>
      </c>
      <c r="F66" s="44">
        <v>93.22845095</v>
      </c>
      <c r="G66" s="44">
        <v>0</v>
      </c>
      <c r="H66" s="44">
        <v>0</v>
      </c>
      <c r="I66" s="44">
        <v>0</v>
      </c>
    </row>
    <row r="67" spans="1:9" ht="14.25">
      <c r="A67" s="43" t="str">
        <f>HLOOKUP(INDICE!$F$2,Nombres!$C$3:$D$636,36,FALSE)</f>
        <v>Other operating income and expenses</v>
      </c>
      <c r="B67" s="44">
        <v>-136.98668776016513</v>
      </c>
      <c r="C67" s="44">
        <v>-154.53566300985995</v>
      </c>
      <c r="D67" s="44">
        <v>-147.13969633549308</v>
      </c>
      <c r="E67" s="45">
        <v>-168.1286788561433</v>
      </c>
      <c r="F67" s="44">
        <v>-199.326</v>
      </c>
      <c r="G67" s="44">
        <v>0</v>
      </c>
      <c r="H67" s="44">
        <v>0</v>
      </c>
      <c r="I67" s="44">
        <v>0</v>
      </c>
    </row>
    <row r="68" spans="1:9" ht="14.25">
      <c r="A68" s="41" t="str">
        <f>HLOOKUP(INDICE!$F$2,Nombres!$C$3:$D$636,37,FALSE)</f>
        <v>Gross income</v>
      </c>
      <c r="B68" s="41">
        <f>+SUM(B64:B67)</f>
        <v>691.8981517165892</v>
      </c>
      <c r="C68" s="41">
        <f aca="true" t="shared" si="9" ref="C68:I68">+SUM(C64:C67)</f>
        <v>782.8585839703139</v>
      </c>
      <c r="D68" s="41">
        <f t="shared" si="9"/>
        <v>836.6487095232392</v>
      </c>
      <c r="E68" s="42">
        <f t="shared" si="9"/>
        <v>892.2619258754391</v>
      </c>
      <c r="F68" s="50">
        <f t="shared" si="9"/>
        <v>881.4844004299998</v>
      </c>
      <c r="G68" s="50">
        <f t="shared" si="9"/>
        <v>0</v>
      </c>
      <c r="H68" s="50">
        <f t="shared" si="9"/>
        <v>0</v>
      </c>
      <c r="I68" s="50">
        <f t="shared" si="9"/>
        <v>0</v>
      </c>
    </row>
    <row r="69" spans="1:9" ht="14.25">
      <c r="A69" s="43" t="str">
        <f>HLOOKUP(INDICE!$F$2,Nombres!$C$3:$D$636,38,FALSE)</f>
        <v>Operating expenses</v>
      </c>
      <c r="B69" s="44">
        <v>-332.92103740798206</v>
      </c>
      <c r="C69" s="44">
        <v>-358.3863504359978</v>
      </c>
      <c r="D69" s="44">
        <v>-403.9388466195062</v>
      </c>
      <c r="E69" s="45">
        <v>-442.20478457383956</v>
      </c>
      <c r="F69" s="44">
        <v>-412.74003183</v>
      </c>
      <c r="G69" s="44">
        <v>0</v>
      </c>
      <c r="H69" s="44">
        <v>0</v>
      </c>
      <c r="I69" s="44">
        <v>0</v>
      </c>
    </row>
    <row r="70" spans="1:9" ht="14.25">
      <c r="A70" s="43" t="str">
        <f>HLOOKUP(INDICE!$F$2,Nombres!$C$3:$D$636,39,FALSE)</f>
        <v>  Administration expenses</v>
      </c>
      <c r="B70" s="44">
        <v>-298.67703706395207</v>
      </c>
      <c r="C70" s="44">
        <v>-321.79355187174633</v>
      </c>
      <c r="D70" s="44">
        <v>-365.6762583254626</v>
      </c>
      <c r="E70" s="45">
        <v>-402.452194258032</v>
      </c>
      <c r="F70" s="44">
        <v>-378.11303183</v>
      </c>
      <c r="G70" s="44">
        <v>0</v>
      </c>
      <c r="H70" s="44">
        <v>0</v>
      </c>
      <c r="I70" s="44">
        <v>0</v>
      </c>
    </row>
    <row r="71" spans="1:9" ht="14.25">
      <c r="A71" s="46" t="str">
        <f>HLOOKUP(INDICE!$F$2,Nombres!$C$3:$D$636,40,FALSE)</f>
        <v>  Personnel expenses</v>
      </c>
      <c r="B71" s="44">
        <v>-160.89620785100254</v>
      </c>
      <c r="C71" s="44">
        <v>-169.9373692195727</v>
      </c>
      <c r="D71" s="44">
        <v>-190.01889659318113</v>
      </c>
      <c r="E71" s="45">
        <v>-210.93997311255916</v>
      </c>
      <c r="F71" s="44">
        <v>-200.64723098000002</v>
      </c>
      <c r="G71" s="44">
        <v>0</v>
      </c>
      <c r="H71" s="44">
        <v>0</v>
      </c>
      <c r="I71" s="44">
        <v>0</v>
      </c>
    </row>
    <row r="72" spans="1:9" ht="14.25">
      <c r="A72" s="46" t="str">
        <f>HLOOKUP(INDICE!$F$2,Nombres!$C$3:$D$636,41,FALSE)</f>
        <v>  General and administrative expenses</v>
      </c>
      <c r="B72" s="44">
        <v>-137.78082921294953</v>
      </c>
      <c r="C72" s="44">
        <v>-151.85618265217363</v>
      </c>
      <c r="D72" s="44">
        <v>-175.6573617322814</v>
      </c>
      <c r="E72" s="45">
        <v>-191.5122211454729</v>
      </c>
      <c r="F72" s="44">
        <v>-177.46580085000002</v>
      </c>
      <c r="G72" s="44">
        <v>0</v>
      </c>
      <c r="H72" s="44">
        <v>0</v>
      </c>
      <c r="I72" s="44">
        <v>0</v>
      </c>
    </row>
    <row r="73" spans="1:9" ht="14.25">
      <c r="A73" s="43" t="str">
        <f>HLOOKUP(INDICE!$F$2,Nombres!$C$3:$D$636,42,FALSE)</f>
        <v>  Depreciation</v>
      </c>
      <c r="B73" s="44">
        <v>-34.24400034403</v>
      </c>
      <c r="C73" s="44">
        <v>-36.592798564251495</v>
      </c>
      <c r="D73" s="44">
        <v>-38.26258829404361</v>
      </c>
      <c r="E73" s="45">
        <v>-39.75259031580741</v>
      </c>
      <c r="F73" s="44">
        <v>-34.627</v>
      </c>
      <c r="G73" s="44">
        <v>0</v>
      </c>
      <c r="H73" s="44">
        <v>0</v>
      </c>
      <c r="I73" s="44">
        <v>0</v>
      </c>
    </row>
    <row r="74" spans="1:9" ht="14.25">
      <c r="A74" s="41" t="str">
        <f>HLOOKUP(INDICE!$F$2,Nombres!$C$3:$D$636,43,FALSE)</f>
        <v>Operating income</v>
      </c>
      <c r="B74" s="41">
        <f>+B68+B69</f>
        <v>358.9771143086071</v>
      </c>
      <c r="C74" s="41">
        <f aca="true" t="shared" si="10" ref="C74:I74">+C68+C69</f>
        <v>424.4722335343161</v>
      </c>
      <c r="D74" s="41">
        <f t="shared" si="10"/>
        <v>432.709862903733</v>
      </c>
      <c r="E74" s="42">
        <f t="shared" si="10"/>
        <v>450.0571413015996</v>
      </c>
      <c r="F74" s="50">
        <f t="shared" si="10"/>
        <v>468.7443685999998</v>
      </c>
      <c r="G74" s="50">
        <f t="shared" si="10"/>
        <v>0</v>
      </c>
      <c r="H74" s="50">
        <f t="shared" si="10"/>
        <v>0</v>
      </c>
      <c r="I74" s="50">
        <f t="shared" si="10"/>
        <v>0</v>
      </c>
    </row>
    <row r="75" spans="1:9" ht="14.25">
      <c r="A75" s="43" t="str">
        <f>HLOOKUP(INDICE!$F$2,Nombres!$C$3:$D$636,44,FALSE)</f>
        <v>Impaiment on financial assets not measured at fair value through profit or loss</v>
      </c>
      <c r="B75" s="44">
        <v>-157.71238633206585</v>
      </c>
      <c r="C75" s="44">
        <v>-189.81092131222985</v>
      </c>
      <c r="D75" s="44">
        <v>-173.6360780693813</v>
      </c>
      <c r="E75" s="45">
        <v>-118.36267017629845</v>
      </c>
      <c r="F75" s="44">
        <v>-140.986</v>
      </c>
      <c r="G75" s="44">
        <v>0</v>
      </c>
      <c r="H75" s="44">
        <v>0</v>
      </c>
      <c r="I75" s="44">
        <v>0</v>
      </c>
    </row>
    <row r="76" spans="1:9" ht="14.25">
      <c r="A76" s="43" t="str">
        <f>HLOOKUP(INDICE!$F$2,Nombres!$C$3:$D$636,45,FALSE)</f>
        <v>Provisions or reversal of provisions and other results</v>
      </c>
      <c r="B76" s="44">
        <v>-15.749969962131225</v>
      </c>
      <c r="C76" s="44">
        <v>-14.243672490807217</v>
      </c>
      <c r="D76" s="44">
        <v>-19.203533674573602</v>
      </c>
      <c r="E76" s="45">
        <v>-30.078553270302766</v>
      </c>
      <c r="F76" s="44">
        <v>-16.292266000000005</v>
      </c>
      <c r="G76" s="44">
        <v>0</v>
      </c>
      <c r="H76" s="44">
        <v>0</v>
      </c>
      <c r="I76" s="44">
        <v>0</v>
      </c>
    </row>
    <row r="77" spans="1:9" ht="14.25">
      <c r="A77" s="41" t="str">
        <f>HLOOKUP(INDICE!$F$2,Nombres!$C$3:$D$636,46,FALSE)</f>
        <v>Profit/(loss) before tax</v>
      </c>
      <c r="B77" s="41">
        <f>+B74+B75+B76</f>
        <v>185.51475801441003</v>
      </c>
      <c r="C77" s="41">
        <f aca="true" t="shared" si="11" ref="C77:I77">+C74+C75+C76</f>
        <v>220.41763973127902</v>
      </c>
      <c r="D77" s="41">
        <f t="shared" si="11"/>
        <v>239.87025115977806</v>
      </c>
      <c r="E77" s="42">
        <f t="shared" si="11"/>
        <v>301.6159178549983</v>
      </c>
      <c r="F77" s="50">
        <f t="shared" si="11"/>
        <v>311.46610259999983</v>
      </c>
      <c r="G77" s="50">
        <f t="shared" si="11"/>
        <v>0</v>
      </c>
      <c r="H77" s="50">
        <f t="shared" si="11"/>
        <v>0</v>
      </c>
      <c r="I77" s="50">
        <f t="shared" si="11"/>
        <v>0</v>
      </c>
    </row>
    <row r="78" spans="1:9" ht="14.25">
      <c r="A78" s="43" t="str">
        <f>HLOOKUP(INDICE!$F$2,Nombres!$C$3:$D$636,47,FALSE)</f>
        <v>Income tax</v>
      </c>
      <c r="B78" s="44">
        <v>-54.32008013108299</v>
      </c>
      <c r="C78" s="44">
        <v>-72.69241611441973</v>
      </c>
      <c r="D78" s="44">
        <v>-75.70059932567419</v>
      </c>
      <c r="E78" s="45">
        <v>-80.96868790925154</v>
      </c>
      <c r="F78" s="44">
        <v>-87.51025710999998</v>
      </c>
      <c r="G78" s="44">
        <v>0</v>
      </c>
      <c r="H78" s="44">
        <v>0</v>
      </c>
      <c r="I78" s="44">
        <v>0</v>
      </c>
    </row>
    <row r="79" spans="1:9" ht="14.25">
      <c r="A79" s="41" t="str">
        <f>HLOOKUP(INDICE!$F$2,Nombres!$C$3:$D$636,48,FALSE)</f>
        <v>Profit/(loss) for the year</v>
      </c>
      <c r="B79" s="41">
        <f>+B77+B78</f>
        <v>131.19467788332705</v>
      </c>
      <c r="C79" s="41">
        <f aca="true" t="shared" si="12" ref="C79:I79">+C77+C78</f>
        <v>147.7252236168593</v>
      </c>
      <c r="D79" s="41">
        <f t="shared" si="12"/>
        <v>164.1696518341039</v>
      </c>
      <c r="E79" s="42">
        <f t="shared" si="12"/>
        <v>220.64722994574677</v>
      </c>
      <c r="F79" s="50">
        <f t="shared" si="12"/>
        <v>223.95584548999983</v>
      </c>
      <c r="G79" s="50">
        <f t="shared" si="12"/>
        <v>0</v>
      </c>
      <c r="H79" s="50">
        <f t="shared" si="12"/>
        <v>0</v>
      </c>
      <c r="I79" s="50">
        <f t="shared" si="12"/>
        <v>0</v>
      </c>
    </row>
    <row r="80" spans="1:9" ht="14.25">
      <c r="A80" s="43" t="str">
        <f>HLOOKUP(INDICE!$F$2,Nombres!$C$3:$D$636,49,FALSE)</f>
        <v>Non-controlling interests</v>
      </c>
      <c r="B80" s="44">
        <v>-37.31640752406723</v>
      </c>
      <c r="C80" s="44">
        <v>-37.3482105294781</v>
      </c>
      <c r="D80" s="44">
        <v>-45.82367095620625</v>
      </c>
      <c r="E80" s="45">
        <v>-68.13795023357164</v>
      </c>
      <c r="F80" s="44">
        <v>-66.08692096000001</v>
      </c>
      <c r="G80" s="44">
        <v>0</v>
      </c>
      <c r="H80" s="44">
        <v>0</v>
      </c>
      <c r="I80" s="44">
        <v>0</v>
      </c>
    </row>
    <row r="81" spans="1:9" ht="14.25">
      <c r="A81" s="47" t="str">
        <f>HLOOKUP(INDICE!$F$2,Nombres!$C$3:$D$636,50,FALSE)</f>
        <v>Net attributable profit</v>
      </c>
      <c r="B81" s="47">
        <f>+B79+B80</f>
        <v>93.87827035925982</v>
      </c>
      <c r="C81" s="47">
        <f aca="true" t="shared" si="13" ref="C81:I81">+C79+C80</f>
        <v>110.37701308738119</v>
      </c>
      <c r="D81" s="47">
        <f t="shared" si="13"/>
        <v>118.34598087789763</v>
      </c>
      <c r="E81" s="47">
        <f t="shared" si="13"/>
        <v>152.50927971217513</v>
      </c>
      <c r="F81" s="51">
        <f t="shared" si="13"/>
        <v>157.86892452999982</v>
      </c>
      <c r="G81" s="51">
        <f t="shared" si="13"/>
        <v>0</v>
      </c>
      <c r="H81" s="51">
        <f t="shared" si="13"/>
        <v>0</v>
      </c>
      <c r="I81" s="51">
        <f t="shared" si="13"/>
        <v>0</v>
      </c>
    </row>
    <row r="82" spans="1:9" ht="14.25">
      <c r="A82" s="62"/>
      <c r="B82" s="63">
        <v>0</v>
      </c>
      <c r="C82" s="63">
        <v>0</v>
      </c>
      <c r="D82" s="63">
        <v>0</v>
      </c>
      <c r="E82" s="63">
        <v>-3.979039320256561E-13</v>
      </c>
      <c r="F82" s="63">
        <v>0</v>
      </c>
      <c r="G82" s="63">
        <v>0</v>
      </c>
      <c r="H82" s="63">
        <v>0</v>
      </c>
      <c r="I82" s="63">
        <v>0</v>
      </c>
    </row>
    <row r="83" spans="1:15" ht="14.25">
      <c r="A83" s="41"/>
      <c r="B83" s="41"/>
      <c r="C83" s="41"/>
      <c r="D83" s="41"/>
      <c r="E83" s="41"/>
      <c r="F83" s="50"/>
      <c r="G83" s="50"/>
      <c r="H83" s="50"/>
      <c r="I83" s="50"/>
      <c r="N83" s="163"/>
      <c r="O83" s="163"/>
    </row>
    <row r="84" spans="1:15" ht="16.5">
      <c r="A84" s="33" t="str">
        <f>HLOOKUP(INDICE!$F$2,Nombres!$C$3:$D$636,51,FALSE)</f>
        <v>Balance sheets</v>
      </c>
      <c r="B84" s="34"/>
      <c r="C84" s="34"/>
      <c r="D84" s="34"/>
      <c r="E84" s="34"/>
      <c r="F84" s="69"/>
      <c r="G84" s="69"/>
      <c r="H84" s="69"/>
      <c r="I84" s="69"/>
      <c r="N84" s="163"/>
      <c r="O84" s="163"/>
    </row>
    <row r="85" spans="1:15" ht="14.25">
      <c r="A85" s="35" t="str">
        <f>HLOOKUP(INDICE!$F$2,Nombres!$C$3:$D$636,73,FALSE)</f>
        <v>(Constant million euros)    </v>
      </c>
      <c r="B85" s="30"/>
      <c r="C85" s="52"/>
      <c r="D85" s="52"/>
      <c r="E85" s="52"/>
      <c r="F85" s="70"/>
      <c r="G85" s="44"/>
      <c r="H85" s="44"/>
      <c r="I85" s="44"/>
      <c r="N85" s="163"/>
      <c r="O85" s="163"/>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6957.083135892488</v>
      </c>
      <c r="C87" s="44">
        <v>7550.198581694192</v>
      </c>
      <c r="D87" s="44">
        <v>8467.341023898116</v>
      </c>
      <c r="E87" s="45">
        <v>9038.733091474962</v>
      </c>
      <c r="F87" s="44">
        <v>8269.488</v>
      </c>
      <c r="G87" s="44">
        <v>0</v>
      </c>
      <c r="H87" s="44">
        <v>0</v>
      </c>
      <c r="I87" s="44">
        <v>0</v>
      </c>
    </row>
    <row r="88" spans="1:9" ht="14.25">
      <c r="A88" s="43" t="str">
        <f>HLOOKUP(INDICE!$F$2,Nombres!$C$3:$D$636,53,FALSE)</f>
        <v>Financial assets designated at fair value </v>
      </c>
      <c r="B88" s="58">
        <v>7708.471193284203</v>
      </c>
      <c r="C88" s="58">
        <v>7770.971134201608</v>
      </c>
      <c r="D88" s="58">
        <v>7908.804080329184</v>
      </c>
      <c r="E88" s="65">
        <v>7592.22530735756</v>
      </c>
      <c r="F88" s="44">
        <v>9977.302</v>
      </c>
      <c r="G88" s="44">
        <v>0</v>
      </c>
      <c r="H88" s="44">
        <v>0</v>
      </c>
      <c r="I88" s="44">
        <v>0</v>
      </c>
    </row>
    <row r="89" spans="1:9" ht="14.25">
      <c r="A89" s="43" t="str">
        <f>HLOOKUP(INDICE!$F$2,Nombres!$C$3:$D$636,54,FALSE)</f>
        <v>Financial assets at amortized cost</v>
      </c>
      <c r="B89" s="44">
        <v>38076.816416782814</v>
      </c>
      <c r="C89" s="44">
        <v>39185.18226689658</v>
      </c>
      <c r="D89" s="44">
        <v>39756.4118591838</v>
      </c>
      <c r="E89" s="45">
        <v>40431.90359026031</v>
      </c>
      <c r="F89" s="44">
        <v>40535.475</v>
      </c>
      <c r="G89" s="44">
        <v>0</v>
      </c>
      <c r="H89" s="44">
        <v>0</v>
      </c>
      <c r="I89" s="44">
        <v>0</v>
      </c>
    </row>
    <row r="90" spans="1:9" ht="14.25">
      <c r="A90" s="43" t="str">
        <f>HLOOKUP(INDICE!$F$2,Nombres!$C$3:$D$636,55,FALSE)</f>
        <v>    of which loans and advances to customers</v>
      </c>
      <c r="B90" s="44">
        <v>33991.24336000284</v>
      </c>
      <c r="C90" s="44">
        <v>35313.29585826639</v>
      </c>
      <c r="D90" s="44">
        <v>35589.823109065976</v>
      </c>
      <c r="E90" s="45">
        <v>37251.8800590174</v>
      </c>
      <c r="F90" s="44">
        <v>37974.615000000005</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820.3356291490019</v>
      </c>
      <c r="C92" s="44">
        <v>831.8720835185601</v>
      </c>
      <c r="D92" s="44">
        <v>854.7289852501311</v>
      </c>
      <c r="E92" s="45">
        <v>924.3867751953568</v>
      </c>
      <c r="F92" s="44">
        <v>992.9409999999999</v>
      </c>
      <c r="G92" s="44">
        <v>0</v>
      </c>
      <c r="H92" s="44">
        <v>0</v>
      </c>
      <c r="I92" s="44">
        <v>0</v>
      </c>
    </row>
    <row r="93" spans="1:9" ht="14.25">
      <c r="A93" s="43" t="str">
        <f>HLOOKUP(INDICE!$F$2,Nombres!$C$3:$D$636,57,FALSE)</f>
        <v>Other assets</v>
      </c>
      <c r="B93" s="58">
        <f>+B94-B92-B89-B88-B87</f>
        <v>1774.2735879714564</v>
      </c>
      <c r="C93" s="58">
        <f aca="true" t="shared" si="15" ref="C93:I93">+C94-C92-C89-C88-C87</f>
        <v>1870.9416121524664</v>
      </c>
      <c r="D93" s="58">
        <f t="shared" si="15"/>
        <v>1851.8926508817785</v>
      </c>
      <c r="E93" s="65">
        <f t="shared" si="15"/>
        <v>1855.3038883336376</v>
      </c>
      <c r="F93" s="44">
        <f t="shared" si="15"/>
        <v>1862.290709829993</v>
      </c>
      <c r="G93" s="44">
        <f t="shared" si="15"/>
        <v>0</v>
      </c>
      <c r="H93" s="44">
        <f t="shared" si="15"/>
        <v>0</v>
      </c>
      <c r="I93" s="44">
        <f t="shared" si="15"/>
        <v>0</v>
      </c>
    </row>
    <row r="94" spans="1:9" ht="14.25">
      <c r="A94" s="47" t="str">
        <f>HLOOKUP(INDICE!$F$2,Nombres!$C$3:$D$636,58,FALSE)</f>
        <v>Total assets / Liabilities and equity</v>
      </c>
      <c r="B94" s="47">
        <v>55336.97996307997</v>
      </c>
      <c r="C94" s="47">
        <v>57209.16567846341</v>
      </c>
      <c r="D94" s="47">
        <v>58839.17859954301</v>
      </c>
      <c r="E94" s="47">
        <v>59842.552652621824</v>
      </c>
      <c r="F94" s="51">
        <v>61637.49670982999</v>
      </c>
      <c r="G94" s="51">
        <v>0</v>
      </c>
      <c r="H94" s="51">
        <v>0</v>
      </c>
      <c r="I94" s="51">
        <v>0</v>
      </c>
    </row>
    <row r="95" spans="1:9" ht="14.25">
      <c r="A95" s="43" t="str">
        <f>HLOOKUP(INDICE!$F$2,Nombres!$C$3:$D$636,59,FALSE)</f>
        <v>Financial liabilities held for trading and designated at fair value through profit or loss</v>
      </c>
      <c r="B95" s="58">
        <v>1291.6664507482333</v>
      </c>
      <c r="C95" s="58">
        <v>1280.118995756556</v>
      </c>
      <c r="D95" s="58">
        <v>1742.665600136438</v>
      </c>
      <c r="E95" s="65">
        <v>2044.497671502029</v>
      </c>
      <c r="F95" s="44">
        <v>2583.813</v>
      </c>
      <c r="G95" s="44">
        <v>0</v>
      </c>
      <c r="H95" s="44">
        <v>0</v>
      </c>
      <c r="I95" s="44">
        <v>0</v>
      </c>
    </row>
    <row r="96" spans="1:9" ht="14.25">
      <c r="A96" s="43" t="str">
        <f>HLOOKUP(INDICE!$F$2,Nombres!$C$3:$D$636,60,FALSE)</f>
        <v>Deposits from central banks and credit institutions</v>
      </c>
      <c r="B96" s="58">
        <v>5502.839660667565</v>
      </c>
      <c r="C96" s="58">
        <v>5901.039777420661</v>
      </c>
      <c r="D96" s="58">
        <v>5970.83375876211</v>
      </c>
      <c r="E96" s="65">
        <v>5995.037511944061</v>
      </c>
      <c r="F96" s="44">
        <v>6513.56600001</v>
      </c>
      <c r="G96" s="44">
        <v>0</v>
      </c>
      <c r="H96" s="44">
        <v>0</v>
      </c>
      <c r="I96" s="44">
        <v>0</v>
      </c>
    </row>
    <row r="97" spans="1:9" ht="14.25">
      <c r="A97" s="43" t="str">
        <f>HLOOKUP(INDICE!$F$2,Nombres!$C$3:$D$636,61,FALSE)</f>
        <v>Deposits from customers</v>
      </c>
      <c r="B97" s="58">
        <v>36470.2578574974</v>
      </c>
      <c r="C97" s="58">
        <v>37851.988048560066</v>
      </c>
      <c r="D97" s="58">
        <v>38462.40897826164</v>
      </c>
      <c r="E97" s="65">
        <v>38731.92538656885</v>
      </c>
      <c r="F97" s="44">
        <v>38875.17499999</v>
      </c>
      <c r="G97" s="44">
        <v>0</v>
      </c>
      <c r="H97" s="44">
        <v>0</v>
      </c>
      <c r="I97" s="44">
        <v>0</v>
      </c>
    </row>
    <row r="98" spans="1:9" ht="14.25">
      <c r="A98" s="43" t="str">
        <f>HLOOKUP(INDICE!$F$2,Nombres!$C$3:$D$636,62,FALSE)</f>
        <v>Debt certificates</v>
      </c>
      <c r="B98" s="44">
        <v>3336.6252459849866</v>
      </c>
      <c r="C98" s="44">
        <v>3332.9327689608876</v>
      </c>
      <c r="D98" s="44">
        <v>3460.3922431728806</v>
      </c>
      <c r="E98" s="45">
        <v>3473.8590116522605</v>
      </c>
      <c r="F98" s="44">
        <v>3383.66458862</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4027.884531102466</v>
      </c>
      <c r="C100" s="58">
        <f aca="true" t="shared" si="16" ref="C100:I100">+C94-C95-C96-C97-C98-C101</f>
        <v>4075.2140344941818</v>
      </c>
      <c r="D100" s="58">
        <f t="shared" si="16"/>
        <v>4195.201744218635</v>
      </c>
      <c r="E100" s="65">
        <f t="shared" si="16"/>
        <v>4284.484664788088</v>
      </c>
      <c r="F100" s="44">
        <f t="shared" si="16"/>
        <v>4686.023669419986</v>
      </c>
      <c r="G100" s="44">
        <f t="shared" si="16"/>
        <v>0</v>
      </c>
      <c r="H100" s="44">
        <f t="shared" si="16"/>
        <v>0</v>
      </c>
      <c r="I100" s="44">
        <f t="shared" si="16"/>
        <v>0</v>
      </c>
    </row>
    <row r="101" spans="1:9" ht="14.25">
      <c r="A101" s="43" t="str">
        <f>HLOOKUP(INDICE!$F$2,Nombres!$C$3:$D$636,282,FALSE)</f>
        <v>Regulatory capital allocated</v>
      </c>
      <c r="B101" s="58">
        <v>4707.7062170793115</v>
      </c>
      <c r="C101" s="58">
        <v>4767.8720532710595</v>
      </c>
      <c r="D101" s="58">
        <v>5007.6762749913</v>
      </c>
      <c r="E101" s="65">
        <v>5312.748406166527</v>
      </c>
      <c r="F101" s="44">
        <v>5595.25445179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35979.13434273247</v>
      </c>
      <c r="C107" s="44">
        <v>37346.57129621419</v>
      </c>
      <c r="D107" s="44">
        <v>37578.42631701698</v>
      </c>
      <c r="E107" s="45">
        <v>39110.55514875605</v>
      </c>
      <c r="F107" s="44">
        <v>39794.069410359996</v>
      </c>
      <c r="G107" s="44">
        <v>0</v>
      </c>
      <c r="H107" s="44">
        <v>0</v>
      </c>
      <c r="I107" s="44">
        <v>0</v>
      </c>
    </row>
    <row r="108" spans="1:9" ht="14.25">
      <c r="A108" s="43" t="str">
        <f>HLOOKUP(INDICE!$F$2,Nombres!$C$3:$D$636,67,FALSE)</f>
        <v>Customer deposits under management (*)</v>
      </c>
      <c r="B108" s="44">
        <v>36484.548753645846</v>
      </c>
      <c r="C108" s="44">
        <v>37852.14525430509</v>
      </c>
      <c r="D108" s="44">
        <v>38457.523117570374</v>
      </c>
      <c r="E108" s="45">
        <v>38758.83051350182</v>
      </c>
      <c r="F108" s="44">
        <v>38892.96598518001</v>
      </c>
      <c r="G108" s="44">
        <v>0</v>
      </c>
      <c r="H108" s="44">
        <v>0</v>
      </c>
      <c r="I108" s="44">
        <v>0</v>
      </c>
    </row>
    <row r="109" spans="1:9" ht="14.25">
      <c r="A109" s="43" t="str">
        <f>HLOOKUP(INDICE!$F$2,Nombres!$C$3:$D$636,68,FALSE)</f>
        <v>Investment funds and managed portfolios</v>
      </c>
      <c r="B109" s="44">
        <v>5259.386430761815</v>
      </c>
      <c r="C109" s="44">
        <v>4887.663705383373</v>
      </c>
      <c r="D109" s="44">
        <v>4928.288864754171</v>
      </c>
      <c r="E109" s="45">
        <v>5986.207978061016</v>
      </c>
      <c r="F109" s="44">
        <v>6100.543357230001</v>
      </c>
      <c r="G109" s="44">
        <v>0</v>
      </c>
      <c r="H109" s="44">
        <v>0</v>
      </c>
      <c r="I109" s="44">
        <v>0</v>
      </c>
    </row>
    <row r="110" spans="1:9" ht="14.25">
      <c r="A110" s="43" t="str">
        <f>HLOOKUP(INDICE!$F$2,Nombres!$C$3:$D$636,69,FALSE)</f>
        <v>Pension funds</v>
      </c>
      <c r="B110" s="44">
        <v>10186.384943994773</v>
      </c>
      <c r="C110" s="44">
        <v>10409.565488540075</v>
      </c>
      <c r="D110" s="44">
        <v>10575.91814182421</v>
      </c>
      <c r="E110" s="45">
        <v>10707.400013739829</v>
      </c>
      <c r="F110" s="44">
        <v>10877.21268134</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20" spans="6:9" ht="14.25">
      <c r="F120" s="82"/>
      <c r="G120" s="82"/>
      <c r="H120" s="82"/>
      <c r="I120" s="82"/>
    </row>
    <row r="121" spans="6:9" ht="14.25">
      <c r="F121" s="82"/>
      <c r="G121" s="82"/>
      <c r="H121" s="82"/>
      <c r="I121" s="82"/>
    </row>
    <row r="122" spans="6:9" ht="14.25">
      <c r="F122" s="82"/>
      <c r="G122" s="82"/>
      <c r="H122" s="82"/>
      <c r="I122" s="82"/>
    </row>
    <row r="123" spans="6:9" ht="14.25">
      <c r="F123" s="82"/>
      <c r="G123" s="82"/>
      <c r="H123" s="82"/>
      <c r="I123" s="82"/>
    </row>
    <row r="124" spans="6:9" ht="14.25">
      <c r="F124" s="82"/>
      <c r="G124" s="82"/>
      <c r="H124" s="82"/>
      <c r="I124" s="82"/>
    </row>
    <row r="125" spans="6:9" ht="14.25">
      <c r="F125" s="82"/>
      <c r="G125" s="82"/>
      <c r="H125" s="82"/>
      <c r="I125" s="82"/>
    </row>
    <row r="126" spans="6:9" ht="14.25">
      <c r="F126" s="82"/>
      <c r="G126" s="82"/>
      <c r="H126" s="82"/>
      <c r="I126" s="82"/>
    </row>
    <row r="127" spans="6:9" ht="14.25">
      <c r="F127" s="82"/>
      <c r="G127" s="82"/>
      <c r="H127" s="82"/>
      <c r="I127" s="82"/>
    </row>
    <row r="128" spans="6:9" ht="14.25">
      <c r="F128" s="82"/>
      <c r="G128" s="82"/>
      <c r="H128" s="82"/>
      <c r="I128" s="82"/>
    </row>
    <row r="129" spans="6:9" ht="14.25">
      <c r="F129" s="82"/>
      <c r="G129" s="82"/>
      <c r="H129" s="82"/>
      <c r="I129" s="82"/>
    </row>
    <row r="130" spans="6:9" ht="14.25">
      <c r="F130" s="82"/>
      <c r="G130" s="82"/>
      <c r="H130" s="82"/>
      <c r="I130" s="82"/>
    </row>
    <row r="131" spans="6:9" ht="14.25">
      <c r="F131" s="82"/>
      <c r="G131" s="82"/>
      <c r="H131" s="82"/>
      <c r="I131" s="82"/>
    </row>
    <row r="132" spans="6:9" ht="14.25">
      <c r="F132" s="82"/>
      <c r="G132" s="82"/>
      <c r="H132" s="82"/>
      <c r="I132" s="82"/>
    </row>
    <row r="133" spans="6:9" ht="14.25">
      <c r="F133" s="82"/>
      <c r="G133" s="82"/>
      <c r="H133" s="82"/>
      <c r="I133" s="82"/>
    </row>
    <row r="134" spans="6:9" ht="14.25">
      <c r="F134" s="82"/>
      <c r="G134" s="82"/>
      <c r="H134" s="82"/>
      <c r="I134" s="82"/>
    </row>
    <row r="135" spans="6:9" ht="14.25">
      <c r="F135" s="82"/>
      <c r="G135" s="82"/>
      <c r="H135" s="82"/>
      <c r="I135" s="82"/>
    </row>
    <row r="136" spans="6:9" ht="14.25">
      <c r="F136" s="82"/>
      <c r="G136" s="82"/>
      <c r="H136" s="82"/>
      <c r="I136" s="82"/>
    </row>
    <row r="137" spans="6:9" ht="14.25">
      <c r="F137" s="82"/>
      <c r="G137" s="82"/>
      <c r="H137" s="82"/>
      <c r="I137" s="82"/>
    </row>
    <row r="138" spans="6:9" ht="14.25">
      <c r="F138" s="82"/>
      <c r="G138" s="82"/>
      <c r="H138" s="82"/>
      <c r="I138" s="82"/>
    </row>
    <row r="139" spans="6:9" ht="14.25">
      <c r="F139" s="82"/>
      <c r="G139" s="82"/>
      <c r="H139" s="82"/>
      <c r="I139" s="82"/>
    </row>
    <row r="140" spans="6:9" ht="14.25">
      <c r="F140" s="82"/>
      <c r="G140" s="82"/>
      <c r="H140" s="82"/>
      <c r="I140" s="82"/>
    </row>
    <row r="141" spans="6:9" ht="14.25">
      <c r="F141" s="82"/>
      <c r="G141" s="82"/>
      <c r="H141" s="82"/>
      <c r="I141" s="82"/>
    </row>
    <row r="142" spans="6:9" ht="14.25">
      <c r="F142" s="82"/>
      <c r="G142" s="82"/>
      <c r="H142" s="82"/>
      <c r="I142" s="82"/>
    </row>
    <row r="143" spans="6:9" ht="14.25">
      <c r="F143" s="82"/>
      <c r="G143" s="82"/>
      <c r="H143" s="82"/>
      <c r="I143" s="82"/>
    </row>
    <row r="144" spans="6:9" ht="14.25">
      <c r="F144" s="82"/>
      <c r="G144" s="82"/>
      <c r="H144" s="82"/>
      <c r="I144" s="82"/>
    </row>
    <row r="145" spans="6:9" ht="14.25">
      <c r="F145" s="82"/>
      <c r="G145" s="82"/>
      <c r="H145" s="82"/>
      <c r="I145" s="82"/>
    </row>
    <row r="146" spans="6:9" ht="14.25">
      <c r="F146" s="82"/>
      <c r="G146" s="82"/>
      <c r="H146" s="82"/>
      <c r="I146" s="82"/>
    </row>
    <row r="147" spans="6:9" ht="14.25">
      <c r="F147" s="82"/>
      <c r="G147" s="82"/>
      <c r="H147" s="82"/>
      <c r="I147" s="82"/>
    </row>
    <row r="148" spans="6:9" ht="14.25">
      <c r="F148" s="82"/>
      <c r="G148" s="82"/>
      <c r="H148" s="82"/>
      <c r="I148" s="82"/>
    </row>
    <row r="149" spans="6:9" ht="14.25">
      <c r="F149" s="82"/>
      <c r="G149" s="82"/>
      <c r="H149" s="82"/>
      <c r="I149" s="82"/>
    </row>
    <row r="150" spans="6:9" ht="14.25">
      <c r="F150" s="82"/>
      <c r="G150" s="82"/>
      <c r="H150" s="82"/>
      <c r="I150" s="82"/>
    </row>
    <row r="151" spans="6:9" ht="14.25">
      <c r="F151" s="82"/>
      <c r="G151" s="82"/>
      <c r="H151" s="82"/>
      <c r="I151" s="82"/>
    </row>
    <row r="152" spans="6:9" ht="14.25">
      <c r="F152" s="82"/>
      <c r="G152" s="82"/>
      <c r="H152" s="82"/>
      <c r="I152" s="82"/>
    </row>
    <row r="153" spans="6:9" ht="14.25">
      <c r="F153" s="82"/>
      <c r="G153" s="82"/>
      <c r="H153" s="82"/>
      <c r="I153" s="82"/>
    </row>
    <row r="154" spans="6:9" ht="14.25">
      <c r="F154" s="82"/>
      <c r="G154" s="82"/>
      <c r="H154" s="82"/>
      <c r="I154" s="82"/>
    </row>
    <row r="155" spans="6:9" ht="14.25">
      <c r="F155" s="82"/>
      <c r="G155" s="82"/>
      <c r="H155" s="82"/>
      <c r="I155" s="82"/>
    </row>
    <row r="156" spans="6:9" ht="14.25">
      <c r="F156" s="82"/>
      <c r="G156" s="82"/>
      <c r="H156" s="82"/>
      <c r="I156" s="82"/>
    </row>
    <row r="157" spans="6:9" ht="14.25">
      <c r="F157" s="82"/>
      <c r="G157" s="82"/>
      <c r="H157" s="82"/>
      <c r="I157" s="82"/>
    </row>
    <row r="158" spans="6:9" ht="14.25">
      <c r="F158" s="82"/>
      <c r="G158" s="82"/>
      <c r="H158" s="82"/>
      <c r="I158" s="82"/>
    </row>
    <row r="159" spans="6:9" ht="14.25">
      <c r="F159" s="82"/>
      <c r="G159" s="82"/>
      <c r="H159" s="82"/>
      <c r="I159" s="82"/>
    </row>
    <row r="160" spans="6:9" ht="14.25">
      <c r="F160" s="82"/>
      <c r="G160" s="82"/>
      <c r="H160" s="82"/>
      <c r="I160" s="82"/>
    </row>
    <row r="161" spans="6:9" ht="14.25">
      <c r="F161" s="82"/>
      <c r="G161" s="82"/>
      <c r="H161" s="82"/>
      <c r="I161" s="82"/>
    </row>
    <row r="162" spans="6:9" ht="14.25">
      <c r="F162" s="82"/>
      <c r="G162" s="82"/>
      <c r="H162" s="82"/>
      <c r="I162" s="82"/>
    </row>
    <row r="163" spans="6:9" ht="14.25">
      <c r="F163" s="82"/>
      <c r="G163" s="82"/>
      <c r="H163" s="82"/>
      <c r="I163" s="82"/>
    </row>
    <row r="164" spans="6:9" ht="14.25">
      <c r="F164" s="82"/>
      <c r="G164" s="82"/>
      <c r="H164" s="82"/>
      <c r="I164" s="82"/>
    </row>
    <row r="165" spans="6:9" ht="14.25">
      <c r="F165" s="82"/>
      <c r="G165" s="82"/>
      <c r="H165" s="82"/>
      <c r="I165" s="82"/>
    </row>
    <row r="166" spans="6:9" ht="14.25">
      <c r="F166" s="82"/>
      <c r="G166" s="82"/>
      <c r="H166" s="82"/>
      <c r="I166" s="82"/>
    </row>
    <row r="998" ht="14.25">
      <c r="A998" s="31" t="s">
        <v>392</v>
      </c>
    </row>
  </sheetData>
  <sheetProtection/>
  <mergeCells count="4">
    <mergeCell ref="B6:E6"/>
    <mergeCell ref="F6:I6"/>
    <mergeCell ref="B62:E62"/>
    <mergeCell ref="F62:I62"/>
  </mergeCells>
  <conditionalFormatting sqref="C82:I82">
    <cfRule type="cellIs" priority="10" dxfId="128" operator="notBetween">
      <formula>0.5</formula>
      <formula>-0.5</formula>
    </cfRule>
  </conditionalFormatting>
  <conditionalFormatting sqref="C26">
    <cfRule type="cellIs" priority="9" dxfId="16" operator="notBetween">
      <formula>-0.4</formula>
      <formula>0.4</formula>
    </cfRule>
  </conditionalFormatting>
  <conditionalFormatting sqref="D26">
    <cfRule type="cellIs" priority="8" dxfId="16" operator="notBetween">
      <formula>-0.4</formula>
      <formula>0.4</formula>
    </cfRule>
  </conditionalFormatting>
  <conditionalFormatting sqref="E26">
    <cfRule type="cellIs" priority="7" dxfId="16" operator="notBetween">
      <formula>-0.4</formula>
      <formula>0.4</formula>
    </cfRule>
  </conditionalFormatting>
  <conditionalFormatting sqref="F26">
    <cfRule type="cellIs" priority="6" dxfId="16" operator="notBetween">
      <formula>-0.4</formula>
      <formula>0.4</formula>
    </cfRule>
  </conditionalFormatting>
  <conditionalFormatting sqref="G26">
    <cfRule type="cellIs" priority="5" dxfId="16" operator="notBetween">
      <formula>-0.4</formula>
      <formula>0.4</formula>
    </cfRule>
  </conditionalFormatting>
  <conditionalFormatting sqref="H26">
    <cfRule type="cellIs" priority="4" dxfId="16" operator="notBetween">
      <formula>-0.4</formula>
      <formula>0.4</formula>
    </cfRule>
  </conditionalFormatting>
  <conditionalFormatting sqref="I26">
    <cfRule type="cellIs" priority="3" dxfId="16" operator="notBetween">
      <formula>-0.4</formula>
      <formula>0.4</formula>
    </cfRule>
  </conditionalFormatting>
  <conditionalFormatting sqref="B26:I26">
    <cfRule type="cellIs" priority="2" dxfId="128" operator="notBetween">
      <formula>0.5</formula>
      <formula>-0.5</formula>
    </cfRule>
  </conditionalFormatting>
  <conditionalFormatting sqref="B82:I82">
    <cfRule type="cellIs" priority="1" dxfId="128"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G1" sqref="G1:I16384"/>
    </sheetView>
  </sheetViews>
  <sheetFormatPr defaultColWidth="11.421875" defaultRowHeight="15"/>
  <cols>
    <col min="1" max="1" width="62.00390625" style="31" customWidth="1"/>
    <col min="2" max="6" width="11.421875" style="31" customWidth="1"/>
    <col min="7" max="9" width="0" style="31" hidden="1" customWidth="1"/>
    <col min="10"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1">
        <f>+España!B6</f>
        <v>2021</v>
      </c>
      <c r="C6" s="301"/>
      <c r="D6" s="301"/>
      <c r="E6" s="302"/>
      <c r="F6" s="301">
        <f>+España!F6</f>
        <v>2022</v>
      </c>
      <c r="G6" s="301"/>
      <c r="H6" s="301"/>
      <c r="I6" s="301"/>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201.59000000000003</v>
      </c>
      <c r="C8" s="41">
        <v>224.785</v>
      </c>
      <c r="D8" s="41">
        <v>282.751</v>
      </c>
      <c r="E8" s="42">
        <v>342.65200000000004</v>
      </c>
      <c r="F8" s="50">
        <v>318.816</v>
      </c>
      <c r="G8" s="50">
        <v>0</v>
      </c>
      <c r="H8" s="50">
        <v>0</v>
      </c>
      <c r="I8" s="50">
        <v>0</v>
      </c>
    </row>
    <row r="9" spans="1:9" ht="14.25">
      <c r="A9" s="43" t="str">
        <f>HLOOKUP(INDICE!$F$2,Nombres!$C$3:$D$636,34,FALSE)</f>
        <v>Net fees and commissions</v>
      </c>
      <c r="B9" s="44">
        <v>31.211</v>
      </c>
      <c r="C9" s="44">
        <v>52.53021648</v>
      </c>
      <c r="D9" s="44">
        <v>60.98599999999999</v>
      </c>
      <c r="E9" s="45">
        <v>57.87094900000001</v>
      </c>
      <c r="F9" s="44">
        <v>61.04930800000001</v>
      </c>
      <c r="G9" s="44">
        <v>0</v>
      </c>
      <c r="H9" s="44">
        <v>0</v>
      </c>
      <c r="I9" s="44">
        <v>0</v>
      </c>
    </row>
    <row r="10" spans="1:9" ht="14.25">
      <c r="A10" s="43" t="str">
        <f>HLOOKUP(INDICE!$F$2,Nombres!$C$3:$D$636,35,FALSE)</f>
        <v>Net trading income</v>
      </c>
      <c r="B10" s="44">
        <v>25.746997999999998</v>
      </c>
      <c r="C10" s="44">
        <v>24.615463</v>
      </c>
      <c r="D10" s="44">
        <v>25.485568999999998</v>
      </c>
      <c r="E10" s="45">
        <v>16.042649509999997</v>
      </c>
      <c r="F10" s="44">
        <v>34.023920000000004</v>
      </c>
      <c r="G10" s="44">
        <v>0</v>
      </c>
      <c r="H10" s="44">
        <v>0</v>
      </c>
      <c r="I10" s="44">
        <v>0</v>
      </c>
    </row>
    <row r="11" spans="1:9" ht="14.25">
      <c r="A11" s="43" t="str">
        <f>HLOOKUP(INDICE!$F$2,Nombres!$C$3:$D$636,36,FALSE)</f>
        <v>Other operating income and expenses</v>
      </c>
      <c r="B11" s="44">
        <v>-121.00899999999999</v>
      </c>
      <c r="C11" s="44">
        <v>-125.608</v>
      </c>
      <c r="D11" s="44">
        <v>-119.70800000000001</v>
      </c>
      <c r="E11" s="45">
        <v>-161.60999999999999</v>
      </c>
      <c r="F11" s="44">
        <v>-185.903</v>
      </c>
      <c r="G11" s="44">
        <v>0</v>
      </c>
      <c r="H11" s="44">
        <v>0</v>
      </c>
      <c r="I11" s="44">
        <v>0</v>
      </c>
    </row>
    <row r="12" spans="1:9" ht="14.25">
      <c r="A12" s="41" t="str">
        <f>HLOOKUP(INDICE!$F$2,Nombres!$C$3:$D$636,37,FALSE)</f>
        <v>Gross income</v>
      </c>
      <c r="B12" s="41">
        <f>+SUM(B8:B11)</f>
        <v>137.53899800000008</v>
      </c>
      <c r="C12" s="41">
        <f aca="true" t="shared" si="0" ref="C12:I12">+SUM(C8:C11)</f>
        <v>176.32267947999998</v>
      </c>
      <c r="D12" s="41">
        <f t="shared" si="0"/>
        <v>249.51456899999994</v>
      </c>
      <c r="E12" s="42">
        <f t="shared" si="0"/>
        <v>254.95559851000004</v>
      </c>
      <c r="F12" s="50">
        <f t="shared" si="0"/>
        <v>227.986228</v>
      </c>
      <c r="G12" s="50">
        <f t="shared" si="0"/>
        <v>0</v>
      </c>
      <c r="H12" s="50">
        <f t="shared" si="0"/>
        <v>0</v>
      </c>
      <c r="I12" s="50">
        <f t="shared" si="0"/>
        <v>0</v>
      </c>
    </row>
    <row r="13" spans="1:9" ht="14.25">
      <c r="A13" s="43" t="str">
        <f>HLOOKUP(INDICE!$F$2,Nombres!$C$3:$D$636,38,FALSE)</f>
        <v>Operating expenses</v>
      </c>
      <c r="B13" s="44">
        <v>-106.12388035</v>
      </c>
      <c r="C13" s="44">
        <v>-118.05492236</v>
      </c>
      <c r="D13" s="44">
        <v>-162.63306934000002</v>
      </c>
      <c r="E13" s="45">
        <v>-177.55090436000003</v>
      </c>
      <c r="F13" s="44">
        <v>-145.78886380999998</v>
      </c>
      <c r="G13" s="44">
        <v>0</v>
      </c>
      <c r="H13" s="44">
        <v>0</v>
      </c>
      <c r="I13" s="44">
        <v>0</v>
      </c>
    </row>
    <row r="14" spans="1:9" ht="14.25">
      <c r="A14" s="43" t="str">
        <f>HLOOKUP(INDICE!$F$2,Nombres!$C$3:$D$636,39,FALSE)</f>
        <v>  Administration expenses</v>
      </c>
      <c r="B14" s="44">
        <v>-98.70588035</v>
      </c>
      <c r="C14" s="44">
        <v>-108.32692236</v>
      </c>
      <c r="D14" s="44">
        <v>-151.30306934</v>
      </c>
      <c r="E14" s="45">
        <v>-164.43490436000002</v>
      </c>
      <c r="F14" s="44">
        <v>-139.93386381</v>
      </c>
      <c r="G14" s="44">
        <v>0</v>
      </c>
      <c r="H14" s="44">
        <v>0</v>
      </c>
      <c r="I14" s="44">
        <v>0</v>
      </c>
    </row>
    <row r="15" spans="1:9" ht="14.25">
      <c r="A15" s="46" t="str">
        <f>HLOOKUP(INDICE!$F$2,Nombres!$C$3:$D$636,40,FALSE)</f>
        <v>  Personnel expenses</v>
      </c>
      <c r="B15" s="44">
        <v>-55.644999999999996</v>
      </c>
      <c r="C15" s="44">
        <v>-59.501</v>
      </c>
      <c r="D15" s="44">
        <v>-75.02199999999999</v>
      </c>
      <c r="E15" s="45">
        <v>-82.89559500000001</v>
      </c>
      <c r="F15" s="44">
        <v>-75.525</v>
      </c>
      <c r="G15" s="44">
        <v>0</v>
      </c>
      <c r="H15" s="44">
        <v>0</v>
      </c>
      <c r="I15" s="44">
        <v>0</v>
      </c>
    </row>
    <row r="16" spans="1:9" ht="14.25">
      <c r="A16" s="46" t="str">
        <f>HLOOKUP(INDICE!$F$2,Nombres!$C$3:$D$636,41,FALSE)</f>
        <v>  General and administrative expenses</v>
      </c>
      <c r="B16" s="44">
        <v>-43.06088035</v>
      </c>
      <c r="C16" s="44">
        <v>-48.82592236000001</v>
      </c>
      <c r="D16" s="44">
        <v>-76.28106933999999</v>
      </c>
      <c r="E16" s="45">
        <v>-81.53930936000003</v>
      </c>
      <c r="F16" s="44">
        <v>-64.40886380999999</v>
      </c>
      <c r="G16" s="44">
        <v>0</v>
      </c>
      <c r="H16" s="44">
        <v>0</v>
      </c>
      <c r="I16" s="44">
        <v>0</v>
      </c>
    </row>
    <row r="17" spans="1:9" ht="14.25">
      <c r="A17" s="43" t="str">
        <f>HLOOKUP(INDICE!$F$2,Nombres!$C$3:$D$636,42,FALSE)</f>
        <v>  Depreciation</v>
      </c>
      <c r="B17" s="44">
        <v>-7.418000000000002</v>
      </c>
      <c r="C17" s="44">
        <v>-9.728</v>
      </c>
      <c r="D17" s="44">
        <v>-11.33</v>
      </c>
      <c r="E17" s="45">
        <v>-13.116</v>
      </c>
      <c r="F17" s="44">
        <v>-5.8549999999999995</v>
      </c>
      <c r="G17" s="44">
        <v>0</v>
      </c>
      <c r="H17" s="44">
        <v>0</v>
      </c>
      <c r="I17" s="44">
        <v>0</v>
      </c>
    </row>
    <row r="18" spans="1:9" ht="14.25">
      <c r="A18" s="41" t="str">
        <f>HLOOKUP(INDICE!$F$2,Nombres!$C$3:$D$636,43,FALSE)</f>
        <v>Operating income</v>
      </c>
      <c r="B18" s="41">
        <f>+B12+B13</f>
        <v>31.415117650000084</v>
      </c>
      <c r="C18" s="41">
        <f aca="true" t="shared" si="1" ref="C18:I18">+C12+C13</f>
        <v>58.26775711999997</v>
      </c>
      <c r="D18" s="41">
        <f t="shared" si="1"/>
        <v>86.88149965999992</v>
      </c>
      <c r="E18" s="42">
        <f t="shared" si="1"/>
        <v>77.40469415000001</v>
      </c>
      <c r="F18" s="50">
        <f t="shared" si="1"/>
        <v>82.19736419000003</v>
      </c>
      <c r="G18" s="50">
        <f t="shared" si="1"/>
        <v>0</v>
      </c>
      <c r="H18" s="50">
        <f t="shared" si="1"/>
        <v>0</v>
      </c>
      <c r="I18" s="50">
        <f t="shared" si="1"/>
        <v>0</v>
      </c>
    </row>
    <row r="19" spans="1:9" ht="14.25">
      <c r="A19" s="43" t="str">
        <f>HLOOKUP(INDICE!$F$2,Nombres!$C$3:$D$636,44,FALSE)</f>
        <v>Impaiment on financial assets not measured at fair value through profit or loss</v>
      </c>
      <c r="B19" s="44">
        <v>-20.544000000000004</v>
      </c>
      <c r="C19" s="44">
        <v>-32.67099999999999</v>
      </c>
      <c r="D19" s="44">
        <v>-33.587999999999994</v>
      </c>
      <c r="E19" s="45">
        <v>-26.778</v>
      </c>
      <c r="F19" s="44">
        <v>-47.348999999999975</v>
      </c>
      <c r="G19" s="44">
        <v>0</v>
      </c>
      <c r="H19" s="44">
        <v>0</v>
      </c>
      <c r="I19" s="44">
        <v>0</v>
      </c>
    </row>
    <row r="20" spans="1:9" ht="14.25">
      <c r="A20" s="43" t="str">
        <f>HLOOKUP(INDICE!$F$2,Nombres!$C$3:$D$636,45,FALSE)</f>
        <v>Provisions or reversal of provisions and other results</v>
      </c>
      <c r="B20" s="44">
        <v>-1.9580000000000004</v>
      </c>
      <c r="C20" s="44">
        <v>-4.7379999999999995</v>
      </c>
      <c r="D20" s="44">
        <v>-3.2439999999999998</v>
      </c>
      <c r="E20" s="45">
        <v>-9.539999999999997</v>
      </c>
      <c r="F20" s="44">
        <v>-4.836</v>
      </c>
      <c r="G20" s="44">
        <v>0</v>
      </c>
      <c r="H20" s="44">
        <v>0</v>
      </c>
      <c r="I20" s="44">
        <v>0</v>
      </c>
    </row>
    <row r="21" spans="1:9" ht="14.25">
      <c r="A21" s="41" t="str">
        <f>HLOOKUP(INDICE!$F$2,Nombres!$C$3:$D$636,46,FALSE)</f>
        <v>Profit/(loss) before tax</v>
      </c>
      <c r="B21" s="41">
        <f>+B18+B19+B20</f>
        <v>8.91311765000008</v>
      </c>
      <c r="C21" s="41">
        <f aca="true" t="shared" si="2" ref="C21:I21">+C18+C19+C20</f>
        <v>20.85875711999998</v>
      </c>
      <c r="D21" s="41">
        <f t="shared" si="2"/>
        <v>50.049499659999924</v>
      </c>
      <c r="E21" s="42">
        <f t="shared" si="2"/>
        <v>41.086694150000014</v>
      </c>
      <c r="F21" s="50">
        <f t="shared" si="2"/>
        <v>30.012364190000056</v>
      </c>
      <c r="G21" s="50">
        <f t="shared" si="2"/>
        <v>0</v>
      </c>
      <c r="H21" s="50">
        <f t="shared" si="2"/>
        <v>0</v>
      </c>
      <c r="I21" s="50">
        <f t="shared" si="2"/>
        <v>0</v>
      </c>
    </row>
    <row r="22" spans="1:9" ht="14.25">
      <c r="A22" s="43" t="str">
        <f>HLOOKUP(INDICE!$F$2,Nombres!$C$3:$D$636,47,FALSE)</f>
        <v>Income tax</v>
      </c>
      <c r="B22" s="44">
        <v>-3.435435299999999</v>
      </c>
      <c r="C22" s="44">
        <v>-9.961027120000002</v>
      </c>
      <c r="D22" s="44">
        <v>-10.61474992000001</v>
      </c>
      <c r="E22" s="45">
        <v>-12.272786740000027</v>
      </c>
      <c r="F22" s="44">
        <v>-4.880427639999995</v>
      </c>
      <c r="G22" s="44">
        <v>0</v>
      </c>
      <c r="H22" s="44">
        <v>0</v>
      </c>
      <c r="I22" s="44">
        <v>0</v>
      </c>
    </row>
    <row r="23" spans="1:9" ht="14.25">
      <c r="A23" s="41" t="str">
        <f>HLOOKUP(INDICE!$F$2,Nombres!$C$3:$D$636,48,FALSE)</f>
        <v>Profit/(loss) for the year</v>
      </c>
      <c r="B23" s="41">
        <f>+B21+B22</f>
        <v>5.477682350000081</v>
      </c>
      <c r="C23" s="41">
        <f aca="true" t="shared" si="3" ref="C23:I23">+C21+C22</f>
        <v>10.897729999999976</v>
      </c>
      <c r="D23" s="41">
        <f t="shared" si="3"/>
        <v>39.434749739999916</v>
      </c>
      <c r="E23" s="42">
        <f t="shared" si="3"/>
        <v>28.813907409999985</v>
      </c>
      <c r="F23" s="50">
        <f t="shared" si="3"/>
        <v>25.131936550000063</v>
      </c>
      <c r="G23" s="50">
        <f t="shared" si="3"/>
        <v>0</v>
      </c>
      <c r="H23" s="50">
        <f t="shared" si="3"/>
        <v>0</v>
      </c>
      <c r="I23" s="50">
        <f t="shared" si="3"/>
        <v>0</v>
      </c>
    </row>
    <row r="24" spans="1:9" ht="14.25">
      <c r="A24" s="43" t="str">
        <f>HLOOKUP(INDICE!$F$2,Nombres!$C$3:$D$636,49,FALSE)</f>
        <v>Non-controlling interests</v>
      </c>
      <c r="B24" s="44">
        <v>-1.0705837599999972</v>
      </c>
      <c r="C24" s="44">
        <v>-2.3194256900000028</v>
      </c>
      <c r="D24" s="44">
        <v>-13.459307979999993</v>
      </c>
      <c r="E24" s="45">
        <v>-9.535898540000012</v>
      </c>
      <c r="F24" s="44">
        <v>-6.679911369999999</v>
      </c>
      <c r="G24" s="44">
        <v>0</v>
      </c>
      <c r="H24" s="44">
        <v>0</v>
      </c>
      <c r="I24" s="44">
        <v>0</v>
      </c>
    </row>
    <row r="25" spans="1:9" ht="14.25">
      <c r="A25" s="47" t="str">
        <f>HLOOKUP(INDICE!$F$2,Nombres!$C$3:$D$636,50,FALSE)</f>
        <v>Net attributable profit</v>
      </c>
      <c r="B25" s="47">
        <f>+B23+B24</f>
        <v>4.407098590000084</v>
      </c>
      <c r="C25" s="47">
        <f aca="true" t="shared" si="4" ref="C25:I25">+C23+C24</f>
        <v>8.578304309999973</v>
      </c>
      <c r="D25" s="47">
        <f t="shared" si="4"/>
        <v>25.975441759999924</v>
      </c>
      <c r="E25" s="47">
        <f t="shared" si="4"/>
        <v>19.278008869999972</v>
      </c>
      <c r="F25" s="51">
        <f t="shared" si="4"/>
        <v>18.452025180000064</v>
      </c>
      <c r="G25" s="51">
        <f t="shared" si="4"/>
        <v>0</v>
      </c>
      <c r="H25" s="51">
        <f t="shared" si="4"/>
        <v>0</v>
      </c>
      <c r="I25" s="51">
        <f t="shared" si="4"/>
        <v>0</v>
      </c>
    </row>
    <row r="26" spans="1:9" ht="14.25">
      <c r="A26" s="62"/>
      <c r="B26" s="63">
        <v>5.5067062021407764E-14</v>
      </c>
      <c r="C26" s="63">
        <v>0</v>
      </c>
      <c r="D26" s="63">
        <v>-4.973799150320701E-14</v>
      </c>
      <c r="E26" s="63">
        <v>0</v>
      </c>
      <c r="F26" s="63">
        <v>6.394884621840902E-14</v>
      </c>
      <c r="G26" s="63">
        <v>0</v>
      </c>
      <c r="H26" s="63">
        <v>0</v>
      </c>
      <c r="I26" s="63">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44286</v>
      </c>
      <c r="C30" s="53">
        <f>+España!C30</f>
        <v>44377</v>
      </c>
      <c r="D30" s="53">
        <f>+España!D30</f>
        <v>44469</v>
      </c>
      <c r="E30" s="68">
        <f>+España!E30</f>
        <v>44561</v>
      </c>
      <c r="F30" s="76">
        <f>+España!F30</f>
        <v>44651</v>
      </c>
      <c r="G30" s="76">
        <f>+España!G30</f>
        <v>44742</v>
      </c>
      <c r="H30" s="76">
        <f>+España!H30</f>
        <v>44834</v>
      </c>
      <c r="I30" s="76">
        <f>+España!I30</f>
        <v>44926</v>
      </c>
    </row>
    <row r="31" spans="1:9" ht="14.25">
      <c r="A31" s="43" t="str">
        <f>HLOOKUP(INDICE!$F$2,Nombres!$C$3:$D$636,52,FALSE)</f>
        <v>Cash, cash balances at central banks and other demand deposits</v>
      </c>
      <c r="B31" s="44">
        <v>1814.7499999999998</v>
      </c>
      <c r="C31" s="44">
        <v>1743.115</v>
      </c>
      <c r="D31" s="44">
        <v>1725.562</v>
      </c>
      <c r="E31" s="45">
        <v>1883.8760000000002</v>
      </c>
      <c r="F31" s="44">
        <v>1617.2679999999998</v>
      </c>
      <c r="G31" s="44">
        <v>0</v>
      </c>
      <c r="H31" s="44">
        <v>0</v>
      </c>
      <c r="I31" s="44">
        <v>0</v>
      </c>
    </row>
    <row r="32" spans="1:9" ht="14.25">
      <c r="A32" s="43" t="str">
        <f>HLOOKUP(INDICE!$F$2,Nombres!$C$3:$D$636,53,FALSE)</f>
        <v>Financial assets designated at fair value </v>
      </c>
      <c r="B32" s="58">
        <v>1347.5679999999998</v>
      </c>
      <c r="C32" s="58">
        <v>1426.29</v>
      </c>
      <c r="D32" s="58">
        <v>1574.5140000000001</v>
      </c>
      <c r="E32" s="65">
        <v>1590.261</v>
      </c>
      <c r="F32" s="44">
        <v>2951.362</v>
      </c>
      <c r="G32" s="44">
        <v>0</v>
      </c>
      <c r="H32" s="44">
        <v>0</v>
      </c>
      <c r="I32" s="44">
        <v>0</v>
      </c>
    </row>
    <row r="33" spans="1:9" ht="14.25">
      <c r="A33" s="43" t="str">
        <f>HLOOKUP(INDICE!$F$2,Nombres!$C$3:$D$636,54,FALSE)</f>
        <v>Financial assets at amortized cost</v>
      </c>
      <c r="B33" s="44">
        <v>3214.4900000000002</v>
      </c>
      <c r="C33" s="44">
        <v>3911.3070000000002</v>
      </c>
      <c r="D33" s="44">
        <v>4157.168</v>
      </c>
      <c r="E33" s="45">
        <v>4826.938999999999</v>
      </c>
      <c r="F33" s="44">
        <v>4265.255999999999</v>
      </c>
      <c r="G33" s="44">
        <v>0</v>
      </c>
      <c r="H33" s="44">
        <v>0</v>
      </c>
      <c r="I33" s="44">
        <v>0</v>
      </c>
    </row>
    <row r="34" spans="1:9" ht="14.25">
      <c r="A34" s="43" t="str">
        <f>HLOOKUP(INDICE!$F$2,Nombres!$C$3:$D$636,55,FALSE)</f>
        <v>    of which loans and advances to customers</v>
      </c>
      <c r="B34" s="44">
        <v>2678.9059999999995</v>
      </c>
      <c r="C34" s="44">
        <v>2718.075</v>
      </c>
      <c r="D34" s="44">
        <v>2908.585</v>
      </c>
      <c r="E34" s="45">
        <v>3296.4390000000003</v>
      </c>
      <c r="F34" s="44">
        <v>3349.9570000000003</v>
      </c>
      <c r="G34" s="44">
        <v>0</v>
      </c>
      <c r="H34" s="44">
        <v>0</v>
      </c>
      <c r="I34" s="44">
        <v>0</v>
      </c>
    </row>
    <row r="35" spans="1:9" ht="14.25">
      <c r="A35" s="43"/>
      <c r="B35" s="44"/>
      <c r="C35" s="44"/>
      <c r="D35" s="44"/>
      <c r="E35" s="45"/>
      <c r="F35" s="44"/>
      <c r="G35" s="44"/>
      <c r="H35" s="44"/>
      <c r="I35" s="44"/>
    </row>
    <row r="36" spans="1:9" ht="14.25">
      <c r="A36" s="43" t="str">
        <f>HLOOKUP(INDICE!$F$2,Nombres!$C$3:$D$636,56,FALSE)</f>
        <v>Tangible assets</v>
      </c>
      <c r="B36" s="44">
        <v>358.37536584</v>
      </c>
      <c r="C36" s="44">
        <v>374.83600000000007</v>
      </c>
      <c r="D36" s="44">
        <v>399.10699999999997</v>
      </c>
      <c r="E36" s="45">
        <v>451.578</v>
      </c>
      <c r="F36" s="44">
        <v>524.04</v>
      </c>
      <c r="G36" s="44">
        <v>0</v>
      </c>
      <c r="H36" s="44">
        <v>0</v>
      </c>
      <c r="I36" s="44">
        <v>0</v>
      </c>
    </row>
    <row r="37" spans="1:9" ht="14.25">
      <c r="A37" s="43" t="str">
        <f>HLOOKUP(INDICE!$F$2,Nombres!$C$3:$D$636,57,FALSE)</f>
        <v>Other assets</v>
      </c>
      <c r="B37" s="58">
        <f>+B38-B36-B33-B32-B31</f>
        <v>295.6163780199988</v>
      </c>
      <c r="C37" s="58">
        <f aca="true" t="shared" si="5" ref="C37:I37">+C38-C36-C33-C32-C31</f>
        <v>294.76199999999994</v>
      </c>
      <c r="D37" s="58">
        <f t="shared" si="5"/>
        <v>270.47801206000076</v>
      </c>
      <c r="E37" s="65">
        <f t="shared" si="5"/>
        <v>284.7910000000006</v>
      </c>
      <c r="F37" s="44">
        <f t="shared" si="5"/>
        <v>297.0854528299999</v>
      </c>
      <c r="G37" s="44">
        <f t="shared" si="5"/>
        <v>0</v>
      </c>
      <c r="H37" s="44">
        <f t="shared" si="5"/>
        <v>0</v>
      </c>
      <c r="I37" s="44">
        <f t="shared" si="5"/>
        <v>0</v>
      </c>
    </row>
    <row r="38" spans="1:9" ht="14.25">
      <c r="A38" s="47" t="str">
        <f>HLOOKUP(INDICE!$F$2,Nombres!$C$3:$D$636,58,FALSE)</f>
        <v>Total assets / Liabilities and equity</v>
      </c>
      <c r="B38" s="47">
        <v>7030.799743859999</v>
      </c>
      <c r="C38" s="47">
        <v>7750.31</v>
      </c>
      <c r="D38" s="47">
        <v>8126.82901206</v>
      </c>
      <c r="E38" s="47">
        <v>9037.445</v>
      </c>
      <c r="F38" s="51">
        <v>9655.01145283</v>
      </c>
      <c r="G38" s="51">
        <v>0</v>
      </c>
      <c r="H38" s="51">
        <v>0</v>
      </c>
      <c r="I38" s="51">
        <v>0</v>
      </c>
    </row>
    <row r="39" spans="1:9" ht="14.25">
      <c r="A39" s="43" t="str">
        <f>HLOOKUP(INDICE!$F$2,Nombres!$C$3:$D$636,59,FALSE)</f>
        <v>Financial liabilities held for trading and designated at fair value through profit or loss</v>
      </c>
      <c r="B39" s="58">
        <v>3.699</v>
      </c>
      <c r="C39" s="58">
        <v>1.248</v>
      </c>
      <c r="D39" s="58">
        <v>3.49</v>
      </c>
      <c r="E39" s="65">
        <v>2.7</v>
      </c>
      <c r="F39" s="44">
        <v>2.659</v>
      </c>
      <c r="G39" s="44">
        <v>0</v>
      </c>
      <c r="H39" s="44">
        <v>0</v>
      </c>
      <c r="I39" s="44">
        <v>0</v>
      </c>
    </row>
    <row r="40" spans="1:9" ht="15.75" customHeight="1">
      <c r="A40" s="43" t="str">
        <f>HLOOKUP(INDICE!$F$2,Nombres!$C$3:$D$636,60,FALSE)</f>
        <v>Deposits from central banks and credit institutions</v>
      </c>
      <c r="B40" s="58">
        <v>120.434</v>
      </c>
      <c r="C40" s="58">
        <v>106.039</v>
      </c>
      <c r="D40" s="58">
        <v>107.00999999999999</v>
      </c>
      <c r="E40" s="65">
        <v>112.35500000000002</v>
      </c>
      <c r="F40" s="44">
        <v>116.77300000000004</v>
      </c>
      <c r="G40" s="44">
        <v>0</v>
      </c>
      <c r="H40" s="44">
        <v>0</v>
      </c>
      <c r="I40" s="44">
        <v>0</v>
      </c>
    </row>
    <row r="41" spans="1:9" ht="14.25">
      <c r="A41" s="43" t="str">
        <f>HLOOKUP(INDICE!$F$2,Nombres!$C$3:$D$636,61,FALSE)</f>
        <v>Deposits from customers</v>
      </c>
      <c r="B41" s="58">
        <v>4706.075999999999</v>
      </c>
      <c r="C41" s="58">
        <v>5349.341</v>
      </c>
      <c r="D41" s="58">
        <v>5515.021</v>
      </c>
      <c r="E41" s="65">
        <v>6082.594</v>
      </c>
      <c r="F41" s="44">
        <v>6466.273999999999</v>
      </c>
      <c r="G41" s="44">
        <v>0</v>
      </c>
      <c r="H41" s="44">
        <v>0</v>
      </c>
      <c r="I41" s="44">
        <v>0</v>
      </c>
    </row>
    <row r="42" spans="1:9" ht="14.25">
      <c r="A42" s="43" t="str">
        <f>HLOOKUP(INDICE!$F$2,Nombres!$C$3:$D$636,62,FALSE)</f>
        <v>Debt certificates</v>
      </c>
      <c r="B42" s="44">
        <v>193.7862963</v>
      </c>
      <c r="C42" s="44">
        <v>182.45249046</v>
      </c>
      <c r="D42" s="44">
        <v>199.47880386000003</v>
      </c>
      <c r="E42" s="45">
        <v>228.56989066</v>
      </c>
      <c r="F42" s="44">
        <v>251.78840171</v>
      </c>
      <c r="G42" s="44">
        <v>0</v>
      </c>
      <c r="H42" s="44">
        <v>0</v>
      </c>
      <c r="I42" s="44">
        <v>0</v>
      </c>
    </row>
    <row r="43" spans="1:9" ht="14.25">
      <c r="A43" s="43"/>
      <c r="B43" s="44"/>
      <c r="C43" s="44"/>
      <c r="D43" s="44"/>
      <c r="E43" s="45"/>
      <c r="F43" s="44"/>
      <c r="G43" s="44"/>
      <c r="H43" s="44"/>
      <c r="I43" s="44"/>
    </row>
    <row r="44" spans="1:9" ht="14.25">
      <c r="A44" s="43" t="str">
        <f>HLOOKUP(INDICE!$F$2,Nombres!$C$3:$D$636,63,FALSE)</f>
        <v>Other liabilities</v>
      </c>
      <c r="B44" s="58">
        <f>+B38-B39-B40-B41-B42-B45</f>
        <v>1345.5633811499997</v>
      </c>
      <c r="C44" s="58">
        <f aca="true" t="shared" si="6" ref="C44:I44">+C38-C39-C40-C41-C42-C45</f>
        <v>1465.610611580001</v>
      </c>
      <c r="D44" s="58">
        <f t="shared" si="6"/>
        <v>1590.5955163200006</v>
      </c>
      <c r="E44" s="65">
        <f t="shared" si="6"/>
        <v>1844.5041246699993</v>
      </c>
      <c r="F44" s="44">
        <f t="shared" si="6"/>
        <v>1962.178336110002</v>
      </c>
      <c r="G44" s="44">
        <f t="shared" si="6"/>
        <v>0</v>
      </c>
      <c r="H44" s="44">
        <f t="shared" si="6"/>
        <v>0</v>
      </c>
      <c r="I44" s="44">
        <f t="shared" si="6"/>
        <v>0</v>
      </c>
    </row>
    <row r="45" spans="1:9" ht="14.25">
      <c r="A45" s="43" t="str">
        <f>HLOOKUP(INDICE!$F$2,Nombres!$C$3:$D$636,282,FALSE)</f>
        <v>Regulatory capital allocated</v>
      </c>
      <c r="B45" s="58">
        <v>661.24106641</v>
      </c>
      <c r="C45" s="58">
        <v>645.6188979599999</v>
      </c>
      <c r="D45" s="58">
        <v>711.23369188</v>
      </c>
      <c r="E45" s="65">
        <v>766.72198467</v>
      </c>
      <c r="F45" s="44">
        <v>855.3387150099999</v>
      </c>
      <c r="G45" s="44">
        <v>0</v>
      </c>
      <c r="H45" s="44">
        <v>0</v>
      </c>
      <c r="I45" s="44">
        <v>0</v>
      </c>
    </row>
    <row r="46" spans="1:9" ht="14.25">
      <c r="A46" s="62"/>
      <c r="B46" s="58"/>
      <c r="C46" s="58"/>
      <c r="D46" s="58"/>
      <c r="E46" s="58"/>
      <c r="F46" s="44"/>
      <c r="G46" s="44"/>
      <c r="H46" s="44"/>
      <c r="I46" s="44"/>
    </row>
    <row r="47" spans="1:9" ht="14.25">
      <c r="A47" s="43"/>
      <c r="B47" s="58"/>
      <c r="C47" s="58"/>
      <c r="D47" s="58"/>
      <c r="E47" s="58"/>
      <c r="F47" s="44"/>
      <c r="G47" s="44"/>
      <c r="H47" s="44"/>
      <c r="I47" s="44"/>
    </row>
    <row r="48" spans="1:9" ht="16.5">
      <c r="A48" s="33" t="str">
        <f>HLOOKUP(INDICE!$F$2,Nombres!$C$3:$D$636,65,FALSE)</f>
        <v>Relevant business indicators</v>
      </c>
      <c r="B48" s="34"/>
      <c r="C48" s="34"/>
      <c r="D48" s="34"/>
      <c r="E48" s="34"/>
      <c r="F48" s="69"/>
      <c r="G48" s="69"/>
      <c r="H48" s="69"/>
      <c r="I48" s="69"/>
    </row>
    <row r="49" spans="1:9" ht="14.25">
      <c r="A49" s="35" t="str">
        <f>HLOOKUP(INDICE!$F$2,Nombres!$C$3:$D$636,32,FALSE)</f>
        <v>(Million euros)</v>
      </c>
      <c r="B49" s="30"/>
      <c r="C49" s="30"/>
      <c r="D49" s="30"/>
      <c r="E49" s="30"/>
      <c r="F49" s="70"/>
      <c r="G49" s="44"/>
      <c r="H49" s="44"/>
      <c r="I49" s="44"/>
    </row>
    <row r="50" spans="1:9" ht="14.25">
      <c r="A50" s="30"/>
      <c r="B50" s="53">
        <f aca="true" t="shared" si="7" ref="B50:I50">+B$30</f>
        <v>44286</v>
      </c>
      <c r="C50" s="53">
        <f t="shared" si="7"/>
        <v>44377</v>
      </c>
      <c r="D50" s="53">
        <f t="shared" si="7"/>
        <v>44469</v>
      </c>
      <c r="E50" s="68">
        <f t="shared" si="7"/>
        <v>44561</v>
      </c>
      <c r="F50" s="53">
        <f t="shared" si="7"/>
        <v>44651</v>
      </c>
      <c r="G50" s="53">
        <f t="shared" si="7"/>
        <v>44742</v>
      </c>
      <c r="H50" s="53">
        <f t="shared" si="7"/>
        <v>44834</v>
      </c>
      <c r="I50" s="53">
        <f t="shared" si="7"/>
        <v>44926</v>
      </c>
    </row>
    <row r="51" spans="1:9" ht="14.25">
      <c r="A51" s="43" t="str">
        <f>HLOOKUP(INDICE!$F$2,Nombres!$C$3:$D$636,66,FALSE)</f>
        <v>Loans and advances to customers (gross) (*)</v>
      </c>
      <c r="B51" s="44">
        <v>2810.1806310599995</v>
      </c>
      <c r="C51" s="44">
        <v>2853.1629853199997</v>
      </c>
      <c r="D51" s="44">
        <v>3049.04189683</v>
      </c>
      <c r="E51" s="45">
        <v>3414.34292927</v>
      </c>
      <c r="F51" s="44">
        <v>3446.8974832</v>
      </c>
      <c r="G51" s="44">
        <v>0</v>
      </c>
      <c r="H51" s="44">
        <v>0</v>
      </c>
      <c r="I51" s="44">
        <v>0</v>
      </c>
    </row>
    <row r="52" spans="1:9" ht="14.25">
      <c r="A52" s="43" t="str">
        <f>HLOOKUP(INDICE!$F$2,Nombres!$C$3:$D$636,67,FALSE)</f>
        <v>Customer deposits under management (*)</v>
      </c>
      <c r="B52" s="44">
        <v>4706.07777928</v>
      </c>
      <c r="C52" s="44">
        <v>5349.3398651200005</v>
      </c>
      <c r="D52" s="44">
        <v>5515.0211831999995</v>
      </c>
      <c r="E52" s="45">
        <v>6082.59164753</v>
      </c>
      <c r="F52" s="44">
        <v>6466.27290943</v>
      </c>
      <c r="G52" s="44">
        <v>0</v>
      </c>
      <c r="H52" s="44">
        <v>0</v>
      </c>
      <c r="I52" s="44">
        <v>0</v>
      </c>
    </row>
    <row r="53" spans="1:9" ht="14.25">
      <c r="A53" s="43" t="str">
        <f>HLOOKUP(INDICE!$F$2,Nombres!$C$3:$D$636,68,FALSE)</f>
        <v>Investment funds and managed portfolios</v>
      </c>
      <c r="B53" s="44">
        <v>1327.07892138</v>
      </c>
      <c r="C53" s="44">
        <v>1346.10370657</v>
      </c>
      <c r="D53" s="44">
        <v>1673.9364056799998</v>
      </c>
      <c r="E53" s="45">
        <v>1716.11286795</v>
      </c>
      <c r="F53" s="44">
        <v>1985.78785607</v>
      </c>
      <c r="G53" s="44">
        <v>0</v>
      </c>
      <c r="H53" s="44">
        <v>0</v>
      </c>
      <c r="I53" s="44">
        <v>0</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2" t="str">
        <f>HLOOKUP(INDICE!$F$2,Nombres!$C$3:$D$636,71,FALSE)</f>
        <v>(*) Excluding repos. </v>
      </c>
      <c r="B56" s="58"/>
      <c r="C56" s="58"/>
      <c r="D56" s="58"/>
      <c r="E56" s="58"/>
      <c r="F56" s="58"/>
      <c r="G56" s="58"/>
      <c r="H56" s="58"/>
      <c r="I56" s="58"/>
    </row>
    <row r="57" spans="1:9" ht="14.25">
      <c r="A57" s="62">
        <f>HLOOKUP(INDICE!$F$2,Nombres!$C$3:$D$636,72,FALSE)</f>
        <v>0</v>
      </c>
      <c r="B57" s="30"/>
      <c r="C57" s="30"/>
      <c r="D57" s="30"/>
      <c r="E57" s="30"/>
      <c r="F57" s="30"/>
      <c r="G57" s="30"/>
      <c r="H57" s="30"/>
      <c r="I57" s="30"/>
    </row>
    <row r="58" spans="1:9" ht="14.25">
      <c r="A58" s="62"/>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1">
        <f>+B$6</f>
        <v>2021</v>
      </c>
      <c r="C62" s="301"/>
      <c r="D62" s="301"/>
      <c r="E62" s="302"/>
      <c r="F62" s="301">
        <f>+F$6</f>
        <v>2022</v>
      </c>
      <c r="G62" s="301"/>
      <c r="H62" s="301"/>
      <c r="I62" s="301"/>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177.36517252448533</v>
      </c>
      <c r="C64" s="41">
        <v>218.99579545798352</v>
      </c>
      <c r="D64" s="41">
        <v>266.902349858664</v>
      </c>
      <c r="E64" s="42">
        <v>338.8492809718375</v>
      </c>
      <c r="F64" s="50">
        <v>318.816</v>
      </c>
      <c r="G64" s="50">
        <v>0</v>
      </c>
      <c r="H64" s="50">
        <v>0</v>
      </c>
      <c r="I64" s="50">
        <v>0</v>
      </c>
    </row>
    <row r="65" spans="1:9" ht="14.25">
      <c r="A65" s="43" t="str">
        <f>HLOOKUP(INDICE!$F$2,Nombres!$C$3:$D$636,34,FALSE)</f>
        <v>Net fees and commissions</v>
      </c>
      <c r="B65" s="44">
        <v>27.421084266670057</v>
      </c>
      <c r="C65" s="44">
        <v>50.28031803263198</v>
      </c>
      <c r="D65" s="44">
        <v>57.43364172331706</v>
      </c>
      <c r="E65" s="45">
        <v>57.684652500824726</v>
      </c>
      <c r="F65" s="44">
        <v>61.049307999999996</v>
      </c>
      <c r="G65" s="44">
        <v>0</v>
      </c>
      <c r="H65" s="44">
        <v>0</v>
      </c>
      <c r="I65" s="44">
        <v>0</v>
      </c>
    </row>
    <row r="66" spans="1:9" ht="14.25">
      <c r="A66" s="43" t="str">
        <f>HLOOKUP(INDICE!$F$2,Nombres!$C$3:$D$636,35,FALSE)</f>
        <v>Net trading income</v>
      </c>
      <c r="B66" s="44">
        <v>22.664279149868953</v>
      </c>
      <c r="C66" s="44">
        <v>24.17317089651069</v>
      </c>
      <c r="D66" s="44">
        <v>24.169097838109412</v>
      </c>
      <c r="E66" s="45">
        <v>16.748921198046585</v>
      </c>
      <c r="F66" s="44">
        <v>34.023920000000004</v>
      </c>
      <c r="G66" s="44">
        <v>0</v>
      </c>
      <c r="H66" s="44">
        <v>0</v>
      </c>
      <c r="I66" s="44">
        <v>0</v>
      </c>
    </row>
    <row r="67" spans="1:9" ht="14.25">
      <c r="A67" s="43" t="str">
        <f>HLOOKUP(INDICE!$F$2,Nombres!$C$3:$D$636,36,FALSE)</f>
        <v>Other operating income and expenses</v>
      </c>
      <c r="B67" s="44">
        <v>-117.54551872690344</v>
      </c>
      <c r="C67" s="44">
        <v>-124.687031268948</v>
      </c>
      <c r="D67" s="44">
        <v>-117.27398204175593</v>
      </c>
      <c r="E67" s="45">
        <v>-161.12310081072985</v>
      </c>
      <c r="F67" s="44">
        <v>-185.903</v>
      </c>
      <c r="G67" s="44">
        <v>0</v>
      </c>
      <c r="H67" s="44">
        <v>0</v>
      </c>
      <c r="I67" s="44">
        <v>0</v>
      </c>
    </row>
    <row r="68" spans="1:9" ht="14.25">
      <c r="A68" s="41" t="str">
        <f>HLOOKUP(INDICE!$F$2,Nombres!$C$3:$D$636,37,FALSE)</f>
        <v>Gross income</v>
      </c>
      <c r="B68" s="41">
        <f>+SUM(B64:B67)</f>
        <v>109.90501721412089</v>
      </c>
      <c r="C68" s="41">
        <f aca="true" t="shared" si="9" ref="C68:I68">+SUM(C64:C67)</f>
        <v>168.76225311817817</v>
      </c>
      <c r="D68" s="41">
        <f t="shared" si="9"/>
        <v>231.23110737833457</v>
      </c>
      <c r="E68" s="42">
        <f t="shared" si="9"/>
        <v>252.15975385997893</v>
      </c>
      <c r="F68" s="50">
        <f t="shared" si="9"/>
        <v>227.986228</v>
      </c>
      <c r="G68" s="50">
        <f t="shared" si="9"/>
        <v>0</v>
      </c>
      <c r="H68" s="50">
        <f t="shared" si="9"/>
        <v>0</v>
      </c>
      <c r="I68" s="50">
        <f t="shared" si="9"/>
        <v>0</v>
      </c>
    </row>
    <row r="69" spans="1:9" ht="14.25">
      <c r="A69" s="43" t="str">
        <f>HLOOKUP(INDICE!$F$2,Nombres!$C$3:$D$636,38,FALSE)</f>
        <v>Operating expenses</v>
      </c>
      <c r="B69" s="44">
        <v>-93.74950726057847</v>
      </c>
      <c r="C69" s="44">
        <v>-115.3816976068251</v>
      </c>
      <c r="D69" s="44">
        <v>-153.81219955989073</v>
      </c>
      <c r="E69" s="45">
        <v>-176.26058299187252</v>
      </c>
      <c r="F69" s="44">
        <v>-145.78886381</v>
      </c>
      <c r="G69" s="44">
        <v>0</v>
      </c>
      <c r="H69" s="44">
        <v>0</v>
      </c>
      <c r="I69" s="44">
        <v>0</v>
      </c>
    </row>
    <row r="70" spans="1:9" ht="14.25">
      <c r="A70" s="43" t="str">
        <f>HLOOKUP(INDICE!$F$2,Nombres!$C$3:$D$636,39,FALSE)</f>
        <v>  Administration expenses</v>
      </c>
      <c r="B70" s="44">
        <v>-86.88062239707617</v>
      </c>
      <c r="C70" s="44">
        <v>-105.75982825990204</v>
      </c>
      <c r="D70" s="44">
        <v>-142.7659657530919</v>
      </c>
      <c r="E70" s="45">
        <v>-163.16548266544373</v>
      </c>
      <c r="F70" s="44">
        <v>-139.93386381</v>
      </c>
      <c r="G70" s="44">
        <v>0</v>
      </c>
      <c r="H70" s="44">
        <v>0</v>
      </c>
      <c r="I70" s="44">
        <v>0</v>
      </c>
    </row>
    <row r="71" spans="1:9" ht="14.25">
      <c r="A71" s="46" t="str">
        <f>HLOOKUP(INDICE!$F$2,Nombres!$C$3:$D$636,40,FALSE)</f>
        <v>  Personnel expenses</v>
      </c>
      <c r="B71" s="44">
        <v>-48.98412113207014</v>
      </c>
      <c r="C71" s="44">
        <v>-58.144720258203705</v>
      </c>
      <c r="D71" s="44">
        <v>-70.90187297972275</v>
      </c>
      <c r="E71" s="45">
        <v>-82.42476270950883</v>
      </c>
      <c r="F71" s="44">
        <v>-75.525</v>
      </c>
      <c r="G71" s="44">
        <v>0</v>
      </c>
      <c r="H71" s="44">
        <v>0</v>
      </c>
      <c r="I71" s="44">
        <v>0</v>
      </c>
    </row>
    <row r="72" spans="1:9" ht="14.25">
      <c r="A72" s="46" t="str">
        <f>HLOOKUP(INDICE!$F$2,Nombres!$C$3:$D$636,41,FALSE)</f>
        <v>  General and administrative expenses</v>
      </c>
      <c r="B72" s="44">
        <v>-37.89650126500601</v>
      </c>
      <c r="C72" s="44">
        <v>-47.61510800169833</v>
      </c>
      <c r="D72" s="44">
        <v>-71.86409277336915</v>
      </c>
      <c r="E72" s="45">
        <v>-80.7407199559349</v>
      </c>
      <c r="F72" s="44">
        <v>-64.40886381000001</v>
      </c>
      <c r="G72" s="44">
        <v>0</v>
      </c>
      <c r="H72" s="44">
        <v>0</v>
      </c>
      <c r="I72" s="44">
        <v>0</v>
      </c>
    </row>
    <row r="73" spans="1:9" ht="14.25">
      <c r="A73" s="43" t="str">
        <f>HLOOKUP(INDICE!$F$2,Nombres!$C$3:$D$636,42,FALSE)</f>
        <v>  Depreciation</v>
      </c>
      <c r="B73" s="44">
        <v>-6.8688848635023145</v>
      </c>
      <c r="C73" s="44">
        <v>-9.621869346923035</v>
      </c>
      <c r="D73" s="44">
        <v>-11.04623380679883</v>
      </c>
      <c r="E73" s="45">
        <v>-13.095100326428792</v>
      </c>
      <c r="F73" s="44">
        <v>-5.8549999999999995</v>
      </c>
      <c r="G73" s="44">
        <v>0</v>
      </c>
      <c r="H73" s="44">
        <v>0</v>
      </c>
      <c r="I73" s="44">
        <v>0</v>
      </c>
    </row>
    <row r="74" spans="1:9" ht="14.25">
      <c r="A74" s="41" t="str">
        <f>HLOOKUP(INDICE!$F$2,Nombres!$C$3:$D$636,43,FALSE)</f>
        <v>Operating income</v>
      </c>
      <c r="B74" s="41">
        <f>+B68+B69</f>
        <v>16.15550995354242</v>
      </c>
      <c r="C74" s="41">
        <f aca="true" t="shared" si="10" ref="C74:I74">+C68+C69</f>
        <v>53.380555511353066</v>
      </c>
      <c r="D74" s="41">
        <f t="shared" si="10"/>
        <v>77.41890781844384</v>
      </c>
      <c r="E74" s="42">
        <f t="shared" si="10"/>
        <v>75.89917086810641</v>
      </c>
      <c r="F74" s="50">
        <f t="shared" si="10"/>
        <v>82.19736419</v>
      </c>
      <c r="G74" s="50">
        <f t="shared" si="10"/>
        <v>0</v>
      </c>
      <c r="H74" s="50">
        <f t="shared" si="10"/>
        <v>0</v>
      </c>
      <c r="I74" s="50">
        <f t="shared" si="10"/>
        <v>0</v>
      </c>
    </row>
    <row r="75" spans="1:9" ht="14.25">
      <c r="A75" s="43" t="str">
        <f>HLOOKUP(INDICE!$F$2,Nombres!$C$3:$D$636,44,FALSE)</f>
        <v>Impaiment on financial assets not measured at fair value through profit or loss</v>
      </c>
      <c r="B75" s="44">
        <v>-18.073383016176493</v>
      </c>
      <c r="C75" s="44">
        <v>-31.496218485273953</v>
      </c>
      <c r="D75" s="44">
        <v>-32.00707406537979</v>
      </c>
      <c r="E75" s="45">
        <v>-27.29953369451047</v>
      </c>
      <c r="F75" s="44">
        <v>-47.34899999999999</v>
      </c>
      <c r="G75" s="44">
        <v>0</v>
      </c>
      <c r="H75" s="44">
        <v>0</v>
      </c>
      <c r="I75" s="44">
        <v>0</v>
      </c>
    </row>
    <row r="76" spans="1:9" ht="14.25">
      <c r="A76" s="43" t="str">
        <f>HLOOKUP(INDICE!$F$2,Nombres!$C$3:$D$636,45,FALSE)</f>
        <v>Provisions or reversal of provisions and other results</v>
      </c>
      <c r="B76" s="44">
        <v>-1.6808783304844463</v>
      </c>
      <c r="C76" s="44">
        <v>-4.479379206549855</v>
      </c>
      <c r="D76" s="44">
        <v>-3.081318198704007</v>
      </c>
      <c r="E76" s="45">
        <v>-9.225320741142975</v>
      </c>
      <c r="F76" s="44">
        <v>-4.836000000000001</v>
      </c>
      <c r="G76" s="44">
        <v>0</v>
      </c>
      <c r="H76" s="44">
        <v>0</v>
      </c>
      <c r="I76" s="44">
        <v>0</v>
      </c>
    </row>
    <row r="77" spans="1:9" ht="14.25">
      <c r="A77" s="41" t="str">
        <f>HLOOKUP(INDICE!$F$2,Nombres!$C$3:$D$636,46,FALSE)</f>
        <v>Profit/(loss) before tax</v>
      </c>
      <c r="B77" s="41">
        <f>+B74+B75+B76</f>
        <v>-3.5987513931185187</v>
      </c>
      <c r="C77" s="41">
        <f aca="true" t="shared" si="11" ref="C77:I77">+C74+C75+C76</f>
        <v>17.40495781952926</v>
      </c>
      <c r="D77" s="41">
        <f t="shared" si="11"/>
        <v>42.33051555436005</v>
      </c>
      <c r="E77" s="42">
        <f t="shared" si="11"/>
        <v>39.374316432452964</v>
      </c>
      <c r="F77" s="50">
        <f t="shared" si="11"/>
        <v>30.01236419000001</v>
      </c>
      <c r="G77" s="50">
        <f t="shared" si="11"/>
        <v>0</v>
      </c>
      <c r="H77" s="50">
        <f t="shared" si="11"/>
        <v>0</v>
      </c>
      <c r="I77" s="50">
        <f t="shared" si="11"/>
        <v>0</v>
      </c>
    </row>
    <row r="78" spans="1:9" ht="14.25">
      <c r="A78" s="43" t="str">
        <f>HLOOKUP(INDICE!$F$2,Nombres!$C$3:$D$636,47,FALSE)</f>
        <v>Income tax</v>
      </c>
      <c r="B78" s="44">
        <v>0.19975474372780955</v>
      </c>
      <c r="C78" s="44">
        <v>-10.129411709233706</v>
      </c>
      <c r="D78" s="44">
        <v>-7.9275920159479885</v>
      </c>
      <c r="E78" s="45">
        <v>-11.240399323413472</v>
      </c>
      <c r="F78" s="44">
        <v>-4.880427639999995</v>
      </c>
      <c r="G78" s="44">
        <v>0</v>
      </c>
      <c r="H78" s="44">
        <v>0</v>
      </c>
      <c r="I78" s="44">
        <v>0</v>
      </c>
    </row>
    <row r="79" spans="1:9" ht="14.25">
      <c r="A79" s="41" t="str">
        <f>HLOOKUP(INDICE!$F$2,Nombres!$C$3:$D$636,48,FALSE)</f>
        <v>Profit/(loss) for the year</v>
      </c>
      <c r="B79" s="41">
        <f>+B77+B78</f>
        <v>-3.398996649390709</v>
      </c>
      <c r="C79" s="41">
        <f aca="true" t="shared" si="12" ref="C79:I79">+C77+C78</f>
        <v>7.2755461102955525</v>
      </c>
      <c r="D79" s="41">
        <f t="shared" si="12"/>
        <v>34.40292353841206</v>
      </c>
      <c r="E79" s="42">
        <f t="shared" si="12"/>
        <v>28.133917109039494</v>
      </c>
      <c r="F79" s="50">
        <f t="shared" si="12"/>
        <v>25.131936550000013</v>
      </c>
      <c r="G79" s="50">
        <f t="shared" si="12"/>
        <v>0</v>
      </c>
      <c r="H79" s="50">
        <f t="shared" si="12"/>
        <v>0</v>
      </c>
      <c r="I79" s="50">
        <f t="shared" si="12"/>
        <v>0</v>
      </c>
    </row>
    <row r="80" spans="1:9" ht="14.25">
      <c r="A80" s="43" t="str">
        <f>HLOOKUP(INDICE!$F$2,Nombres!$C$3:$D$636,49,FALSE)</f>
        <v>Non-controlling interests</v>
      </c>
      <c r="B80" s="44">
        <v>1.8562393075210855</v>
      </c>
      <c r="C80" s="44">
        <v>-1.1574089050921108</v>
      </c>
      <c r="D80" s="44">
        <v>-11.768440719339178</v>
      </c>
      <c r="E80" s="45">
        <v>-9.321863240619486</v>
      </c>
      <c r="F80" s="44">
        <v>-6.6799113699999975</v>
      </c>
      <c r="G80" s="44">
        <v>0</v>
      </c>
      <c r="H80" s="44">
        <v>0</v>
      </c>
      <c r="I80" s="44">
        <v>0</v>
      </c>
    </row>
    <row r="81" spans="1:9" ht="14.25">
      <c r="A81" s="47" t="str">
        <f>HLOOKUP(INDICE!$F$2,Nombres!$C$3:$D$636,50,FALSE)</f>
        <v>Net attributable profit</v>
      </c>
      <c r="B81" s="47">
        <f>+B79+B80</f>
        <v>-1.5427573418696237</v>
      </c>
      <c r="C81" s="47">
        <f aca="true" t="shared" si="13" ref="C81:I81">+C79+C80</f>
        <v>6.118137205203442</v>
      </c>
      <c r="D81" s="47">
        <f t="shared" si="13"/>
        <v>22.634482819072883</v>
      </c>
      <c r="E81" s="47">
        <f t="shared" si="13"/>
        <v>18.81205386842001</v>
      </c>
      <c r="F81" s="51">
        <f t="shared" si="13"/>
        <v>18.452025180000014</v>
      </c>
      <c r="G81" s="51">
        <f t="shared" si="13"/>
        <v>0</v>
      </c>
      <c r="H81" s="51">
        <f t="shared" si="13"/>
        <v>0</v>
      </c>
      <c r="I81" s="51">
        <f t="shared" si="13"/>
        <v>0</v>
      </c>
    </row>
    <row r="82" spans="1:9" ht="14.25">
      <c r="A82" s="62"/>
      <c r="B82" s="63">
        <v>0</v>
      </c>
      <c r="C82" s="63">
        <v>-3.6415315207705135E-14</v>
      </c>
      <c r="D82" s="63">
        <v>0</v>
      </c>
      <c r="E82" s="63">
        <v>-3.552713678800501E-14</v>
      </c>
      <c r="F82" s="63">
        <v>5.684341886080802E-14</v>
      </c>
      <c r="G82" s="63">
        <v>0</v>
      </c>
      <c r="H82" s="63">
        <v>0</v>
      </c>
      <c r="I82" s="63">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69"/>
      <c r="G84" s="69"/>
      <c r="H84" s="69"/>
      <c r="I84" s="69"/>
    </row>
    <row r="85" spans="1:9" ht="14.25">
      <c r="A85" s="35" t="str">
        <f>HLOOKUP(INDICE!$F$2,Nombres!$C$3:$D$636,73,FALSE)</f>
        <v>(Constant million euros)    </v>
      </c>
      <c r="B85" s="30"/>
      <c r="C85" s="52"/>
      <c r="D85" s="52"/>
      <c r="E85" s="52"/>
      <c r="F85" s="70"/>
      <c r="G85" s="44"/>
      <c r="H85" s="44"/>
      <c r="I85" s="44"/>
    </row>
    <row r="86" spans="1:9" ht="14.25">
      <c r="A86" s="30"/>
      <c r="B86" s="53">
        <f aca="true" t="shared" si="14" ref="B86:I86">+B$30</f>
        <v>44286</v>
      </c>
      <c r="C86" s="53">
        <f t="shared" si="14"/>
        <v>44377</v>
      </c>
      <c r="D86" s="53">
        <f t="shared" si="14"/>
        <v>44469</v>
      </c>
      <c r="E86" s="68">
        <f t="shared" si="14"/>
        <v>44561</v>
      </c>
      <c r="F86" s="53">
        <f t="shared" si="14"/>
        <v>44651</v>
      </c>
      <c r="G86" s="53">
        <f t="shared" si="14"/>
        <v>44742</v>
      </c>
      <c r="H86" s="53">
        <f t="shared" si="14"/>
        <v>44834</v>
      </c>
      <c r="I86" s="53">
        <f t="shared" si="14"/>
        <v>44926</v>
      </c>
    </row>
    <row r="87" spans="1:9" ht="14.25">
      <c r="A87" s="43" t="str">
        <f>HLOOKUP(INDICE!$F$2,Nombres!$C$3:$D$636,52,FALSE)</f>
        <v>Cash, cash balances at central banks and other demand deposits</v>
      </c>
      <c r="B87" s="44">
        <v>1589.137762014269</v>
      </c>
      <c r="C87" s="44">
        <v>1610.1423281920463</v>
      </c>
      <c r="D87" s="44">
        <v>1601.7020564885365</v>
      </c>
      <c r="E87" s="45">
        <v>1780.5396838624422</v>
      </c>
      <c r="F87" s="44">
        <v>1617.2679999999998</v>
      </c>
      <c r="G87" s="44">
        <v>0</v>
      </c>
      <c r="H87" s="44">
        <v>0</v>
      </c>
      <c r="I87" s="44">
        <v>0</v>
      </c>
    </row>
    <row r="88" spans="1:9" ht="14.25">
      <c r="A88" s="43" t="str">
        <f>HLOOKUP(INDICE!$F$2,Nombres!$C$3:$D$636,53,FALSE)</f>
        <v>Financial assets designated at fair value </v>
      </c>
      <c r="B88" s="58">
        <v>1180.03647647447</v>
      </c>
      <c r="C88" s="58">
        <v>1317.486167738235</v>
      </c>
      <c r="D88" s="58">
        <v>1461.4962034224163</v>
      </c>
      <c r="E88" s="65">
        <v>1503.0303577298992</v>
      </c>
      <c r="F88" s="44">
        <v>2951.362</v>
      </c>
      <c r="G88" s="44">
        <v>0</v>
      </c>
      <c r="H88" s="44">
        <v>0</v>
      </c>
      <c r="I88" s="44">
        <v>0</v>
      </c>
    </row>
    <row r="89" spans="1:9" ht="14.25">
      <c r="A89" s="43" t="str">
        <f>HLOOKUP(INDICE!$F$2,Nombres!$C$3:$D$636,54,FALSE)</f>
        <v>Financial assets at amortized cost</v>
      </c>
      <c r="B89" s="44">
        <v>2814.860143059511</v>
      </c>
      <c r="C89" s="44">
        <v>3612.934866175696</v>
      </c>
      <c r="D89" s="44">
        <v>3858.7686416184047</v>
      </c>
      <c r="E89" s="45">
        <v>4562.166746157015</v>
      </c>
      <c r="F89" s="44">
        <v>4265.255999999999</v>
      </c>
      <c r="G89" s="44">
        <v>0</v>
      </c>
      <c r="H89" s="44">
        <v>0</v>
      </c>
      <c r="I89" s="44">
        <v>0</v>
      </c>
    </row>
    <row r="90" spans="1:9" ht="14.25">
      <c r="A90" s="43" t="str">
        <f>HLOOKUP(INDICE!$F$2,Nombres!$C$3:$D$636,55,FALSE)</f>
        <v>    of which loans and advances to customers</v>
      </c>
      <c r="B90" s="44">
        <v>2345.860689068245</v>
      </c>
      <c r="C90" s="44">
        <v>2510.727983351986</v>
      </c>
      <c r="D90" s="44">
        <v>2699.8082804162996</v>
      </c>
      <c r="E90" s="45">
        <v>3115.6193162033096</v>
      </c>
      <c r="F90" s="44">
        <v>3349.9570000000003</v>
      </c>
      <c r="G90" s="44">
        <v>0</v>
      </c>
      <c r="H90" s="44">
        <v>0</v>
      </c>
      <c r="I90" s="44">
        <v>0</v>
      </c>
    </row>
    <row r="91" spans="1:9" ht="14.25">
      <c r="A91" s="43"/>
      <c r="B91" s="44"/>
      <c r="C91" s="44"/>
      <c r="D91" s="44"/>
      <c r="E91" s="45"/>
      <c r="F91" s="44"/>
      <c r="G91" s="44"/>
      <c r="H91" s="44"/>
      <c r="I91" s="44"/>
    </row>
    <row r="92" spans="1:9" ht="14.25">
      <c r="A92" s="43" t="str">
        <f>HLOOKUP(INDICE!$F$2,Nombres!$C$3:$D$636,56,FALSE)</f>
        <v>Tangible assets</v>
      </c>
      <c r="B92" s="44">
        <v>347.06170434057105</v>
      </c>
      <c r="C92" s="44">
        <v>368.2823092397907</v>
      </c>
      <c r="D92" s="44">
        <v>392.75697594750454</v>
      </c>
      <c r="E92" s="45">
        <v>445.59272953949926</v>
      </c>
      <c r="F92" s="44">
        <v>524.04</v>
      </c>
      <c r="G92" s="44">
        <v>0</v>
      </c>
      <c r="H92" s="44">
        <v>0</v>
      </c>
      <c r="I92" s="44">
        <v>0</v>
      </c>
    </row>
    <row r="93" spans="1:9" ht="14.25">
      <c r="A93" s="43" t="str">
        <f>HLOOKUP(INDICE!$F$2,Nombres!$C$3:$D$636,57,FALSE)</f>
        <v>Other assets</v>
      </c>
      <c r="B93" s="58">
        <f>+B94-B92-B89-B88-B87</f>
        <v>258.54724664325886</v>
      </c>
      <c r="C93" s="58">
        <f aca="true" t="shared" si="15" ref="C93:I93">+C94-C92-C89-C88-C87</f>
        <v>272.47539705383474</v>
      </c>
      <c r="D93" s="58">
        <f t="shared" si="15"/>
        <v>251.53480102343838</v>
      </c>
      <c r="E93" s="65">
        <f t="shared" si="15"/>
        <v>269.83165593141507</v>
      </c>
      <c r="F93" s="44">
        <f t="shared" si="15"/>
        <v>297.0854528299999</v>
      </c>
      <c r="G93" s="44">
        <f t="shared" si="15"/>
        <v>0</v>
      </c>
      <c r="H93" s="44">
        <f t="shared" si="15"/>
        <v>0</v>
      </c>
      <c r="I93" s="44">
        <f t="shared" si="15"/>
        <v>0</v>
      </c>
    </row>
    <row r="94" spans="1:9" ht="14.25">
      <c r="A94" s="47" t="str">
        <f>HLOOKUP(INDICE!$F$2,Nombres!$C$3:$D$636,58,FALSE)</f>
        <v>Total assets / Liabilities and equity</v>
      </c>
      <c r="B94" s="47">
        <v>6189.6433325320795</v>
      </c>
      <c r="C94" s="47">
        <v>7181.321068399602</v>
      </c>
      <c r="D94" s="47">
        <v>7566.2586785003</v>
      </c>
      <c r="E94" s="47">
        <v>8561.161173220271</v>
      </c>
      <c r="F94" s="51">
        <v>9655.01145283</v>
      </c>
      <c r="G94" s="51">
        <v>0</v>
      </c>
      <c r="H94" s="51">
        <v>0</v>
      </c>
      <c r="I94" s="51">
        <v>0</v>
      </c>
    </row>
    <row r="95" spans="1:9" ht="14.25">
      <c r="A95" s="43" t="str">
        <f>HLOOKUP(INDICE!$F$2,Nombres!$C$3:$D$636,59,FALSE)</f>
        <v>Financial liabilities held for trading and designated at fair value through profit or loss</v>
      </c>
      <c r="B95" s="58">
        <v>3.239135187596518</v>
      </c>
      <c r="C95" s="58">
        <v>1.1527969328378644</v>
      </c>
      <c r="D95" s="58">
        <v>3.239489613902597</v>
      </c>
      <c r="E95" s="65">
        <v>2.5518968055374103</v>
      </c>
      <c r="F95" s="44">
        <v>2.659</v>
      </c>
      <c r="G95" s="44">
        <v>0</v>
      </c>
      <c r="H95" s="44">
        <v>0</v>
      </c>
      <c r="I95" s="44">
        <v>0</v>
      </c>
    </row>
    <row r="96" spans="1:9" ht="14.25">
      <c r="A96" s="43" t="str">
        <f>HLOOKUP(INDICE!$F$2,Nombres!$C$3:$D$636,60,FALSE)</f>
        <v>Deposits from central banks and credit institutions</v>
      </c>
      <c r="B96" s="58">
        <v>105.4614780164907</v>
      </c>
      <c r="C96" s="58">
        <v>97.94986695608517</v>
      </c>
      <c r="D96" s="58">
        <v>99.32887781768392</v>
      </c>
      <c r="E96" s="65">
        <v>106.19198725413176</v>
      </c>
      <c r="F96" s="44">
        <v>116.77300000000004</v>
      </c>
      <c r="G96" s="44">
        <v>0</v>
      </c>
      <c r="H96" s="44">
        <v>0</v>
      </c>
      <c r="I96" s="44">
        <v>0</v>
      </c>
    </row>
    <row r="97" spans="1:9" ht="14.25">
      <c r="A97" s="43" t="str">
        <f>HLOOKUP(INDICE!$F$2,Nombres!$C$3:$D$636,61,FALSE)</f>
        <v>Deposits from customers</v>
      </c>
      <c r="B97" s="58">
        <v>4121.0101019474105</v>
      </c>
      <c r="C97" s="58">
        <v>4941.269148640893</v>
      </c>
      <c r="D97" s="58">
        <v>5119.155659012812</v>
      </c>
      <c r="E97" s="65">
        <v>5748.945258511489</v>
      </c>
      <c r="F97" s="44">
        <v>6466.273999999999</v>
      </c>
      <c r="G97" s="44">
        <v>0</v>
      </c>
      <c r="H97" s="44">
        <v>0</v>
      </c>
      <c r="I97" s="44">
        <v>0</v>
      </c>
    </row>
    <row r="98" spans="1:9" ht="14.25">
      <c r="A98" s="43" t="str">
        <f>HLOOKUP(INDICE!$F$2,Nombres!$C$3:$D$636,62,FALSE)</f>
        <v>Debt certificates</v>
      </c>
      <c r="B98" s="44">
        <v>169.6945150633509</v>
      </c>
      <c r="C98" s="44">
        <v>168.53419181964563</v>
      </c>
      <c r="D98" s="44">
        <v>185.1603189966141</v>
      </c>
      <c r="E98" s="45">
        <v>216.03213845084784</v>
      </c>
      <c r="F98" s="44">
        <v>251.78840171</v>
      </c>
      <c r="G98" s="44">
        <v>0</v>
      </c>
      <c r="H98" s="44">
        <v>0</v>
      </c>
      <c r="I98" s="44">
        <v>0</v>
      </c>
    </row>
    <row r="99" spans="1:9" ht="14.25">
      <c r="A99" s="43"/>
      <c r="B99" s="44"/>
      <c r="C99" s="44"/>
      <c r="D99" s="44"/>
      <c r="E99" s="45"/>
      <c r="F99" s="44"/>
      <c r="G99" s="44"/>
      <c r="H99" s="44"/>
      <c r="I99" s="44"/>
    </row>
    <row r="100" spans="1:9" ht="14.25">
      <c r="A100" s="43" t="str">
        <f>HLOOKUP(INDICE!$F$2,Nombres!$C$3:$D$636,63,FALSE)</f>
        <v>Other liabilities</v>
      </c>
      <c r="B100" s="58">
        <f>+B94-B95-B96-B97-B98-B101</f>
        <v>1211.1830925947054</v>
      </c>
      <c r="C100" s="58">
        <f aca="true" t="shared" si="16" ref="C100:I100">+C94-C95-C96-C97-C98-C101</f>
        <v>1376.0340861453965</v>
      </c>
      <c r="D100" s="58">
        <f t="shared" si="16"/>
        <v>1499.1799223913827</v>
      </c>
      <c r="E100" s="65">
        <f t="shared" si="16"/>
        <v>1762.7645665082641</v>
      </c>
      <c r="F100" s="44">
        <f t="shared" si="16"/>
        <v>1962.178336110002</v>
      </c>
      <c r="G100" s="44">
        <f t="shared" si="16"/>
        <v>0</v>
      </c>
      <c r="H100" s="44">
        <f t="shared" si="16"/>
        <v>0</v>
      </c>
      <c r="I100" s="44">
        <f t="shared" si="16"/>
        <v>0</v>
      </c>
    </row>
    <row r="101" spans="1:9" ht="14.25">
      <c r="A101" s="43" t="str">
        <f>HLOOKUP(INDICE!$F$2,Nombres!$C$3:$D$636,282,FALSE)</f>
        <v>Regulatory capital allocated</v>
      </c>
      <c r="B101" s="58">
        <v>579.0550097225248</v>
      </c>
      <c r="C101" s="58">
        <v>596.3809779047435</v>
      </c>
      <c r="D101" s="58">
        <v>660.1944106679058</v>
      </c>
      <c r="E101" s="65">
        <v>724.6753256900024</v>
      </c>
      <c r="F101" s="44">
        <v>855.3387150099999</v>
      </c>
      <c r="G101" s="44">
        <v>0</v>
      </c>
      <c r="H101" s="44">
        <v>0</v>
      </c>
      <c r="I101" s="44">
        <v>0</v>
      </c>
    </row>
    <row r="102" spans="1:9" ht="14.25">
      <c r="A102" s="62"/>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69"/>
      <c r="G104" s="69"/>
      <c r="H104" s="69"/>
      <c r="I104" s="69"/>
    </row>
    <row r="105" spans="1:9" ht="14.25">
      <c r="A105" s="35" t="str">
        <f>HLOOKUP(INDICE!$F$2,Nombres!$C$3:$D$636,73,FALSE)</f>
        <v>(Constant million euros)    </v>
      </c>
      <c r="B105" s="30"/>
      <c r="C105" s="30"/>
      <c r="D105" s="30"/>
      <c r="E105" s="30"/>
      <c r="F105" s="70"/>
      <c r="G105" s="44"/>
      <c r="H105" s="44"/>
      <c r="I105" s="44"/>
    </row>
    <row r="106" spans="1:9" ht="14.25">
      <c r="A106" s="30"/>
      <c r="B106" s="53">
        <f aca="true" t="shared" si="17" ref="B106:I106">+B$30</f>
        <v>44286</v>
      </c>
      <c r="C106" s="53">
        <f t="shared" si="17"/>
        <v>44377</v>
      </c>
      <c r="D106" s="53">
        <f t="shared" si="17"/>
        <v>44469</v>
      </c>
      <c r="E106" s="68">
        <f t="shared" si="17"/>
        <v>44561</v>
      </c>
      <c r="F106" s="53">
        <f t="shared" si="17"/>
        <v>44651</v>
      </c>
      <c r="G106" s="53">
        <f t="shared" si="17"/>
        <v>44742</v>
      </c>
      <c r="H106" s="53">
        <f t="shared" si="17"/>
        <v>44834</v>
      </c>
      <c r="I106" s="53">
        <f t="shared" si="17"/>
        <v>44926</v>
      </c>
    </row>
    <row r="107" spans="1:9" ht="14.25">
      <c r="A107" s="43" t="str">
        <f>HLOOKUP(INDICE!$F$2,Nombres!$C$3:$D$636,66,FALSE)</f>
        <v>Loans and advances to customers (gross) (*)</v>
      </c>
      <c r="B107" s="44">
        <v>2460.8150758498614</v>
      </c>
      <c r="C107" s="44">
        <v>2635.510848047613</v>
      </c>
      <c r="D107" s="44">
        <v>2830.183254193312</v>
      </c>
      <c r="E107" s="45">
        <v>3227.055857116058</v>
      </c>
      <c r="F107" s="44">
        <v>3446.8974832</v>
      </c>
      <c r="G107" s="44">
        <v>0</v>
      </c>
      <c r="H107" s="44">
        <v>0</v>
      </c>
      <c r="I107" s="44">
        <v>0</v>
      </c>
    </row>
    <row r="108" spans="1:9" ht="14.25">
      <c r="A108" s="43" t="str">
        <f>HLOOKUP(INDICE!$F$2,Nombres!$C$3:$D$636,67,FALSE)</f>
        <v>Customer deposits under management (*)</v>
      </c>
      <c r="B108" s="44">
        <v>4121.011660024852</v>
      </c>
      <c r="C108" s="44">
        <v>4941.268100334657</v>
      </c>
      <c r="D108" s="44">
        <v>5119.155829062812</v>
      </c>
      <c r="E108" s="45">
        <v>5748.943035081609</v>
      </c>
      <c r="F108" s="44">
        <v>6466.27290943</v>
      </c>
      <c r="G108" s="44">
        <v>0</v>
      </c>
      <c r="H108" s="44">
        <v>0</v>
      </c>
      <c r="I108" s="44">
        <v>0</v>
      </c>
    </row>
    <row r="109" spans="1:9" ht="14.25">
      <c r="A109" s="43" t="str">
        <f>HLOOKUP(INDICE!$F$2,Nombres!$C$3:$D$636,68,FALSE)</f>
        <v>Investment funds and managed portfolios</v>
      </c>
      <c r="B109" s="44">
        <v>1162.094628537332</v>
      </c>
      <c r="C109" s="44">
        <v>1243.4168463265837</v>
      </c>
      <c r="D109" s="44">
        <v>1553.7821204967918</v>
      </c>
      <c r="E109" s="45">
        <v>1621.9788687641662</v>
      </c>
      <c r="F109" s="44">
        <v>1985.78785607</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2" t="str">
        <f>HLOOKUP(INDICE!$F$2,Nombres!$C$3:$D$636,71,FALSE)</f>
        <v>(*) Excluding repos. </v>
      </c>
      <c r="B112" s="58"/>
      <c r="C112" s="58"/>
      <c r="D112" s="58"/>
      <c r="E112" s="58"/>
      <c r="F112" s="58"/>
      <c r="G112" s="58"/>
      <c r="H112" s="58"/>
      <c r="I112" s="58"/>
    </row>
    <row r="113" spans="1:9" ht="14.25">
      <c r="A113" s="62">
        <f>HLOOKUP(INDICE!$F$2,Nombres!$C$3:$D$636,72,FALSE)</f>
        <v>0</v>
      </c>
      <c r="B113" s="30"/>
      <c r="C113" s="30"/>
      <c r="D113" s="30"/>
      <c r="E113" s="30"/>
      <c r="F113" s="30"/>
      <c r="G113" s="30"/>
      <c r="H113" s="30"/>
      <c r="I113" s="30"/>
    </row>
    <row r="114" spans="1:9" ht="14.25">
      <c r="A114" s="62"/>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HLOOKUP(INDICE!$F$2,Nombres!$C$3:$D$636,78,FALSE)</f>
        <v>(Million Argentinian pesos)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1">
        <f>+B$6</f>
        <v>2021</v>
      </c>
      <c r="C118" s="301"/>
      <c r="D118" s="301"/>
      <c r="E118" s="302"/>
      <c r="F118" s="301">
        <f>+F$6</f>
        <v>2022</v>
      </c>
      <c r="G118" s="301"/>
      <c r="H118" s="301"/>
      <c r="I118" s="301"/>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21735.656959069278</v>
      </c>
      <c r="C120" s="41">
        <v>26758.454143550065</v>
      </c>
      <c r="D120" s="41">
        <v>32552.26818263314</v>
      </c>
      <c r="E120" s="42">
        <v>41353.91734199981</v>
      </c>
      <c r="F120" s="50">
        <v>39255.376981208814</v>
      </c>
      <c r="G120" s="50">
        <v>0</v>
      </c>
      <c r="H120" s="50">
        <v>0</v>
      </c>
      <c r="I120" s="50">
        <v>0</v>
      </c>
    </row>
    <row r="121" spans="1:9" ht="14.25">
      <c r="A121" s="43" t="str">
        <f>HLOOKUP(INDICE!$F$2,Nombres!$C$3:$D$636,34,FALSE)</f>
        <v>Net fees and commissions</v>
      </c>
      <c r="B121" s="44">
        <v>3365.2045704127745</v>
      </c>
      <c r="C121" s="44">
        <v>6159.171520703305</v>
      </c>
      <c r="D121" s="44">
        <v>7016.5727384810925</v>
      </c>
      <c r="E121" s="45">
        <v>7036.341768693674</v>
      </c>
      <c r="F121" s="44">
        <v>7516.917595045193</v>
      </c>
      <c r="G121" s="44">
        <v>0</v>
      </c>
      <c r="H121" s="44">
        <v>0</v>
      </c>
      <c r="I121" s="44">
        <v>0</v>
      </c>
    </row>
    <row r="122" spans="1:9" ht="14.25">
      <c r="A122" s="43" t="str">
        <f>HLOOKUP(INDICE!$F$2,Nombres!$C$3:$D$636,35,FALSE)</f>
        <v>Net trading income</v>
      </c>
      <c r="B122" s="44">
        <v>2776.0698261513107</v>
      </c>
      <c r="C122" s="44">
        <v>2951.9460733159035</v>
      </c>
      <c r="D122" s="44">
        <v>2940.694890179773</v>
      </c>
      <c r="E122" s="45">
        <v>2025.0348765523192</v>
      </c>
      <c r="F122" s="44">
        <v>4189.318622586353</v>
      </c>
      <c r="G122" s="44">
        <v>0</v>
      </c>
      <c r="H122" s="44">
        <v>0</v>
      </c>
      <c r="I122" s="44">
        <v>0</v>
      </c>
    </row>
    <row r="123" spans="1:9" ht="14.25">
      <c r="A123" s="43" t="str">
        <f>HLOOKUP(INDICE!$F$2,Nombres!$C$3:$D$636,36,FALSE)</f>
        <v>Other operating income and expenses</v>
      </c>
      <c r="B123" s="44">
        <v>-13047.324336326277</v>
      </c>
      <c r="C123" s="44">
        <v>-15001.86287632614</v>
      </c>
      <c r="D123" s="44">
        <v>-13818.287526209393</v>
      </c>
      <c r="E123" s="45">
        <v>-19570.77610866346</v>
      </c>
      <c r="F123" s="44">
        <v>-22889.981515788615</v>
      </c>
      <c r="G123" s="44">
        <v>0</v>
      </c>
      <c r="H123" s="44">
        <v>0</v>
      </c>
      <c r="I123" s="44">
        <v>0</v>
      </c>
    </row>
    <row r="124" spans="1:9" ht="14.25">
      <c r="A124" s="41" t="str">
        <f>HLOOKUP(INDICE!$F$2,Nombres!$C$3:$D$636,37,FALSE)</f>
        <v>Gross income</v>
      </c>
      <c r="B124" s="41">
        <f>+SUM(B120:B123)</f>
        <v>14829.607019307085</v>
      </c>
      <c r="C124" s="41">
        <f aca="true" t="shared" si="19" ref="C124:I124">+SUM(C120:C123)</f>
        <v>20867.708861243136</v>
      </c>
      <c r="D124" s="41">
        <f t="shared" si="19"/>
        <v>28691.248285084606</v>
      </c>
      <c r="E124" s="42">
        <f t="shared" si="19"/>
        <v>30844.51787858234</v>
      </c>
      <c r="F124" s="50">
        <f t="shared" si="19"/>
        <v>28071.631683051743</v>
      </c>
      <c r="G124" s="50">
        <f t="shared" si="19"/>
        <v>0</v>
      </c>
      <c r="H124" s="50">
        <f t="shared" si="19"/>
        <v>0</v>
      </c>
      <c r="I124" s="50">
        <f t="shared" si="19"/>
        <v>0</v>
      </c>
    </row>
    <row r="125" spans="1:9" ht="14.25">
      <c r="A125" s="43" t="str">
        <f>HLOOKUP(INDICE!$F$2,Nombres!$C$3:$D$636,38,FALSE)</f>
        <v>Operating expenses</v>
      </c>
      <c r="B125" s="44">
        <v>-11442.394257914146</v>
      </c>
      <c r="C125" s="44">
        <v>-14054.76614190039</v>
      </c>
      <c r="D125" s="44">
        <v>-18711.769598807507</v>
      </c>
      <c r="E125" s="45">
        <v>-21468.59057887973</v>
      </c>
      <c r="F125" s="44">
        <v>-17950.782923453222</v>
      </c>
      <c r="G125" s="44">
        <v>0</v>
      </c>
      <c r="H125" s="44">
        <v>0</v>
      </c>
      <c r="I125" s="44">
        <v>0</v>
      </c>
    </row>
    <row r="126" spans="1:9" ht="14.25">
      <c r="A126" s="43" t="str">
        <f>HLOOKUP(INDICE!$F$2,Nombres!$C$3:$D$636,39,FALSE)</f>
        <v>  Administration expenses</v>
      </c>
      <c r="B126" s="44">
        <v>-10642.577286227179</v>
      </c>
      <c r="C126" s="44">
        <v>-12904.468709681145</v>
      </c>
      <c r="D126" s="44">
        <v>-17407.34715520446</v>
      </c>
      <c r="E126" s="45">
        <v>-19882.872983606692</v>
      </c>
      <c r="F126" s="44">
        <v>-17229.864800695963</v>
      </c>
      <c r="G126" s="44">
        <v>0</v>
      </c>
      <c r="H126" s="44">
        <v>0</v>
      </c>
      <c r="I126" s="44">
        <v>0</v>
      </c>
    </row>
    <row r="127" spans="1:9" ht="14.25">
      <c r="A127" s="46" t="str">
        <f>HLOOKUP(INDICE!$F$2,Nombres!$C$3:$D$636,40,FALSE)</f>
        <v>  Personnel expenses</v>
      </c>
      <c r="B127" s="44">
        <v>-5999.705498722209</v>
      </c>
      <c r="C127" s="44">
        <v>-7096.519460579362</v>
      </c>
      <c r="D127" s="44">
        <v>-8638.174647986692</v>
      </c>
      <c r="E127" s="45">
        <v>-10043.280688462253</v>
      </c>
      <c r="F127" s="44">
        <v>-9299.289704738145</v>
      </c>
      <c r="G127" s="44">
        <v>0</v>
      </c>
      <c r="H127" s="44">
        <v>0</v>
      </c>
      <c r="I127" s="44">
        <v>0</v>
      </c>
    </row>
    <row r="128" spans="1:9" ht="14.25">
      <c r="A128" s="46" t="str">
        <f>HLOOKUP(INDICE!$F$2,Nombres!$C$3:$D$636,41,FALSE)</f>
        <v>  General and administrative expenses</v>
      </c>
      <c r="B128" s="44">
        <v>-4642.8717875049715</v>
      </c>
      <c r="C128" s="44">
        <v>-5807.9492491017845</v>
      </c>
      <c r="D128" s="44">
        <v>-8769.172507217772</v>
      </c>
      <c r="E128" s="45">
        <v>-9839.59229514444</v>
      </c>
      <c r="F128" s="44">
        <v>-7930.575095957818</v>
      </c>
      <c r="G128" s="44">
        <v>0</v>
      </c>
      <c r="H128" s="44">
        <v>0</v>
      </c>
      <c r="I128" s="44">
        <v>0</v>
      </c>
    </row>
    <row r="129" spans="1:9" ht="14.25">
      <c r="A129" s="43" t="str">
        <f>HLOOKUP(INDICE!$F$2,Nombres!$C$3:$D$636,42,FALSE)</f>
        <v>  Depreciation</v>
      </c>
      <c r="B129" s="44">
        <v>-799.8169716869681</v>
      </c>
      <c r="C129" s="44">
        <v>-1150.297432219244</v>
      </c>
      <c r="D129" s="44">
        <v>-1304.4224436030456</v>
      </c>
      <c r="E129" s="45">
        <v>-1585.7175952730377</v>
      </c>
      <c r="F129" s="44">
        <v>-720.918122757257</v>
      </c>
      <c r="G129" s="44">
        <v>0</v>
      </c>
      <c r="H129" s="44">
        <v>0</v>
      </c>
      <c r="I129" s="44">
        <v>0</v>
      </c>
    </row>
    <row r="130" spans="1:9" ht="14.25">
      <c r="A130" s="41" t="str">
        <f>HLOOKUP(INDICE!$F$2,Nombres!$C$3:$D$636,43,FALSE)</f>
        <v>Operating income</v>
      </c>
      <c r="B130" s="41">
        <f>+B124+B125</f>
        <v>3387.212761392939</v>
      </c>
      <c r="C130" s="41">
        <f aca="true" t="shared" si="20" ref="C130:I130">+C124+C125</f>
        <v>6812.9427193427455</v>
      </c>
      <c r="D130" s="41">
        <f t="shared" si="20"/>
        <v>9979.4786862771</v>
      </c>
      <c r="E130" s="42">
        <f t="shared" si="20"/>
        <v>9375.92729970261</v>
      </c>
      <c r="F130" s="50">
        <f t="shared" si="20"/>
        <v>10120.84875959852</v>
      </c>
      <c r="G130" s="50">
        <f t="shared" si="20"/>
        <v>0</v>
      </c>
      <c r="H130" s="50">
        <f t="shared" si="20"/>
        <v>0</v>
      </c>
      <c r="I130" s="50">
        <f t="shared" si="20"/>
        <v>0</v>
      </c>
    </row>
    <row r="131" spans="1:9" ht="14.25">
      <c r="A131" s="43" t="str">
        <f>HLOOKUP(INDICE!$F$2,Nombres!$C$3:$D$636,44,FALSE)</f>
        <v>Impaiment on financial assets not measured at fair value through profit or loss</v>
      </c>
      <c r="B131" s="44">
        <v>-2215.0768220999025</v>
      </c>
      <c r="C131" s="44">
        <v>-3837.3749453017717</v>
      </c>
      <c r="D131" s="44">
        <v>-3868.3082401255815</v>
      </c>
      <c r="E131" s="45">
        <v>-3297.189114074396</v>
      </c>
      <c r="F131" s="44">
        <v>-5830.017454215773</v>
      </c>
      <c r="G131" s="44">
        <v>0</v>
      </c>
      <c r="H131" s="44">
        <v>0</v>
      </c>
      <c r="I131" s="44">
        <v>0</v>
      </c>
    </row>
    <row r="132" spans="1:9" ht="14.25">
      <c r="A132" s="43" t="str">
        <f>HLOOKUP(INDICE!$F$2,Nombres!$C$3:$D$636,45,FALSE)</f>
        <v>Provisions or reversal of provisions and other results</v>
      </c>
      <c r="B132" s="44">
        <v>-211.11372749569747</v>
      </c>
      <c r="C132" s="44">
        <v>-550.4613365749893</v>
      </c>
      <c r="D132" s="44">
        <v>-374.4727047255634</v>
      </c>
      <c r="E132" s="45">
        <v>-1130.9304131954575</v>
      </c>
      <c r="F132" s="44">
        <v>-595.4500498128259</v>
      </c>
      <c r="G132" s="44">
        <v>0</v>
      </c>
      <c r="H132" s="44">
        <v>0</v>
      </c>
      <c r="I132" s="44">
        <v>0</v>
      </c>
    </row>
    <row r="133" spans="1:9" ht="14.25">
      <c r="A133" s="41" t="str">
        <f>HLOOKUP(INDICE!$F$2,Nombres!$C$3:$D$636,46,FALSE)</f>
        <v>Profit/(loss) before tax</v>
      </c>
      <c r="B133" s="41">
        <f>+B130+B131+B132</f>
        <v>961.0222117973387</v>
      </c>
      <c r="C133" s="41">
        <f aca="true" t="shared" si="21" ref="C133:I133">+C130+C131+C132</f>
        <v>2425.1064374659845</v>
      </c>
      <c r="D133" s="41">
        <f t="shared" si="21"/>
        <v>5736.6977414259545</v>
      </c>
      <c r="E133" s="42">
        <f t="shared" si="21"/>
        <v>4947.807772432756</v>
      </c>
      <c r="F133" s="50">
        <f t="shared" si="21"/>
        <v>3695.381255569922</v>
      </c>
      <c r="G133" s="50">
        <f t="shared" si="21"/>
        <v>0</v>
      </c>
      <c r="H133" s="50">
        <f t="shared" si="21"/>
        <v>0</v>
      </c>
      <c r="I133" s="50">
        <f t="shared" si="21"/>
        <v>0</v>
      </c>
    </row>
    <row r="134" spans="1:9" ht="14.25">
      <c r="A134" s="43" t="str">
        <f>HLOOKUP(INDICE!$F$2,Nombres!$C$3:$D$636,47,FALSE)</f>
        <v>Income tax</v>
      </c>
      <c r="B134" s="44">
        <v>-370.41243705480065</v>
      </c>
      <c r="C134" s="44">
        <v>-1153.2452280933553</v>
      </c>
      <c r="D134" s="44">
        <v>-1220.5962790118053</v>
      </c>
      <c r="E134" s="45">
        <v>-1478.2837493599184</v>
      </c>
      <c r="F134" s="44">
        <v>-600.9203642154448</v>
      </c>
      <c r="G134" s="44">
        <v>0</v>
      </c>
      <c r="H134" s="44">
        <v>0</v>
      </c>
      <c r="I134" s="44">
        <v>0</v>
      </c>
    </row>
    <row r="135" spans="1:9" ht="14.25">
      <c r="A135" s="41" t="str">
        <f>HLOOKUP(INDICE!$F$2,Nombres!$C$3:$D$636,48,FALSE)</f>
        <v>Profit/(loss) for the year</v>
      </c>
      <c r="B135" s="41">
        <f>+B133+B134</f>
        <v>590.6097747425381</v>
      </c>
      <c r="C135" s="41">
        <f aca="true" t="shared" si="22" ref="C135:I135">+C133+C134</f>
        <v>1271.8612093726292</v>
      </c>
      <c r="D135" s="41">
        <f t="shared" si="22"/>
        <v>4516.101462414149</v>
      </c>
      <c r="E135" s="42">
        <f t="shared" si="22"/>
        <v>3469.5240230728377</v>
      </c>
      <c r="F135" s="50">
        <f t="shared" si="22"/>
        <v>3094.460891354477</v>
      </c>
      <c r="G135" s="50">
        <f t="shared" si="22"/>
        <v>0</v>
      </c>
      <c r="H135" s="50">
        <f t="shared" si="22"/>
        <v>0</v>
      </c>
      <c r="I135" s="50">
        <f t="shared" si="22"/>
        <v>0</v>
      </c>
    </row>
    <row r="136" spans="1:9" ht="14.25">
      <c r="A136" s="43" t="str">
        <f>HLOOKUP(INDICE!$F$2,Nombres!$C$3:$D$636,49,FALSE)</f>
        <v>Non-controlling interests</v>
      </c>
      <c r="B136" s="44">
        <v>-115.43152613378948</v>
      </c>
      <c r="C136" s="44">
        <v>-270.1339852288121</v>
      </c>
      <c r="D136" s="44">
        <v>-1540.1517393508057</v>
      </c>
      <c r="E136" s="45">
        <v>-1144.853022958522</v>
      </c>
      <c r="F136" s="44">
        <v>-822.4883287865507</v>
      </c>
      <c r="G136" s="44">
        <v>0</v>
      </c>
      <c r="H136" s="44">
        <v>0</v>
      </c>
      <c r="I136" s="44">
        <v>0</v>
      </c>
    </row>
    <row r="137" spans="1:9" ht="14.25">
      <c r="A137" s="47" t="str">
        <f>HLOOKUP(INDICE!$F$2,Nombres!$C$3:$D$636,50,FALSE)</f>
        <v>Net attributable profit</v>
      </c>
      <c r="B137" s="47">
        <f>+B135+B136</f>
        <v>475.1782486087486</v>
      </c>
      <c r="C137" s="47">
        <f aca="true" t="shared" si="23" ref="C137:I137">+C135+C136</f>
        <v>1001.7272241438171</v>
      </c>
      <c r="D137" s="47">
        <f t="shared" si="23"/>
        <v>2975.9497230633433</v>
      </c>
      <c r="E137" s="47">
        <f t="shared" si="23"/>
        <v>2324.6710001143156</v>
      </c>
      <c r="F137" s="51">
        <f t="shared" si="23"/>
        <v>2271.9725625679266</v>
      </c>
      <c r="G137" s="51">
        <f t="shared" si="23"/>
        <v>0</v>
      </c>
      <c r="H137" s="51">
        <f t="shared" si="23"/>
        <v>0</v>
      </c>
      <c r="I137" s="51">
        <f t="shared" si="23"/>
        <v>0</v>
      </c>
    </row>
    <row r="138" spans="1:9" ht="14.25">
      <c r="A138" s="62"/>
      <c r="B138" s="63">
        <v>2.0463630789890885E-12</v>
      </c>
      <c r="C138" s="63">
        <v>0</v>
      </c>
      <c r="D138" s="63">
        <v>-7.275957614183426E-12</v>
      </c>
      <c r="E138" s="63">
        <v>5.4569682106375694E-12</v>
      </c>
      <c r="F138" s="63">
        <v>-4.092726157978177E-12</v>
      </c>
      <c r="G138" s="63">
        <v>0</v>
      </c>
      <c r="H138" s="63">
        <v>0</v>
      </c>
      <c r="I138" s="63">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69"/>
      <c r="G140" s="69"/>
      <c r="H140" s="69"/>
      <c r="I140" s="69"/>
    </row>
    <row r="141" spans="1:9" ht="14.25">
      <c r="A141" s="35" t="str">
        <f>HLOOKUP(INDICE!$F$2,Nombres!$C$3:$D$636,78,FALSE)</f>
        <v>(Million Argentinian pesos)</v>
      </c>
      <c r="B141" s="30"/>
      <c r="C141" s="52"/>
      <c r="D141" s="52"/>
      <c r="E141" s="52"/>
      <c r="F141" s="70"/>
      <c r="G141" s="44"/>
      <c r="H141" s="44"/>
      <c r="I141" s="44"/>
    </row>
    <row r="142" spans="1:9" ht="14.25">
      <c r="A142" s="30"/>
      <c r="B142" s="53">
        <f aca="true" t="shared" si="24" ref="B142:I142">+B$30</f>
        <v>44286</v>
      </c>
      <c r="C142" s="53">
        <f t="shared" si="24"/>
        <v>44377</v>
      </c>
      <c r="D142" s="53">
        <f t="shared" si="24"/>
        <v>44469</v>
      </c>
      <c r="E142" s="68">
        <f t="shared" si="24"/>
        <v>44561</v>
      </c>
      <c r="F142" s="53">
        <f t="shared" si="24"/>
        <v>44651</v>
      </c>
      <c r="G142" s="53">
        <f t="shared" si="24"/>
        <v>44742</v>
      </c>
      <c r="H142" s="53">
        <f t="shared" si="24"/>
        <v>44834</v>
      </c>
      <c r="I142" s="53">
        <f t="shared" si="24"/>
        <v>44926</v>
      </c>
    </row>
    <row r="143" spans="1:9" ht="14.25">
      <c r="A143" s="43" t="str">
        <f>HLOOKUP(INDICE!$F$2,Nombres!$C$3:$D$636,52,FALSE)</f>
        <v>Cash, cash balances at central banks and other demand deposits</v>
      </c>
      <c r="B143" s="44">
        <v>195668.35391870118</v>
      </c>
      <c r="C143" s="44">
        <v>198254.61735477528</v>
      </c>
      <c r="D143" s="44">
        <v>197215.37827158908</v>
      </c>
      <c r="E143" s="45">
        <v>219235.4101425981</v>
      </c>
      <c r="F143" s="44">
        <v>199131.99155514664</v>
      </c>
      <c r="G143" s="44">
        <v>0</v>
      </c>
      <c r="H143" s="44">
        <v>0</v>
      </c>
      <c r="I143" s="44">
        <v>0</v>
      </c>
    </row>
    <row r="144" spans="1:9" ht="14.25">
      <c r="A144" s="43" t="str">
        <f>HLOOKUP(INDICE!$F$2,Nombres!$C$3:$D$636,53,FALSE)</f>
        <v>Financial assets designated at fair value </v>
      </c>
      <c r="B144" s="58">
        <v>145296.2735106854</v>
      </c>
      <c r="C144" s="58">
        <v>162220.26555158006</v>
      </c>
      <c r="D144" s="58">
        <v>179952.02380668602</v>
      </c>
      <c r="E144" s="65">
        <v>185066.0672829731</v>
      </c>
      <c r="F144" s="44">
        <v>363397.1567236727</v>
      </c>
      <c r="G144" s="44">
        <v>0</v>
      </c>
      <c r="H144" s="44">
        <v>0</v>
      </c>
      <c r="I144" s="44">
        <v>0</v>
      </c>
    </row>
    <row r="145" spans="1:9" ht="14.25">
      <c r="A145" s="43" t="str">
        <f>HLOOKUP(INDICE!$F$2,Nombres!$C$3:$D$636,54,FALSE)</f>
        <v>Financial assets at amortized cost</v>
      </c>
      <c r="B145" s="44">
        <v>346589.8702235161</v>
      </c>
      <c r="C145" s="44">
        <v>444855.71671522193</v>
      </c>
      <c r="D145" s="44">
        <v>475124.89244579175</v>
      </c>
      <c r="E145" s="45">
        <v>561733.3366942953</v>
      </c>
      <c r="F145" s="44">
        <v>525175.123586529</v>
      </c>
      <c r="G145" s="44">
        <v>0</v>
      </c>
      <c r="H145" s="44">
        <v>0</v>
      </c>
      <c r="I145" s="44">
        <v>0</v>
      </c>
    </row>
    <row r="146" spans="1:9" ht="14.25">
      <c r="A146" s="43" t="str">
        <f>HLOOKUP(INDICE!$F$2,Nombres!$C$3:$D$636,55,FALSE)</f>
        <v>    of which loans and advances to customers</v>
      </c>
      <c r="B146" s="44">
        <v>288842.6104548462</v>
      </c>
      <c r="C146" s="44">
        <v>309142.49436588</v>
      </c>
      <c r="D146" s="44">
        <v>332423.6921131029</v>
      </c>
      <c r="E146" s="45">
        <v>383621.9348699468</v>
      </c>
      <c r="F146" s="44">
        <v>412475.6125973583</v>
      </c>
      <c r="G146" s="44">
        <v>0</v>
      </c>
      <c r="H146" s="44">
        <v>0</v>
      </c>
      <c r="I146" s="44">
        <v>0</v>
      </c>
    </row>
    <row r="147" spans="1:9" ht="14.25">
      <c r="A147" s="43"/>
      <c r="B147" s="44"/>
      <c r="C147" s="44"/>
      <c r="D147" s="44"/>
      <c r="E147" s="45"/>
      <c r="F147" s="44"/>
      <c r="G147" s="44"/>
      <c r="H147" s="44"/>
      <c r="I147" s="44"/>
    </row>
    <row r="148" spans="1:9" ht="14.25">
      <c r="A148" s="43" t="str">
        <f>HLOOKUP(INDICE!$F$2,Nombres!$C$3:$D$636,56,FALSE)</f>
        <v>Tangible assets</v>
      </c>
      <c r="B148" s="44">
        <v>38640.42866451309</v>
      </c>
      <c r="C148" s="44">
        <v>42632.280572879325</v>
      </c>
      <c r="D148" s="44">
        <v>45614.14656548944</v>
      </c>
      <c r="E148" s="45">
        <v>52552.231697507785</v>
      </c>
      <c r="F148" s="44">
        <v>64524.32673778189</v>
      </c>
      <c r="G148" s="44">
        <v>0</v>
      </c>
      <c r="H148" s="44">
        <v>0</v>
      </c>
      <c r="I148" s="44">
        <v>0</v>
      </c>
    </row>
    <row r="149" spans="1:9" ht="14.25">
      <c r="A149" s="43" t="str">
        <f>HLOOKUP(INDICE!$F$2,Nombres!$C$3:$D$636,57,FALSE)</f>
        <v>Other assets</v>
      </c>
      <c r="B149" s="58">
        <f>+B150-B148-B145-B144-B143</f>
        <v>31873.68512389154</v>
      </c>
      <c r="C149" s="58">
        <f aca="true" t="shared" si="25" ref="C149:H149">+C150-C148-C145-C144-C143</f>
        <v>33524.9983625453</v>
      </c>
      <c r="D149" s="58">
        <f t="shared" si="25"/>
        <v>30913.072646801593</v>
      </c>
      <c r="E149" s="65">
        <f t="shared" si="25"/>
        <v>33142.45294802869</v>
      </c>
      <c r="F149" s="44">
        <f t="shared" si="25"/>
        <v>36579.72450088704</v>
      </c>
      <c r="G149" s="44">
        <f t="shared" si="25"/>
        <v>0</v>
      </c>
      <c r="H149" s="44">
        <f t="shared" si="25"/>
        <v>0</v>
      </c>
      <c r="I149" s="44">
        <f>+I150-I148-I145-I144-I143</f>
        <v>0</v>
      </c>
    </row>
    <row r="150" spans="1:9" ht="14.25">
      <c r="A150" s="47" t="str">
        <f>HLOOKUP(INDICE!$F$2,Nombres!$C$3:$D$636,58,FALSE)</f>
        <v>Total assets / Liabilities and equity</v>
      </c>
      <c r="B150" s="47">
        <v>758068.6114413072</v>
      </c>
      <c r="C150" s="47">
        <v>881487.8785570019</v>
      </c>
      <c r="D150" s="47">
        <v>928819.5137363579</v>
      </c>
      <c r="E150" s="47">
        <v>1051729.498765403</v>
      </c>
      <c r="F150" s="51">
        <v>1188808.3231040174</v>
      </c>
      <c r="G150" s="51">
        <v>0</v>
      </c>
      <c r="H150" s="51">
        <v>0</v>
      </c>
      <c r="I150" s="51">
        <v>0</v>
      </c>
    </row>
    <row r="151" spans="1:9" ht="14.25">
      <c r="A151" s="43" t="str">
        <f>HLOOKUP(INDICE!$F$2,Nombres!$C$3:$D$636,59,FALSE)</f>
        <v>Financial liabilities held for trading and designated at fair value through profit or loss</v>
      </c>
      <c r="B151" s="58">
        <v>398.83027477353664</v>
      </c>
      <c r="C151" s="58">
        <v>141.94230584830007</v>
      </c>
      <c r="D151" s="58">
        <v>398.8739147986835</v>
      </c>
      <c r="E151" s="65">
        <v>314.2115549988507</v>
      </c>
      <c r="F151" s="44">
        <v>327.3990244938593</v>
      </c>
      <c r="G151" s="44">
        <v>0</v>
      </c>
      <c r="H151" s="44">
        <v>0</v>
      </c>
      <c r="I151" s="44">
        <v>0</v>
      </c>
    </row>
    <row r="152" spans="1:9" ht="14.25">
      <c r="A152" s="43" t="str">
        <f>HLOOKUP(INDICE!$F$2,Nombres!$C$3:$D$636,60,FALSE)</f>
        <v>Deposits from central banks and credit institutions</v>
      </c>
      <c r="B152" s="58">
        <v>12985.327199804304</v>
      </c>
      <c r="C152" s="58">
        <v>12060.43282840376</v>
      </c>
      <c r="D152" s="58">
        <v>12230.22854515963</v>
      </c>
      <c r="E152" s="65">
        <v>13075.273800702174</v>
      </c>
      <c r="F152" s="44">
        <v>14378.099393464245</v>
      </c>
      <c r="G152" s="44">
        <v>0</v>
      </c>
      <c r="H152" s="44">
        <v>0</v>
      </c>
      <c r="I152" s="44">
        <v>0</v>
      </c>
    </row>
    <row r="153" spans="1:9" ht="14.25">
      <c r="A153" s="43" t="str">
        <f>HLOOKUP(INDICE!$F$2,Nombres!$C$3:$D$636,61,FALSE)</f>
        <v>Deposits from customers</v>
      </c>
      <c r="B153" s="58">
        <v>507414.3239213696</v>
      </c>
      <c r="C153" s="58">
        <v>608411.6957602976</v>
      </c>
      <c r="D153" s="58">
        <v>630314.6178988395</v>
      </c>
      <c r="E153" s="65">
        <v>707859.7478395109</v>
      </c>
      <c r="F153" s="44">
        <v>796183.4523166625</v>
      </c>
      <c r="G153" s="44">
        <v>0</v>
      </c>
      <c r="H153" s="44">
        <v>0</v>
      </c>
      <c r="I153" s="44">
        <v>0</v>
      </c>
    </row>
    <row r="154" spans="1:9" ht="14.25">
      <c r="A154" s="43" t="str">
        <f>HLOOKUP(INDICE!$F$2,Nombres!$C$3:$D$636,62,FALSE)</f>
        <v>Debt certificates</v>
      </c>
      <c r="B154" s="44">
        <v>20894.252987476346</v>
      </c>
      <c r="C154" s="44">
        <v>20751.38397728956</v>
      </c>
      <c r="D154" s="44">
        <v>22798.536222062157</v>
      </c>
      <c r="E154" s="45">
        <v>26599.74102599847</v>
      </c>
      <c r="F154" s="44">
        <v>31002.360699030454</v>
      </c>
      <c r="G154" s="44">
        <v>0</v>
      </c>
      <c r="H154" s="44">
        <v>0</v>
      </c>
      <c r="I154" s="44">
        <v>0</v>
      </c>
    </row>
    <row r="155" spans="1:9" ht="14.25">
      <c r="A155" s="43"/>
      <c r="B155" s="44"/>
      <c r="C155" s="44"/>
      <c r="D155" s="44"/>
      <c r="E155" s="45"/>
      <c r="F155" s="44"/>
      <c r="G155" s="44"/>
      <c r="H155" s="44"/>
      <c r="I155" s="44"/>
    </row>
    <row r="156" spans="1:9" ht="15.75" customHeight="1">
      <c r="A156" s="43" t="str">
        <f>HLOOKUP(INDICE!$F$2,Nombres!$C$3:$D$636,63,FALSE)</f>
        <v>Other liabilities</v>
      </c>
      <c r="B156" s="58">
        <f>+B150-B151-B152-B153-B154-B157</f>
        <v>145080.13328717608</v>
      </c>
      <c r="C156" s="58">
        <f aca="true" t="shared" si="26" ref="C156:I156">+C150-C151-C152-C153-C154-C157</f>
        <v>166692.4276309313</v>
      </c>
      <c r="D156" s="58">
        <f t="shared" si="26"/>
        <v>181789.98866928119</v>
      </c>
      <c r="E156" s="65">
        <f t="shared" si="26"/>
        <v>214653.52193124234</v>
      </c>
      <c r="F156" s="44">
        <f t="shared" si="26"/>
        <v>241600.3283660772</v>
      </c>
      <c r="G156" s="44">
        <f t="shared" si="26"/>
        <v>0</v>
      </c>
      <c r="H156" s="44">
        <f t="shared" si="26"/>
        <v>0</v>
      </c>
      <c r="I156" s="44">
        <f t="shared" si="26"/>
        <v>0</v>
      </c>
    </row>
    <row r="157" spans="1:9" ht="15.75" customHeight="1">
      <c r="A157" s="43" t="str">
        <f>HLOOKUP(INDICE!$F$2,Nombres!$C$3:$D$636,282,FALSE)</f>
        <v>Regulatory capital allocated</v>
      </c>
      <c r="B157" s="58">
        <v>71295.74377070741</v>
      </c>
      <c r="C157" s="58">
        <v>73429.99605423138</v>
      </c>
      <c r="D157" s="58">
        <v>81287.26848621668</v>
      </c>
      <c r="E157" s="65">
        <v>89227.00261295025</v>
      </c>
      <c r="F157" s="44">
        <v>105316.68330428928</v>
      </c>
      <c r="G157" s="44">
        <v>0</v>
      </c>
      <c r="H157" s="44">
        <v>0</v>
      </c>
      <c r="I157" s="44">
        <v>0</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Relevant business indicators</v>
      </c>
      <c r="B160" s="34"/>
      <c r="C160" s="34"/>
      <c r="D160" s="34"/>
      <c r="E160" s="34"/>
      <c r="F160" s="69"/>
      <c r="G160" s="69"/>
      <c r="H160" s="69"/>
      <c r="I160" s="69"/>
    </row>
    <row r="161" spans="1:9" ht="14.25">
      <c r="A161" s="35" t="str">
        <f>HLOOKUP(INDICE!$F$2,Nombres!$C$3:$D$636,78,FALSE)</f>
        <v>(Million Argentinian pesos)</v>
      </c>
      <c r="B161" s="30"/>
      <c r="C161" s="30"/>
      <c r="D161" s="30"/>
      <c r="E161" s="30"/>
      <c r="F161" s="70"/>
      <c r="G161" s="44"/>
      <c r="H161" s="44"/>
      <c r="I161" s="44"/>
    </row>
    <row r="162" spans="1:9" ht="14.25">
      <c r="A162" s="30"/>
      <c r="B162" s="53">
        <f aca="true" t="shared" si="27" ref="B162:I162">+B$30</f>
        <v>44286</v>
      </c>
      <c r="C162" s="53">
        <f t="shared" si="27"/>
        <v>44377</v>
      </c>
      <c r="D162" s="53">
        <f t="shared" si="27"/>
        <v>44469</v>
      </c>
      <c r="E162" s="68">
        <f t="shared" si="27"/>
        <v>44561</v>
      </c>
      <c r="F162" s="53">
        <f t="shared" si="27"/>
        <v>44651</v>
      </c>
      <c r="G162" s="53">
        <f t="shared" si="27"/>
        <v>44742</v>
      </c>
      <c r="H162" s="53">
        <f t="shared" si="27"/>
        <v>44834</v>
      </c>
      <c r="I162" s="53">
        <f t="shared" si="27"/>
        <v>44926</v>
      </c>
    </row>
    <row r="163" spans="1:9" ht="14.25">
      <c r="A163" s="43" t="str">
        <f>HLOOKUP(INDICE!$F$2,Nombres!$C$3:$D$636,66,FALSE)</f>
        <v>Loans and advances to customers (gross) (*)</v>
      </c>
      <c r="B163" s="44">
        <v>302996.7864960612</v>
      </c>
      <c r="C163" s="44">
        <v>324506.83741774067</v>
      </c>
      <c r="D163" s="44">
        <v>348476.5838893369</v>
      </c>
      <c r="E163" s="45">
        <v>397342.9633723176</v>
      </c>
      <c r="F163" s="44">
        <v>424411.76138774696</v>
      </c>
      <c r="G163" s="44">
        <v>0</v>
      </c>
      <c r="H163" s="44">
        <v>0</v>
      </c>
      <c r="I163" s="44">
        <v>0</v>
      </c>
    </row>
    <row r="164" spans="1:9" ht="14.25">
      <c r="A164" s="43" t="str">
        <f>HLOOKUP(INDICE!$F$2,Nombres!$C$3:$D$636,67,FALSE)</f>
        <v>Customer deposits under management (*)</v>
      </c>
      <c r="B164" s="44">
        <v>507414.515765309</v>
      </c>
      <c r="C164" s="44">
        <v>608411.566683788</v>
      </c>
      <c r="D164" s="44">
        <v>630314.6388368629</v>
      </c>
      <c r="E164" s="45">
        <v>707859.4740716382</v>
      </c>
      <c r="F164" s="44">
        <v>796183.3180362736</v>
      </c>
      <c r="G164" s="44">
        <v>0</v>
      </c>
      <c r="H164" s="44">
        <v>0</v>
      </c>
      <c r="I164" s="44">
        <v>0</v>
      </c>
    </row>
    <row r="165" spans="1:9" ht="14.25">
      <c r="A165" s="43" t="str">
        <f>HLOOKUP(INDICE!$F$2,Nombres!$C$3:$D$636,68,FALSE)</f>
        <v>Investment funds and managed portfolios</v>
      </c>
      <c r="B165" s="44">
        <v>143087.1183725748</v>
      </c>
      <c r="C165" s="44">
        <v>153100.21155568052</v>
      </c>
      <c r="D165" s="44">
        <v>191315.06225146668</v>
      </c>
      <c r="E165" s="45">
        <v>199712.03436744696</v>
      </c>
      <c r="F165" s="44">
        <v>244507.33618994747</v>
      </c>
      <c r="G165" s="44">
        <v>0</v>
      </c>
      <c r="H165" s="44">
        <v>0</v>
      </c>
      <c r="I165" s="44">
        <v>0</v>
      </c>
    </row>
    <row r="166" spans="1:9" ht="14.25">
      <c r="A166" s="43" t="str">
        <f>HLOOKUP(INDICE!$F$2,Nombres!$C$3:$D$636,69,FALSE)</f>
        <v>Pension funds</v>
      </c>
      <c r="B166" s="44">
        <v>0</v>
      </c>
      <c r="C166" s="44">
        <v>0</v>
      </c>
      <c r="D166" s="44">
        <v>0</v>
      </c>
      <c r="E166" s="45">
        <v>0</v>
      </c>
      <c r="F166" s="44">
        <v>0</v>
      </c>
      <c r="G166" s="44">
        <v>0</v>
      </c>
      <c r="H166" s="44">
        <v>0</v>
      </c>
      <c r="I166" s="44">
        <v>0</v>
      </c>
    </row>
    <row r="167" spans="1:15" ht="14.25">
      <c r="A167" s="43" t="str">
        <f>HLOOKUP(INDICE!$F$2,Nombres!$C$3:$D$636,70,FALSE)</f>
        <v>Other off balance-sheet funds</v>
      </c>
      <c r="B167" s="44">
        <v>0</v>
      </c>
      <c r="C167" s="44">
        <v>0</v>
      </c>
      <c r="D167" s="44">
        <v>0</v>
      </c>
      <c r="E167" s="45">
        <v>0</v>
      </c>
      <c r="F167" s="44">
        <v>0</v>
      </c>
      <c r="G167" s="44">
        <v>0</v>
      </c>
      <c r="H167" s="44">
        <v>0</v>
      </c>
      <c r="I167" s="44">
        <v>0</v>
      </c>
      <c r="N167" s="74"/>
      <c r="O167" s="74"/>
    </row>
    <row r="168" spans="1:15" ht="14.25">
      <c r="A168" s="62" t="str">
        <f>HLOOKUP(INDICE!$F$2,Nombres!$C$3:$D$636,71,FALSE)</f>
        <v>(*) Excluding repos. </v>
      </c>
      <c r="B168" s="58"/>
      <c r="C168" s="58"/>
      <c r="D168" s="58"/>
      <c r="E168" s="58"/>
      <c r="F168" s="58"/>
      <c r="G168" s="58"/>
      <c r="H168" s="58"/>
      <c r="I168" s="58"/>
      <c r="N168" s="74"/>
      <c r="O168" s="74"/>
    </row>
    <row r="169" spans="1:15" ht="14.25">
      <c r="A169" s="62">
        <f>HLOOKUP(INDICE!$F$2,Nombres!$C$3:$D$636,72,FALSE)</f>
        <v>0</v>
      </c>
      <c r="B169" s="30"/>
      <c r="C169" s="30"/>
      <c r="D169" s="30"/>
      <c r="E169" s="30"/>
      <c r="F169" s="30"/>
      <c r="G169" s="30"/>
      <c r="H169" s="30"/>
      <c r="I169" s="30"/>
      <c r="N169" s="74"/>
      <c r="O169" s="74"/>
    </row>
    <row r="170" spans="1:15" ht="14.25">
      <c r="A170" s="30"/>
      <c r="B170" s="30"/>
      <c r="C170" s="30"/>
      <c r="D170" s="30"/>
      <c r="E170" s="30"/>
      <c r="F170" s="30"/>
      <c r="G170" s="30"/>
      <c r="H170" s="30"/>
      <c r="I170" s="30"/>
      <c r="N170" s="74"/>
      <c r="O170" s="74"/>
    </row>
    <row r="171" spans="1:15" ht="14.25">
      <c r="A171" s="30"/>
      <c r="B171" s="30"/>
      <c r="C171" s="30"/>
      <c r="D171" s="30"/>
      <c r="E171" s="30"/>
      <c r="F171" s="30"/>
      <c r="G171" s="30"/>
      <c r="H171" s="30"/>
      <c r="I171" s="30"/>
      <c r="N171" s="74"/>
      <c r="O171" s="74"/>
    </row>
    <row r="172" spans="1:15" ht="14.25">
      <c r="A172" s="73"/>
      <c r="B172" s="74"/>
      <c r="C172" s="75"/>
      <c r="D172" s="75"/>
      <c r="E172" s="75"/>
      <c r="F172" s="74"/>
      <c r="G172" s="74"/>
      <c r="H172" s="74"/>
      <c r="I172" s="74"/>
      <c r="N172" s="74"/>
      <c r="O172" s="74"/>
    </row>
    <row r="173" spans="1:15" ht="14.25">
      <c r="A173" s="73"/>
      <c r="B173" s="74"/>
      <c r="C173" s="75"/>
      <c r="D173" s="75"/>
      <c r="E173" s="75"/>
      <c r="F173" s="74"/>
      <c r="G173" s="74"/>
      <c r="H173" s="74"/>
      <c r="I173" s="74"/>
      <c r="J173" s="74"/>
      <c r="K173" s="74"/>
      <c r="L173" s="74"/>
      <c r="M173" s="74"/>
      <c r="N173" s="74"/>
      <c r="O173" s="74"/>
    </row>
    <row r="174" spans="1:15" ht="14.25">
      <c r="A174" s="74"/>
      <c r="B174" s="74"/>
      <c r="C174" s="74"/>
      <c r="D174" s="74"/>
      <c r="E174" s="74"/>
      <c r="F174" s="74"/>
      <c r="G174" s="74"/>
      <c r="H174" s="74"/>
      <c r="I174" s="74"/>
      <c r="J174" s="74"/>
      <c r="K174" s="74"/>
      <c r="L174" s="74"/>
      <c r="M174" s="74"/>
      <c r="N174" s="74"/>
      <c r="O174" s="74"/>
    </row>
    <row r="175" spans="1:13" ht="14.25">
      <c r="A175" s="74"/>
      <c r="B175" s="74"/>
      <c r="C175" s="74"/>
      <c r="D175" s="74"/>
      <c r="E175" s="74"/>
      <c r="F175" s="74"/>
      <c r="G175" s="74"/>
      <c r="H175" s="74"/>
      <c r="I175" s="74"/>
      <c r="J175" s="74"/>
      <c r="K175" s="74"/>
      <c r="L175" s="74"/>
      <c r="M175" s="74"/>
    </row>
    <row r="176" spans="1:13" ht="14.25">
      <c r="A176" s="74"/>
      <c r="B176" s="74"/>
      <c r="C176" s="74"/>
      <c r="D176" s="74"/>
      <c r="E176" s="74"/>
      <c r="F176" s="74"/>
      <c r="G176" s="74"/>
      <c r="H176" s="74"/>
      <c r="I176" s="74"/>
      <c r="J176" s="74"/>
      <c r="K176" s="74"/>
      <c r="L176" s="74"/>
      <c r="M176" s="74"/>
    </row>
    <row r="177" spans="1:13" ht="14.25">
      <c r="A177" s="74"/>
      <c r="B177" s="74"/>
      <c r="C177" s="74"/>
      <c r="D177" s="74"/>
      <c r="E177" s="74"/>
      <c r="F177" s="74"/>
      <c r="G177" s="74"/>
      <c r="H177" s="74"/>
      <c r="I177" s="74"/>
      <c r="J177" s="74"/>
      <c r="K177" s="74"/>
      <c r="L177" s="74"/>
      <c r="M177" s="74"/>
    </row>
    <row r="178" spans="1:13" ht="14.25">
      <c r="A178" s="74"/>
      <c r="B178" s="74"/>
      <c r="C178" s="74"/>
      <c r="D178" s="74"/>
      <c r="E178" s="74"/>
      <c r="F178" s="74"/>
      <c r="G178" s="74"/>
      <c r="H178" s="74"/>
      <c r="I178" s="74"/>
      <c r="J178" s="74"/>
      <c r="K178" s="74"/>
      <c r="L178" s="74"/>
      <c r="M178" s="74"/>
    </row>
    <row r="179" spans="1:13" ht="14.25">
      <c r="A179" s="74"/>
      <c r="B179" s="74"/>
      <c r="C179" s="74"/>
      <c r="D179" s="74"/>
      <c r="E179" s="74"/>
      <c r="F179" s="74"/>
      <c r="G179" s="74"/>
      <c r="H179" s="74"/>
      <c r="I179" s="74"/>
      <c r="J179" s="74"/>
      <c r="K179" s="74"/>
      <c r="L179" s="74"/>
      <c r="M179" s="74"/>
    </row>
    <row r="180" spans="1:13" ht="14.25">
      <c r="A180" s="74"/>
      <c r="B180" s="74"/>
      <c r="C180" s="74"/>
      <c r="D180" s="74"/>
      <c r="E180" s="74"/>
      <c r="F180" s="74"/>
      <c r="G180" s="74"/>
      <c r="H180" s="74"/>
      <c r="I180" s="74"/>
      <c r="J180" s="74"/>
      <c r="K180" s="74"/>
      <c r="L180" s="74"/>
      <c r="M180" s="74"/>
    </row>
    <row r="1006" ht="14.25">
      <c r="A1006" s="31" t="s">
        <v>392</v>
      </c>
    </row>
  </sheetData>
  <sheetProtection/>
  <mergeCells count="6">
    <mergeCell ref="B118:E118"/>
    <mergeCell ref="F118:I118"/>
    <mergeCell ref="B6:E6"/>
    <mergeCell ref="F6:I6"/>
    <mergeCell ref="B62:E62"/>
    <mergeCell ref="F62:I62"/>
  </mergeCells>
  <conditionalFormatting sqref="B26:I26">
    <cfRule type="cellIs" priority="3" dxfId="128" operator="notBetween">
      <formula>0.5</formula>
      <formula>-0.5</formula>
    </cfRule>
  </conditionalFormatting>
  <conditionalFormatting sqref="B82:I82">
    <cfRule type="cellIs" priority="2" dxfId="128" operator="notBetween">
      <formula>0.5</formula>
      <formula>-0.5</formula>
    </cfRule>
  </conditionalFormatting>
  <conditionalFormatting sqref="B138:I138">
    <cfRule type="cellIs" priority="1" dxfId="128"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2022-04-28T14:22:37Z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