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440" firstSheet="1" activeTab="1"/>
  </bookViews>
  <sheets>
    <sheet name="Nombres" sheetId="1" state="hidden" r:id="rId1"/>
    <sheet name="INDICE" sheetId="2" r:id="rId2"/>
    <sheet name="Cuenta de Resultados" sheetId="3" r:id="rId3"/>
    <sheet name="Balance" sheetId="4" r:id="rId4"/>
    <sheet name="España" sheetId="5" r:id="rId5"/>
    <sheet name="Mexico" sheetId="6" r:id="rId6"/>
    <sheet name="Turquia" sheetId="7" r:id="rId7"/>
    <sheet name="AdS" sheetId="8" r:id="rId8"/>
    <sheet name="Argentina" sheetId="9" r:id="rId9"/>
    <sheet name="Chile" sheetId="10" r:id="rId10"/>
    <sheet name="Colombia" sheetId="11" r:id="rId11"/>
    <sheet name="Peru" sheetId="12" r:id="rId12"/>
    <sheet name="Resto de Negocios" sheetId="13" r:id="rId13"/>
    <sheet name="Centro Corporativo" sheetId="14" r:id="rId14"/>
    <sheet name="Corporate &amp; Investment Banking" sheetId="15" r:id="rId15"/>
    <sheet name="Eficiencia" sheetId="16" r:id="rId16"/>
    <sheet name="Mora,cobertura,coste de riesgo" sheetId="17" r:id="rId17"/>
    <sheet name="Empleados, oficinas y cajeros" sheetId="18" r:id="rId18"/>
    <sheet name="Tipos de Cambio" sheetId="19" r:id="rId19"/>
    <sheet name="APRs" sheetId="20" r:id="rId20"/>
    <sheet name="Diferenciales" sheetId="21" r:id="rId21"/>
    <sheet name="Inversion" sheetId="22" r:id="rId22"/>
    <sheet name="Recursos" sheetId="23" r:id="rId23"/>
    <sheet name="Hoja1" sheetId="24" state="hidden" r:id="rId24"/>
    <sheet name="Hoja2" sheetId="25" state="hidden" r:id="rId25"/>
    <sheet name="Hoja3" sheetId="26" state="hidden" r:id="rId26"/>
    <sheet name="ALCO" sheetId="27" r:id="rId27"/>
    <sheet name="Hoja4" sheetId="28" state="hidden" r:id="rId28"/>
  </sheets>
  <definedNames/>
  <calcPr fullCalcOnLoad="1"/>
</workbook>
</file>

<file path=xl/sharedStrings.xml><?xml version="1.0" encoding="utf-8"?>
<sst xmlns="http://schemas.openxmlformats.org/spreadsheetml/2006/main" count="649" uniqueCount="538">
  <si>
    <t>IDIOMA/LANGUAGE</t>
  </si>
  <si>
    <t>1er Trim.</t>
  </si>
  <si>
    <t>2º Trim.</t>
  </si>
  <si>
    <t>3er Trim.</t>
  </si>
  <si>
    <t>4º Trim.</t>
  </si>
  <si>
    <t>Resultado Atribuido</t>
  </si>
  <si>
    <t>Total</t>
  </si>
  <si>
    <t>Argentina</t>
  </si>
  <si>
    <t>Chile</t>
  </si>
  <si>
    <t>Colombia</t>
  </si>
  <si>
    <t>Perú</t>
  </si>
  <si>
    <t>Otros</t>
  </si>
  <si>
    <t>Orden</t>
  </si>
  <si>
    <t>Castellano</t>
  </si>
  <si>
    <t>Inglés</t>
  </si>
  <si>
    <t>ESPAÑOL</t>
  </si>
  <si>
    <t>Grupo BBVA</t>
  </si>
  <si>
    <t>BBVA Group</t>
  </si>
  <si>
    <t>ENGLISH</t>
  </si>
  <si>
    <t>Cuentas de resultados consolidadas</t>
  </si>
  <si>
    <t>Consolidated income statement</t>
  </si>
  <si>
    <t>Balances de situación consolidados</t>
  </si>
  <si>
    <t>Consolidated balance sheet</t>
  </si>
  <si>
    <t>Áreas de negocio</t>
  </si>
  <si>
    <t>Business areas</t>
  </si>
  <si>
    <t>España</t>
  </si>
  <si>
    <t>Spain</t>
  </si>
  <si>
    <t>Actividad bancaria en España</t>
  </si>
  <si>
    <t>Banking activity in Spain</t>
  </si>
  <si>
    <t>Non Core Real Estate</t>
  </si>
  <si>
    <t>EEUU</t>
  </si>
  <si>
    <t>USA</t>
  </si>
  <si>
    <t>México</t>
  </si>
  <si>
    <t>Mexico</t>
  </si>
  <si>
    <t xml:space="preserve">Turquía </t>
  </si>
  <si>
    <t xml:space="preserve">Turkey </t>
  </si>
  <si>
    <t xml:space="preserve">América del Sur </t>
  </si>
  <si>
    <t>South America</t>
  </si>
  <si>
    <t>Peru</t>
  </si>
  <si>
    <t>Resto de Eurasia</t>
  </si>
  <si>
    <t>Rest of Eurasia</t>
  </si>
  <si>
    <t>Centro Corporativo</t>
  </si>
  <si>
    <t xml:space="preserve">Corporate Center </t>
  </si>
  <si>
    <t>Información adicional:</t>
  </si>
  <si>
    <t>Additional information:</t>
  </si>
  <si>
    <t>Corporate &amp; Investment Banking</t>
  </si>
  <si>
    <t>Anexo:</t>
  </si>
  <si>
    <t>Annex:</t>
  </si>
  <si>
    <t>Eficiencia</t>
  </si>
  <si>
    <t>Efficiency</t>
  </si>
  <si>
    <t>Tasas de mora, cobertura y coste de riesgo</t>
  </si>
  <si>
    <t>NPL, coverage ratios and cost of risk</t>
  </si>
  <si>
    <t>Empleados, oficinas y cajeros automáticos</t>
  </si>
  <si>
    <t>Branches, employees and atm´s</t>
  </si>
  <si>
    <t>Tipos de cambio</t>
  </si>
  <si>
    <t>Exchange rates</t>
  </si>
  <si>
    <t>Diferenciales de la clientela</t>
  </si>
  <si>
    <t>Customer Spreads</t>
  </si>
  <si>
    <t>Activos ponderados por riesgo. Desglose por áreas de negocio y principales países</t>
  </si>
  <si>
    <t>Risk-weighted assets. Breakdown by business areas and main countries</t>
  </si>
  <si>
    <t>Desglose del crédito no dudoso en gestión</t>
  </si>
  <si>
    <t>Breakdown of performing loans under management</t>
  </si>
  <si>
    <t>Desglose de los recursos de clientes en gestión</t>
  </si>
  <si>
    <t>Breakdown of customer funds under management</t>
  </si>
  <si>
    <t xml:space="preserve">Cuenta de resultados  </t>
  </si>
  <si>
    <t xml:space="preserve">Income statement  </t>
  </si>
  <si>
    <t>(Millones de euros)</t>
  </si>
  <si>
    <t>(Million euros)</t>
  </si>
  <si>
    <t>Margen de intereses</t>
  </si>
  <si>
    <t>Net interest income</t>
  </si>
  <si>
    <t>Comisiones netas</t>
  </si>
  <si>
    <t>Net fees and commissions</t>
  </si>
  <si>
    <t>Resultados de operaciones financieras</t>
  </si>
  <si>
    <t>Net trading income</t>
  </si>
  <si>
    <t>Otros ingresos y cargas de explotación</t>
  </si>
  <si>
    <t>Other operating income and expenses</t>
  </si>
  <si>
    <t>Margen bruto</t>
  </si>
  <si>
    <t>Gross income</t>
  </si>
  <si>
    <t>Gastos de explotación</t>
  </si>
  <si>
    <t>Operating expenses</t>
  </si>
  <si>
    <t xml:space="preserve">  Gastos de administración</t>
  </si>
  <si>
    <t xml:space="preserve">  Administration expenses</t>
  </si>
  <si>
    <t xml:space="preserve">  Gastos de personal</t>
  </si>
  <si>
    <t xml:space="preserve">  Personnel expenses</t>
  </si>
  <si>
    <t xml:space="preserve">  Otros gastos de administración</t>
  </si>
  <si>
    <t xml:space="preserve">  General and administrative expenses</t>
  </si>
  <si>
    <t xml:space="preserve">  Amortización</t>
  </si>
  <si>
    <t xml:space="preserve">  Depreciation</t>
  </si>
  <si>
    <t>Margen neto</t>
  </si>
  <si>
    <t>Operating income</t>
  </si>
  <si>
    <t>Deterioro de activos financieros no valorados a valor razonable con cambios en resultados</t>
  </si>
  <si>
    <t>Impaiment on financial assets not measured at fair value through profit or loss</t>
  </si>
  <si>
    <t>Provisiones o reversión de provisiones y otros resultados</t>
  </si>
  <si>
    <t>Provisions or reversal of provisions and other results</t>
  </si>
  <si>
    <t>Resultado antes de impuestos</t>
  </si>
  <si>
    <t>Profit/(loss) before tax</t>
  </si>
  <si>
    <t>Impuesto sobre beneficios</t>
  </si>
  <si>
    <t>Income tax</t>
  </si>
  <si>
    <t>Resultado del ejercicio</t>
  </si>
  <si>
    <t>Profit/(loss) for the year</t>
  </si>
  <si>
    <t>Minoritarios</t>
  </si>
  <si>
    <t>Non-controlling interests</t>
  </si>
  <si>
    <t>Resultado atribuido</t>
  </si>
  <si>
    <t>Net attributable profit</t>
  </si>
  <si>
    <t>Balances</t>
  </si>
  <si>
    <t>Balance sheets</t>
  </si>
  <si>
    <t>Efectivo, saldos en efectivo en bancos centrales y otros depósitos a la vista</t>
  </si>
  <si>
    <t>Cash, cash balances at central banks and other demand deposits</t>
  </si>
  <si>
    <t>Activos financieros a valor razonable</t>
  </si>
  <si>
    <t xml:space="preserve">Financial assets designated at fair value </t>
  </si>
  <si>
    <t>Activos financieros a coste amortizado</t>
  </si>
  <si>
    <t>Financial assets at amortized cost</t>
  </si>
  <si>
    <t xml:space="preserve">    de los que préstamos y anticipos a la clientela</t>
  </si>
  <si>
    <t xml:space="preserve">    of which loans and advances to customers</t>
  </si>
  <si>
    <t>Activos tangibles</t>
  </si>
  <si>
    <t>Tangible assets</t>
  </si>
  <si>
    <t>Otros activos</t>
  </si>
  <si>
    <t>Other assets</t>
  </si>
  <si>
    <t>Total activo / pasivo</t>
  </si>
  <si>
    <t>Total assets / Liabilities and equity</t>
  </si>
  <si>
    <t>Pasivos financieros mantenidos para negociar y designados a valor razonable con cambios en resultados</t>
  </si>
  <si>
    <t>Financial liabilities held for trading and designated at fair value through profit or loss</t>
  </si>
  <si>
    <t>Depósitos de bancos centrales y entidades de crédito</t>
  </si>
  <si>
    <t>Deposits from central banks and credit institutions</t>
  </si>
  <si>
    <t>Depósitos de la clientela</t>
  </si>
  <si>
    <t>Deposits from customers</t>
  </si>
  <si>
    <t>Valores representativos de deuda emitidos</t>
  </si>
  <si>
    <t>Debt certificates</t>
  </si>
  <si>
    <t>Otros pasivos</t>
  </si>
  <si>
    <t>Other liabilities</t>
  </si>
  <si>
    <t>Dotación de capital económico</t>
  </si>
  <si>
    <t>Economic capital allocated</t>
  </si>
  <si>
    <t>Indicadores relevantes y de gestión</t>
  </si>
  <si>
    <t>Relevant business indicators</t>
  </si>
  <si>
    <t>Préstamos y anticipos a la clientela bruto (*)</t>
  </si>
  <si>
    <t>Loans and advances to customers (gross) (*)</t>
  </si>
  <si>
    <t>Depósitos de clientes en gestión (**)</t>
  </si>
  <si>
    <t>Customer deposits under management (*)</t>
  </si>
  <si>
    <t>Fondos de inversión</t>
  </si>
  <si>
    <t>Mutual funds</t>
  </si>
  <si>
    <t>Fondos de pensiones</t>
  </si>
  <si>
    <t>Pension funds</t>
  </si>
  <si>
    <t>Otros recursos fuera de balance</t>
  </si>
  <si>
    <t>Other off balance-sheet funds</t>
  </si>
  <si>
    <t>(*) No incluye las adquisiciones temporales de activos.</t>
  </si>
  <si>
    <t xml:space="preserve">(*) Excluding repos. </t>
  </si>
  <si>
    <t>(**) No incluye las cesiones temporales de activos.</t>
  </si>
  <si>
    <t>(Millones de euros constantes)</t>
  </si>
  <si>
    <t xml:space="preserve">(Constant million euros)    </t>
  </si>
  <si>
    <t>(Millones de pesos mexicanos)</t>
  </si>
  <si>
    <t>(Million Mexican pesos)</t>
  </si>
  <si>
    <t>(Millones de pesos colombianos)</t>
  </si>
  <si>
    <t>(Million Colombian pesos)</t>
  </si>
  <si>
    <t>(Millones de dolares)</t>
  </si>
  <si>
    <t>(Million dolars)</t>
  </si>
  <si>
    <t>(Millones de liras turcas)</t>
  </si>
  <si>
    <t>(Million Turkish liras)</t>
  </si>
  <si>
    <t>(Millones de pesos argentinos)</t>
  </si>
  <si>
    <t>(Million Argentinian pesos)</t>
  </si>
  <si>
    <t>(Millones de soles peruanos)</t>
  </si>
  <si>
    <t>(Million Peruvian soles)</t>
  </si>
  <si>
    <t>Venezuela</t>
  </si>
  <si>
    <t>(Millones de pesos chilenos)</t>
  </si>
  <si>
    <t>(Million Chilean pesos)</t>
  </si>
  <si>
    <t>Eficiencia (*)</t>
  </si>
  <si>
    <t>Efficiency (*)</t>
  </si>
  <si>
    <t>(*) Gastos de explotación / Margen bruto. Incluye amortizaciones</t>
  </si>
  <si>
    <t>(*) Operating expenses / Gross income. Including depreciation</t>
  </si>
  <si>
    <t>(Porcentaje)</t>
  </si>
  <si>
    <t>(Percentage)</t>
  </si>
  <si>
    <t>Tasa de mora</t>
  </si>
  <si>
    <t>NPL ratio</t>
  </si>
  <si>
    <t>Tasa de cobertura</t>
  </si>
  <si>
    <t>NPL coverage ratio</t>
  </si>
  <si>
    <t>Resto de América del Sur</t>
  </si>
  <si>
    <t>Resto of South América</t>
  </si>
  <si>
    <t>CRD IV fully-loaded</t>
  </si>
  <si>
    <t>Grupo BBVA. Cuentas de resultados consolidadas</t>
  </si>
  <si>
    <t xml:space="preserve">BBVA Group. Consolidated Income statement </t>
  </si>
  <si>
    <t>1Q</t>
  </si>
  <si>
    <t>2Q</t>
  </si>
  <si>
    <t>3Q</t>
  </si>
  <si>
    <t>4Q</t>
  </si>
  <si>
    <t>Ingresos por dividendos</t>
  </si>
  <si>
    <t>Dividend income</t>
  </si>
  <si>
    <t>Part. gananc/pdas inversiones en dependientes, neg conjunt y asoc</t>
  </si>
  <si>
    <t>Share of  profit/loss of invest. in subsidaries, joint ventures and associates</t>
  </si>
  <si>
    <t>Otros productos/cargas de explotación</t>
  </si>
  <si>
    <t>Other products and expenses</t>
  </si>
  <si>
    <t>Resultado después de impuestos de operaciones continuadas</t>
  </si>
  <si>
    <t>Result after continuing operation tax</t>
  </si>
  <si>
    <t>Resultado atribuido sin operaciones corporativas</t>
  </si>
  <si>
    <t xml:space="preserve">Attributable profit without corporate transactions </t>
  </si>
  <si>
    <t>Nota general: los datos de los trimestres estancos del 2018 se presentan como datos proforma que tienen la consideración de Medidas Alternativas de Rendimiento (MAR), recogiéndose íntegramente el efecto acumulado para reflejar el impacto derivado de la contabilización de la hiperinflación en Argentina entre el 1-1-2018 y el 30-9-2018 en el tercer trimestre del 2018, sin haberse reexpresado los datos mostrados en la tabla anterior del primer y segundo trimestre del 2018.</t>
  </si>
  <si>
    <t>General note: the data for the quarters of 2018 are presented as proforma data which are considered as Alternative Performance Measures (APM), the accumulated effect being fully collected to reflect the impact derived from the accounting for hyperinflation in Argentina between 1-1-2018 and the 30-9-2018 in the third quarter of 2018, without having been reexpressed the data shown in the previous table of the first and second quarter of 2018.</t>
  </si>
  <si>
    <t>(*) Incluye plusvalías netas de la venta de BBVA Chile.</t>
  </si>
  <si>
    <t>(*) Includes net capital gains  from the sale of BBVA Chile.</t>
  </si>
  <si>
    <t>Grupo BBVA. Balances de situación consolidados</t>
  </si>
  <si>
    <t>BBVA Group. Consolidated balance sheet</t>
  </si>
  <si>
    <t>Hipotecario</t>
  </si>
  <si>
    <t>Mortages</t>
  </si>
  <si>
    <t>Consumo</t>
  </si>
  <si>
    <t>Consumer</t>
  </si>
  <si>
    <t>Tarjetas de Crédito</t>
  </si>
  <si>
    <t>Credit Cards</t>
  </si>
  <si>
    <t>Sector público</t>
  </si>
  <si>
    <t>Public Sector</t>
  </si>
  <si>
    <t>Sociedades financieras y sociedades no financieras</t>
  </si>
  <si>
    <t>Financial and Non Financial Companies</t>
  </si>
  <si>
    <t>Pymes</t>
  </si>
  <si>
    <t>SMEs</t>
  </si>
  <si>
    <t>Others</t>
  </si>
  <si>
    <t>Crédito no dudoso en gestión (*)</t>
  </si>
  <si>
    <t>Performing Loans under management (*)</t>
  </si>
  <si>
    <t>Depósitos a la vista + Disponibles con preaviso</t>
  </si>
  <si>
    <t>Demand deposits</t>
  </si>
  <si>
    <t>Depósitos a plazo</t>
  </si>
  <si>
    <t>Time deposits</t>
  </si>
  <si>
    <t>Recursos fuera de balance (*)</t>
  </si>
  <si>
    <t>Off balance sheet funds (*)</t>
  </si>
  <si>
    <t>Vista+Plazo</t>
  </si>
  <si>
    <t>Demand + Time deposits</t>
  </si>
  <si>
    <t>(*) Incluye fondos de inversión, fondos de pensiones y otros recursos fuera de balance.</t>
  </si>
  <si>
    <t>Posiciones inter-áreas activo</t>
  </si>
  <si>
    <t>Inter-area positions</t>
  </si>
  <si>
    <t>Posiciones inter-áreas pasivo</t>
  </si>
  <si>
    <t>Oficinas</t>
  </si>
  <si>
    <t>Branches</t>
  </si>
  <si>
    <t>Empleados</t>
  </si>
  <si>
    <t>Employees</t>
  </si>
  <si>
    <t>Cajeros automáticos</t>
  </si>
  <si>
    <t>ATM´s</t>
  </si>
  <si>
    <t>Uruguay</t>
  </si>
  <si>
    <t>Paraguay</t>
  </si>
  <si>
    <t>Bolivia</t>
  </si>
  <si>
    <t>Cuba</t>
  </si>
  <si>
    <t>Brasil</t>
  </si>
  <si>
    <t>Activos financieros mantenidos para negociar</t>
  </si>
  <si>
    <t>Financial assets held for trading</t>
  </si>
  <si>
    <t>Activos financieros no destinados a negociación valorados obligatoriamente a valor razonable con cambios en resultados</t>
  </si>
  <si>
    <t>Non-trading financial assets mandatorily at fair value through profit or loss</t>
  </si>
  <si>
    <t>Activos financieros designados a valor razonable con cambios en resultados</t>
  </si>
  <si>
    <t>Financial assets designated at fair value through profit or loss</t>
  </si>
  <si>
    <t>Activos financieros designados a valor razonable con cambios en otro resultado global acumulado</t>
  </si>
  <si>
    <t>Financial assets at fair value through accumulated other comprehensive income</t>
  </si>
  <si>
    <t>. Préstamos y anticipos en bancos centrales  y entidades de crédito</t>
  </si>
  <si>
    <t xml:space="preserve">. Loans and advances to central banks and credit institutions </t>
  </si>
  <si>
    <t>. Préstamos y anticipos a la clientela</t>
  </si>
  <si>
    <t>. Loans and advances to customers</t>
  </si>
  <si>
    <t>. Valores representativos de deuda</t>
  </si>
  <si>
    <t>. Debt securities</t>
  </si>
  <si>
    <t>Inversiones mantenidas hasta el vencimiento</t>
  </si>
  <si>
    <t>Held-to-maturity investments</t>
  </si>
  <si>
    <t>Inversiones en negocios conjuntos y asociadas</t>
  </si>
  <si>
    <t>Investments in subsidiaries, joint ventures and associates</t>
  </si>
  <si>
    <t>Activos Intangibles</t>
  </si>
  <si>
    <t>Intangible assets</t>
  </si>
  <si>
    <t>Pasivos financieros designados a valor razonable con cambios en resultados</t>
  </si>
  <si>
    <t>Other financial liabilities designated at fair value through profit or loss</t>
  </si>
  <si>
    <t>Pasivos financieros a coste amortizado</t>
  </si>
  <si>
    <t>Financial liabilities at amortized cost</t>
  </si>
  <si>
    <t>. Otros pasivos financieros</t>
  </si>
  <si>
    <t>. Other financial liabilities</t>
  </si>
  <si>
    <t>Pasivos amparados por contratos de seguros o reaseguro</t>
  </si>
  <si>
    <t>Liabilities under insurance and reinsurance contracts</t>
  </si>
  <si>
    <t>Total pasivo</t>
  </si>
  <si>
    <t>Total liabilities</t>
  </si>
  <si>
    <t>Intereses minoritarios</t>
  </si>
  <si>
    <t>Otro resultado global acumulado</t>
  </si>
  <si>
    <t>Accumulated other comprehensive income</t>
  </si>
  <si>
    <t>Fondos propios</t>
  </si>
  <si>
    <t>Shareholders' funds</t>
  </si>
  <si>
    <t>Patrimonio neto</t>
  </si>
  <si>
    <t>Total equity</t>
  </si>
  <si>
    <t>Total patrimonio neto y pasivo</t>
  </si>
  <si>
    <t>Total equity and liabilities</t>
  </si>
  <si>
    <t>Peso mexicano</t>
  </si>
  <si>
    <t>Mexican peso</t>
  </si>
  <si>
    <t>Dólar estadounidense</t>
  </si>
  <si>
    <t>U.S. dollar</t>
  </si>
  <si>
    <t>Peso argentino</t>
  </si>
  <si>
    <t>Argentine peso</t>
  </si>
  <si>
    <t>Peso chileno</t>
  </si>
  <si>
    <t>Chilean peso</t>
  </si>
  <si>
    <t>Peso colombiano</t>
  </si>
  <si>
    <t>Colombian peso</t>
  </si>
  <si>
    <t>Sol peruano</t>
  </si>
  <si>
    <t>Peruvian sol</t>
  </si>
  <si>
    <t>Lira turca</t>
  </si>
  <si>
    <t>Turkish lira</t>
  </si>
  <si>
    <t>(*) Utilizados en el cálculo de euros constantes de los datos de balance y actividad</t>
  </si>
  <si>
    <t>(*) Used in the constant euros comparisons for the balance sheet and business activity</t>
  </si>
  <si>
    <t>(**) Utilizados en el cálculo de euros constantes de los datos de resultados</t>
  </si>
  <si>
    <t>(**) Used in the constant euros comparisons for the profit and loss</t>
  </si>
  <si>
    <t>(Expresados en divisa/euro)</t>
  </si>
  <si>
    <t>(Expressed in currency/euro)</t>
  </si>
  <si>
    <t>Cambios finales (*)</t>
  </si>
  <si>
    <t>Year-end exchange rates (*)</t>
  </si>
  <si>
    <t>Cambios medios (**)</t>
  </si>
  <si>
    <t>Average exchange rates (**)</t>
  </si>
  <si>
    <t>∆% sobre</t>
  </si>
  <si>
    <t>∆% on</t>
  </si>
  <si>
    <t>Diferenciales de la clientela (*)</t>
  </si>
  <si>
    <t>Customer Spreads (*)</t>
  </si>
  <si>
    <t>Estados Unidos (**)</t>
  </si>
  <si>
    <t>The United States (**)</t>
  </si>
  <si>
    <t>México pesos mexicanos</t>
  </si>
  <si>
    <t>Mexico MXN</t>
  </si>
  <si>
    <t>México moneda extranjera</t>
  </si>
  <si>
    <t>Mexico  FC (Foreing currency)</t>
  </si>
  <si>
    <t>Turquía liras turcas</t>
  </si>
  <si>
    <t>Turkey TRY</t>
  </si>
  <si>
    <t>Turquía moneda extranjera</t>
  </si>
  <si>
    <t>Turkey FC (Foreing currency)</t>
  </si>
  <si>
    <t>(*) Diferencia entre el rendimiento de los préstamos y el coste de los depósitos de los clientes.</t>
  </si>
  <si>
    <t>(*) Difference between lending yield on loans and cost of deposits from customers.</t>
  </si>
  <si>
    <t>(**)  Excluye la actividad en Nueva York.</t>
  </si>
  <si>
    <t>(**) Excluding New York Business Activity.</t>
  </si>
  <si>
    <t>Nota: Los diferenciales de la clientela han sido actualizados.</t>
  </si>
  <si>
    <t>Note: Customer spreads have been restated.</t>
  </si>
  <si>
    <t>Capital y Reservas</t>
  </si>
  <si>
    <t xml:space="preserve">Hogares - Prestamos Hipotecarios </t>
  </si>
  <si>
    <t>Hogares - Consumo</t>
  </si>
  <si>
    <t>Hogares - Tarjetas  de crédito</t>
  </si>
  <si>
    <t>Resto de Empresas</t>
  </si>
  <si>
    <t>Sector Público</t>
  </si>
  <si>
    <t>Tarjeta de Crédito</t>
  </si>
  <si>
    <t>Resto Minorista</t>
  </si>
  <si>
    <t>Total Cartera Vigente</t>
  </si>
  <si>
    <t>Resto Comercial</t>
  </si>
  <si>
    <t>Other Commercial</t>
  </si>
  <si>
    <t>Mexico (***)</t>
  </si>
  <si>
    <t xml:space="preserve">Criterio Local Contable(***) </t>
  </si>
  <si>
    <t xml:space="preserve">According to Local GAAP(***) </t>
  </si>
  <si>
    <t>Incluye fondos de inversión, fondos de pensiones y otros recursos fuera de balance.(*)</t>
  </si>
  <si>
    <t xml:space="preserve">Includes mutual funds, pension funds and other off-balance sheet funds. (*) </t>
  </si>
  <si>
    <t>No incluye las cesiones temporales de activos.  (**)</t>
  </si>
  <si>
    <t>Excluding repos  (**)</t>
  </si>
  <si>
    <t xml:space="preserve"> Recursos de clientes en gestión (**)</t>
  </si>
  <si>
    <t>Customer funds under management (**)</t>
  </si>
  <si>
    <t>Consumo  y tarjetas de Credito</t>
  </si>
  <si>
    <t>Consumer &amp; Credit Cards</t>
  </si>
  <si>
    <t>Negocios retail</t>
  </si>
  <si>
    <t>Empresas medianas</t>
  </si>
  <si>
    <t>Mid-size companies</t>
  </si>
  <si>
    <t>Corporativa + CIB</t>
  </si>
  <si>
    <t>Corporates + CIB</t>
  </si>
  <si>
    <t>Other</t>
  </si>
  <si>
    <t>Other Retail</t>
  </si>
  <si>
    <t>Resto Empresas</t>
  </si>
  <si>
    <t xml:space="preserve">Nota general: la aplicación de la contabilidad por hiperinflación en Argentina se realizó por primera vez en septiembre del 2018 con efectos contables 1 de enero del 2018, recogiéndose el impacto de los nueve meses en el tercer trimestre. Con el fin de que la información del 2019 sea comparable con la del 2018, se ha procedido a reexpresar el balance de situación de los tres primeros trimestres del 2018 para recoger los impactos de la inflación sobre los activos y pasivos del mismo. </t>
  </si>
  <si>
    <t>General note: the application of accounting for hyperinflation in Argentina was performed for the first time in September 2018 with accounting effects on January 1, 2018, recording the impact of the nine months in the third quarter. In order to make the 2019 information comparable to the 2018, the balance sheet of the first three quarters of 2018 has been reexpressed to reflect the impacts of inflation on its assets and liabilities.</t>
  </si>
  <si>
    <t>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t>
  </si>
  <si>
    <t>(1) Incluye plusvalías netas de la venta de BBVA Chile.</t>
  </si>
  <si>
    <t>(1) Includes net capital gains  from the sale of BBVA Chile.</t>
  </si>
  <si>
    <t>(2) Ajustado por remuneración de instrumentos de capital de nivel 1 adicional.</t>
  </si>
  <si>
    <t>(2) Adjusted by additional Tier 1 instrument remuneration.</t>
  </si>
  <si>
    <t>Cuenta de resultados sin Chile</t>
  </si>
  <si>
    <t>Income statement w/o Chile</t>
  </si>
  <si>
    <t>Resultado de operaciones corporativas</t>
  </si>
  <si>
    <t>Result from corporate operations</t>
  </si>
  <si>
    <t>Grupo BBVA. Cuentas de resultados proforma (*)</t>
  </si>
  <si>
    <t>BBVA group. Consolidated income statements proforma (*)</t>
  </si>
  <si>
    <t>CRD IV fully loaded</t>
  </si>
  <si>
    <t>(*) No se incluye los resultados de los dos primeros trimestres del 2018 de BBVA Chile ni las plusvalías por su venta del tercer trimestre del 2018.</t>
  </si>
  <si>
    <t>(*) Not including BBVA Chile`s profit for the 2 first quarters of 2018 and net capital gains in 3Q 2018 of its sale .</t>
  </si>
  <si>
    <t>Very small business</t>
  </si>
  <si>
    <t>Cuentas de resultados consolidadas proforma</t>
  </si>
  <si>
    <t>Consolidated income statement proforma</t>
  </si>
  <si>
    <t>(*) Including BBVA Chile`s profit for the 2 first quarters of 2018 and net capital gains in 3Q 2018 of its sale .</t>
  </si>
  <si>
    <t>(*) Hay pequeñas diferencias en el 1T 2019 de APRs entre las Areas de Negocio por reclasificaciones hechas posteriores al cierre no habiendo variacíon ninguna en el total de los APRs.</t>
  </si>
  <si>
    <t>(*) There are slight differences in the RWAs of the Business Units in the 1st Q  2019 due to reclasifications. The total amount of BBVA RWAs did not change.</t>
  </si>
  <si>
    <t>Balance Euro</t>
  </si>
  <si>
    <t>Euro Balance</t>
  </si>
  <si>
    <t>Italia</t>
  </si>
  <si>
    <t>Italy</t>
  </si>
  <si>
    <t>Resto</t>
  </si>
  <si>
    <t>Rest</t>
  </si>
  <si>
    <t>Turquia</t>
  </si>
  <si>
    <t>Turkey</t>
  </si>
  <si>
    <t>Amércia del Sur</t>
  </si>
  <si>
    <t>Total Cartera COAP</t>
  </si>
  <si>
    <t>Total ALCO Portfolio</t>
  </si>
  <si>
    <t>Cartera COAP a Coste Amortizado</t>
  </si>
  <si>
    <t>ALCO Portfolio Hold to Collect</t>
  </si>
  <si>
    <t>Cartera COAP a Valor Razonable</t>
  </si>
  <si>
    <t>ALCO Portfolio Hold to Collect and Sell</t>
  </si>
  <si>
    <t>Carteras Coap</t>
  </si>
  <si>
    <t>ALCO Portfolio</t>
  </si>
  <si>
    <t>(*) Serie de datos revisada 18-19 debido a cambio de criterio en la contabilización de cajeros.</t>
  </si>
  <si>
    <t>(*) Reviewed data serie 18-19 due to a change in the amount criteria of ATMs</t>
  </si>
  <si>
    <t>(**) Reajuste del dato del 1T en 2T</t>
  </si>
  <si>
    <t>(**) Readjustment of 1Q19 in 2Q19</t>
  </si>
  <si>
    <t>EEUU (*)</t>
  </si>
  <si>
    <t>USA (*)</t>
  </si>
  <si>
    <t>Mexico (**)</t>
  </si>
  <si>
    <t>MARCA</t>
  </si>
  <si>
    <t>(*) Se incluyen los resultados de los dos primeros trimestres del 2018 de BBVA Chile y las plusvalías por su venta del tercer trimestre del 2018.</t>
  </si>
  <si>
    <t>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</si>
  <si>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Provisiones o reversión de provisiones</t>
  </si>
  <si>
    <t>Provisions or reversal of provisions</t>
  </si>
  <si>
    <t>Otros resultados</t>
  </si>
  <si>
    <t>Other results</t>
  </si>
  <si>
    <t>Resultado atribuido sin el deterioro del fondo de comercio de Estados Unidos y sin BBVA Chile (*)</t>
  </si>
  <si>
    <t>Net attributable profit excluding the goodwill impairment in the United States and BBVA Chile (*)</t>
  </si>
  <si>
    <t>Resultado Atribuido (*)</t>
  </si>
  <si>
    <t>Net attributable profit (*)</t>
  </si>
  <si>
    <t>(*) Resultados generados por BBVA Chile hasta su venta el 6 de julio del 2018 y las plusvalías de la operación</t>
  </si>
  <si>
    <t>(*) BBVA Chile recurrent profit until the sale as of 6 July, 2018 and the capital gains of the operation</t>
  </si>
  <si>
    <t>(*)No incluye Resultados generados por BBVA Chile hasta su venta el 6 de julio del 2018 ni las plusvalías de la operación, tampoco el deterioro del fondo de comercio de Estados Unidos.</t>
  </si>
  <si>
    <t>(*) Not including BBVA Chile recurrent profit until the sale as of 6 July 2018 and and the capital gains of the operation neither the goodwill impairment in the United States</t>
  </si>
  <si>
    <t>Nota general: la aplicación de la contabilidad por hiperinflación en Argentina se realizó por primera vez en septiembre del 2018 con efectos contables 1 de enero del 2018, recogiéndose el impacto de los 9 meses en el tercer trimestre.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</si>
  <si>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General note: the application of accounting for hyperinflation in Argentina was done  for the first time in September 2018 with accounting effects from  January 1, 2018, recording the impact of the 9 months in the third quarter. In addition, during 2019 an amendment to IAS 12 "Income Taxes" was introduced with accounting effects from  January 1, 2019. Therefore, in  order to make the information comparable, the quarterly income statements for 2019 and 2018 have been restated .</t>
  </si>
  <si>
    <t>Resultado atribuido sin BBVA Chile (*)</t>
  </si>
  <si>
    <t>Net Atributable Profit ex BBVA Chile (*)</t>
  </si>
  <si>
    <t>(*) Net capital gains of BBVA Chile sale on the 3rd Q of 2018.</t>
  </si>
  <si>
    <t>Coste del riesgo acumulado</t>
  </si>
  <si>
    <t>Cost of risk YTD</t>
  </si>
  <si>
    <t>-</t>
  </si>
  <si>
    <t>Cost of deposits</t>
  </si>
  <si>
    <t>Rentabilidad de los prestamos</t>
  </si>
  <si>
    <t>Coste de los depositos</t>
  </si>
  <si>
    <t>Lending Yield</t>
  </si>
  <si>
    <t>Resultado atribuido sin el deterioro del fondo de comercio de Estados Unidos (*)</t>
  </si>
  <si>
    <t>Net attributable profit excluding the goodwill impairment in the United States (*)</t>
  </si>
  <si>
    <t>(1)</t>
  </si>
  <si>
    <t xml:space="preserve">Nota general: como consecuencia de una interpretación emitida por el IFRIC (International Financial Reporting Standards Interpretations Committee) relativa al cobro de intereses de fallidos en el marco de la NIIF 9, dichos cobros se presentan como menor saneamiento crediticio y no como un mayor ingreso por intereses, método de reconocimiento aplicado hasta diciembre de 2019. Por ello, y con el fin de que la información sea comparable, se ha procedido a reexpresar la información de la cuenta de resultados del primer semestre de 2019. </t>
  </si>
  <si>
    <t>(*) Plusvalías por la venta de BBVA Chile del tercer trimestre de 2018.</t>
  </si>
  <si>
    <t>General note: as a result of the interpretation issued by the International Financial Reporting Standards Interpretations Committee (IFRIC) regarding the collecting of interests of written-off financial assets for the purpose of IFRS 9, those collections are presented as reduction of the credit allowances and not as a higher interest income, recognition method applied until December 2019. Therefore, and in order to make the information comparable, the first six months information of the 2019 income statements has been restated.</t>
  </si>
  <si>
    <t>Operaciones Corporativas (1)</t>
  </si>
  <si>
    <t>Corporate Operations (1)</t>
  </si>
  <si>
    <t>Resultado después de impuestos</t>
  </si>
  <si>
    <t>Result after Tax</t>
  </si>
  <si>
    <t>(1) Incluye el resultado neto de impuestos por la venta a Allianz de la mitad más una acción de la sociedad constituida para impulsar de forma conjunta el negocio de seguros de no vida en España, excluyendo el ramo de salud.</t>
  </si>
  <si>
    <t>(1) Include the net capital gain from the sale to Allianz the half plus one share of the company created to jointly develop the non-life insurance business in Spain, excluding the health insurance line.</t>
  </si>
  <si>
    <t>Resultado atribuido sin el deterioro del fondo de comercio de Estados Unidos y sin operaciones corporativas</t>
  </si>
  <si>
    <t>Net attributable profit/(loss) excluding the goodwill impairment in the United States and corporate operations</t>
  </si>
  <si>
    <t>Resto de Negocios</t>
  </si>
  <si>
    <t>Rest of Business</t>
  </si>
  <si>
    <t>Nota general: cifras sin considerar la clasificación de BBVA Paraguay como Activos y Pasivos No corrientes en Venta a 31-12-2020 y 31-12-2019 y a 31-12-2020 BBVA USA y el resto de sociedades del Grupo en Estados Unidos incluidas en el acuerdo de venta suscrito con PNC.</t>
  </si>
  <si>
    <t>General note: figures without considering the classification of BBVA Paraguay as Non-current Assets and Liabilities Held for Sale as of 31-12-2020 and 31-12-2019 and BBVA USA and the rest of Group's companies in the United States included in the sale agreement signed with PNC as Non-current Assets and Liabilities Held For Sale as of 31-12-2020.</t>
  </si>
  <si>
    <t>Sociedades de la filial de Estados Unidos excluidas del acuerdo de venta</t>
  </si>
  <si>
    <t>Companies excluded from the sale agreement of the BBVA subsidiary in the United States</t>
  </si>
  <si>
    <t>Starting in 1Q21, for management reporting purposes, the US Business sold to PNC will be shown as one Balance Sheet and one P&amp;L heading, in line with the accounting reclassification to Non Current Asset Available for sale which took place in 4Q20. For informational purposes, we are providing below an aggregation of the CIB business in the US that is not included in the agreement with PNC and the information currently reported as Rest of Eurasia.</t>
  </si>
  <si>
    <t>Starting in 1Q21, for management reporting purposes, the US Business sold to PNC will be shown as one Balance Sheet and one P&amp;L heading, in line with the accounting reclassification to Non Current Asset Available for sale which took place in 4Q20. As a result, for informational purposes, you can find below an aggregation of the Corporate Center and all the other US businesses that are not included in the agreement with PNC and have not been added to the Rest of Eurasia in the previous page. </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</si>
  <si>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En consecuencia, se presenta a continuación a efectos informativos una agregación del Centro Corporativo y de todos los demás negocios de EE.UU. que no están incluidos en el acuerdo con PNC y que no han sido agregados al Resto de Eurasia en la página anterior.</t>
  </si>
  <si>
    <t>For informational purposes, we are providing below 8 quarters of historical information of the perimeter currently reported as USA that will remain with BBVA once the announced agreement with PNC has been closed.   </t>
  </si>
  <si>
    <t>A efectos informativos, facilitamos a continuación 8 trimestres de información histórica del perímetro actualmente reportado como EE.UU. que permanecerá en BBVA una vez cerrado el acuerdo anunciado con PNC. </t>
  </si>
  <si>
    <t>Corporate Center (for rest of business)</t>
  </si>
  <si>
    <t>Centro Corporativo (para resto de negocios)</t>
  </si>
  <si>
    <t>Series trimestrales 2020-2021</t>
  </si>
  <si>
    <t>Quarterly series 2020-2021</t>
  </si>
  <si>
    <t>Nuevo Holding</t>
  </si>
  <si>
    <t>New Holding</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</si>
  <si>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A efectos informativos, ofrecemos a continuación una agregación del negocio de CIB en EE.UU. que no está incluido en el acuerdo con PNC y la información que se presenta actualmente como Resto de Eurasia.,</t>
  </si>
  <si>
    <t>EEUU vendido</t>
  </si>
  <si>
    <t>USA sold</t>
  </si>
  <si>
    <t>Centro Corporativo (1)</t>
  </si>
  <si>
    <t>Corporate Center (1)</t>
  </si>
  <si>
    <t>(1) Incluye los APRs del negocio de EEUU vendido</t>
  </si>
  <si>
    <t>(1) Includes RWAs from the USA business sold.</t>
  </si>
  <si>
    <t>(1) Includes USA as discontinued operation, the goodwill impaiment in USA and the net capital gain from the sale to Allianz of the half plus one share of the company created to jointly develop the non-life insurance business in Spain, excluding the health insurance line.</t>
  </si>
  <si>
    <t>Grupo BBVA  (*)</t>
  </si>
  <si>
    <t>BBVA Group  (*)</t>
  </si>
  <si>
    <t>Grupo BBVA  (**)</t>
  </si>
  <si>
    <t>BBVA Group  (**)</t>
  </si>
  <si>
    <t>(**) Grupo BBVA no incluye el negocio vendido de EEUU vendido a PNC.</t>
  </si>
  <si>
    <t>(**) BBVA Group excludes  the US Business sold to PNC.</t>
  </si>
  <si>
    <t>(*) Grupo BBVA no incluye el negocio vendido de EEUU vendido a PNC.</t>
  </si>
  <si>
    <t>(*) BBVA Group excludes  the US Business sold to PNC.</t>
  </si>
  <si>
    <t>Resto de geografías</t>
  </si>
  <si>
    <t>Rest of geographies</t>
  </si>
  <si>
    <t>Corporate &amp; Investment Banking (*)</t>
  </si>
  <si>
    <t>(*) No incluye el negocio de CIB vendido a PNC.</t>
  </si>
  <si>
    <t>(*) Excludes  the CIB Business sold to PNC.</t>
  </si>
  <si>
    <t>Dotación de capital regulatorio</t>
  </si>
  <si>
    <t>Regulatory capital allocated</t>
  </si>
  <si>
    <t>América del Sur (***)</t>
  </si>
  <si>
    <t>South America (***)</t>
  </si>
  <si>
    <t>No incluye Paraguay (***)</t>
  </si>
  <si>
    <t>Paraguay excluded  (***)</t>
  </si>
  <si>
    <t>Préstamos Hogares TL</t>
  </si>
  <si>
    <t>Retail Loans TL</t>
  </si>
  <si>
    <t>Préstamos Empresas TL</t>
  </si>
  <si>
    <t>Commercial Loans TL</t>
  </si>
  <si>
    <t>Total Préstamos TL</t>
  </si>
  <si>
    <t>Total Loans TL</t>
  </si>
  <si>
    <t>Total Préstamos FC</t>
  </si>
  <si>
    <t>Total Loans FC</t>
  </si>
  <si>
    <t>Depósitos Vista TL</t>
  </si>
  <si>
    <t>Demand Deposits TL</t>
  </si>
  <si>
    <t>Depósitos Plazo TL</t>
  </si>
  <si>
    <t>Total Time Deposits TL</t>
  </si>
  <si>
    <t>Total Depósitos TL</t>
  </si>
  <si>
    <t>Total Deposits TL</t>
  </si>
  <si>
    <t>Depósitos Vista FC</t>
  </si>
  <si>
    <t>Demand Deposits FC</t>
  </si>
  <si>
    <t>Depósitos Plazo FC</t>
  </si>
  <si>
    <t>Total Time Deposits FC</t>
  </si>
  <si>
    <t>Total Depósitos FC</t>
  </si>
  <si>
    <t>Total Deposits FC</t>
  </si>
  <si>
    <t>(TL Lira Turca FC Moneda Extranjera)</t>
  </si>
  <si>
    <t>(TL Turkish Lira FC Foreign Currency)</t>
  </si>
  <si>
    <t>Turquia solo Banco</t>
  </si>
  <si>
    <t>Turkey Bank only</t>
  </si>
  <si>
    <t>General note: figures considering companies in the United States included in the sale agreement signed with PNC and BBVA Paraguay as Non-current Assets and Liabilities Held for Sale</t>
  </si>
  <si>
    <t xml:space="preserve"> (***) No incluye Paraguay</t>
  </si>
  <si>
    <t xml:space="preserve">(***) Paraguay excluded </t>
  </si>
  <si>
    <t>América del Sur  (incluye Paraguay)</t>
  </si>
  <si>
    <t>South America (Paraguay Included)</t>
  </si>
  <si>
    <t>Resultado Atribuido sin Operaciones Corporativas y Discontinuadas</t>
  </si>
  <si>
    <t>Net attributable profit/(loss) excluding Corporate &amp; discontinued operations</t>
  </si>
  <si>
    <t>Operaciones Corporativas y Discontinuadas</t>
  </si>
  <si>
    <t>Corporate &amp; discontinued operations</t>
  </si>
  <si>
    <t>Nota general : Cifras considerando la clasificación de las sociedades incluidas en el acuerdo de venta suscrito con PNC y Paraguay como Activos y Pasivos No corrientes en Venta.</t>
  </si>
  <si>
    <t>Operaciones interrumpidas y corporativas, y costes netos asociados al proceso de reestructuración.(1)</t>
  </si>
  <si>
    <t>Discontinued &amp; corporate operations, and net cost related to the restructuring process. (1)</t>
  </si>
  <si>
    <t> Beneficio Atribuido (sin operaciones interrumpidas y corporativas, y costes netos asociados al proceso de reestructuración).</t>
  </si>
  <si>
    <t> Net Attributable Profit (ex discontinued &amp; corporate operations, and net cost related to the restructuring process).</t>
  </si>
  <si>
    <t>(1) Includes USA as discontinued operation, the goodwill impaiment in USA, the net capital gain from the sale to Allianz of the half plus one share of the company created to jointly develop the non-life insurance business in Spain, excluding the health insurance line and net cost related to the reestructuring process.</t>
  </si>
  <si>
    <t>Resultado atribuido excluyendo impactos no recurrentes</t>
  </si>
  <si>
    <t>Net attributable profit excluding non recurring impacts</t>
  </si>
  <si>
    <t>Resultado después de impuestos de operaciones interrumpidas (1)</t>
  </si>
  <si>
    <t>Profit/(loss) after tax form discontinued operations (1)</t>
  </si>
  <si>
    <t>Operaciones Corporativas (2)</t>
  </si>
  <si>
    <t>Corporate Operations (2)</t>
  </si>
  <si>
    <t>Costes netos asociados al proceso de reestructuración</t>
  </si>
  <si>
    <t>Net cost related to the reestructuring process.</t>
  </si>
  <si>
    <t>(1) Includes USA as discontinued operation and the goodwill impaiment in USA for 2084 millions of euros registered in the 1stQ of 2020.</t>
  </si>
  <si>
    <t xml:space="preserve">(2) Includes the net capital gain from the sale to Allianz of the half plus one share of the company created to jointly develop the non-life insurance business in Spain, excluding the health insurance line </t>
  </si>
  <si>
    <t>Operaciones Corporativas e Interrumpidas</t>
  </si>
  <si>
    <t>(1) En aplicación de la NIC 29 "Información en economías hiperinflacionarias", la conversión de la cuenta de resultados de Argentina se hace empleando el tipo de cambio final.</t>
  </si>
  <si>
    <t xml:space="preserve">(1) According to IAS 29 "Financial information in hyperinflationary economies", the year-end exchange rate is used for the conversion of the Argentina income statement. </t>
  </si>
  <si>
    <t>(1) Incluye EEUU como operación discontinuada, el deterioro del fondo de comercio de Estados Unidos, y el resultado neto de impuestos por la venta a Allianz de la mitad más una acción de la sociedad constituida para impulsar de forma conjunta el negocio de seguros de no vida en España, excluyendo el ramo de salud</t>
  </si>
  <si>
    <t>(1) Incluye EEUU como operación discontinuada, el deterioro del fondo de comercio de Estados Unidos,  el resultado neto de impuestos por la venta a Allianz de la mitad más una acción de la sociedad constituida para impulsar de forma conjunta el negocio de seguros de no vida en España, excluyendo el ramo de salud y los costes netos asociados al proceso de reestructuración.</t>
  </si>
  <si>
    <t>(1) Incluye EEUU como operación interrumpida y el deterioro del fondo de comercio de Estados Unidos registrado en el primer trimestre de 2020 por importe de 2084 millones de euros</t>
  </si>
  <si>
    <t xml:space="preserve">(2) Incluye el resultado neto de impuestos por la venta a Allianz de la mitad más una acción de la sociedad constituida para impulsar de forma conjunta el negocio de seguros de no vida en España, excluyendo el ramo de salud </t>
  </si>
  <si>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</sst>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
    <numFmt numFmtId="166" formatCode="#,##0.000"/>
    <numFmt numFmtId="167" formatCode="0.0%"/>
    <numFmt numFmtId="168" formatCode="#,##0.0000"/>
    <numFmt numFmtId="169" formatCode="dd\-mm\-yy;@"/>
    <numFmt numFmtId="170" formatCode="_-* #,##0\ _P_t_s_-;\-* #,##0\ _P_t_s_-;_-* &quot;-&quot;??\ _P_t_s_-;_-@_-"/>
    <numFmt numFmtId="171" formatCode="#,##0.0"/>
    <numFmt numFmtId="172" formatCode="0.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115">
    <font>
      <sz val="11"/>
      <color theme="1"/>
      <name val="Calibri"/>
      <family val="2"/>
    </font>
    <font>
      <sz val="11"/>
      <color indexed="8"/>
      <name val="Calibri"/>
      <family val="2"/>
    </font>
    <font>
      <sz val="10"/>
      <name val="Lucida Sans Unicode"/>
      <family val="2"/>
    </font>
    <font>
      <vertAlign val="superscript"/>
      <sz val="10"/>
      <name val="Stag Sans Medium"/>
      <family val="2"/>
    </font>
    <font>
      <vertAlign val="superscript"/>
      <sz val="10"/>
      <name val="BBVA Office Book"/>
      <family val="2"/>
    </font>
    <font>
      <vertAlign val="superscript"/>
      <sz val="20"/>
      <name val="BBVA Office Book"/>
      <family val="2"/>
    </font>
    <font>
      <sz val="10"/>
      <name val="Arial"/>
      <family val="2"/>
    </font>
    <font>
      <vertAlign val="superscript"/>
      <sz val="10"/>
      <color indexed="21"/>
      <name val="Stag Sans Medium"/>
      <family val="2"/>
    </font>
    <font>
      <vertAlign val="superscript"/>
      <sz val="22"/>
      <color indexed="21"/>
      <name val="Stag Sans Medium"/>
      <family val="2"/>
    </font>
    <font>
      <b/>
      <sz val="16"/>
      <name val="BBVA Office Book"/>
      <family val="2"/>
    </font>
    <font>
      <vertAlign val="superscript"/>
      <sz val="10"/>
      <color indexed="9"/>
      <name val="Stag Sans Medium"/>
      <family val="2"/>
    </font>
    <font>
      <vertAlign val="superscript"/>
      <sz val="10"/>
      <color indexed="58"/>
      <name val="Stag Sans Medium"/>
      <family val="2"/>
    </font>
    <font>
      <vertAlign val="superscript"/>
      <sz val="10"/>
      <color indexed="58"/>
      <name val="BBVA Office Book"/>
      <family val="2"/>
    </font>
    <font>
      <vertAlign val="superscript"/>
      <sz val="20"/>
      <name val="Stag Sans Medium"/>
      <family val="2"/>
    </font>
    <font>
      <sz val="14"/>
      <name val="BBVA Office Book"/>
      <family val="2"/>
    </font>
    <font>
      <sz val="10"/>
      <name val="BBVA Office Book"/>
      <family val="2"/>
    </font>
    <font>
      <b/>
      <sz val="10"/>
      <name val="BBVA Office Book"/>
      <family val="2"/>
    </font>
    <font>
      <sz val="8"/>
      <name val="BBVA Office Book"/>
      <family val="2"/>
    </font>
    <font>
      <i/>
      <sz val="10"/>
      <name val="BBVA Office Book"/>
      <family val="2"/>
    </font>
    <font>
      <sz val="10"/>
      <color indexed="18"/>
      <name val="Tahoma"/>
      <family val="2"/>
    </font>
    <font>
      <sz val="10"/>
      <name val="Tahoma"/>
      <family val="2"/>
    </font>
    <font>
      <sz val="9"/>
      <name val="BBVA Office Book"/>
      <family val="2"/>
    </font>
    <font>
      <b/>
      <sz val="10"/>
      <name val="Arial"/>
      <family val="2"/>
    </font>
    <font>
      <sz val="10"/>
      <color indexed="18"/>
      <name val="Arial"/>
      <family val="2"/>
    </font>
    <font>
      <sz val="12"/>
      <name val="BBVA Office Book"/>
      <family val="2"/>
    </font>
    <font>
      <sz val="11"/>
      <name val="BBVA Office Book"/>
      <family val="2"/>
    </font>
    <font>
      <sz val="10"/>
      <name val="Baskerville BE Regular"/>
      <family val="0"/>
    </font>
    <font>
      <sz val="8"/>
      <name val="Arial"/>
      <family val="2"/>
    </font>
    <font>
      <sz val="8"/>
      <name val="Tahoma"/>
      <family val="2"/>
    </font>
    <font>
      <sz val="11"/>
      <name val="Lucida Sans Unicode"/>
      <family val="2"/>
    </font>
    <font>
      <sz val="11"/>
      <color indexed="5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30"/>
      <name val="Calibri"/>
      <family val="2"/>
    </font>
    <font>
      <b/>
      <sz val="11"/>
      <color indexed="30"/>
      <name val="Calibri"/>
      <family val="2"/>
    </font>
    <font>
      <sz val="11"/>
      <color indexed="62"/>
      <name val="Calibri"/>
      <family val="2"/>
    </font>
    <font>
      <u val="single"/>
      <sz val="11"/>
      <color indexed="5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0"/>
      <name val="Cambria"/>
      <family val="2"/>
    </font>
    <font>
      <b/>
      <sz val="13"/>
      <color indexed="30"/>
      <name val="Calibri"/>
      <family val="2"/>
    </font>
    <font>
      <b/>
      <sz val="11"/>
      <color indexed="56"/>
      <name val="Calibri"/>
      <family val="2"/>
    </font>
    <font>
      <vertAlign val="superscript"/>
      <sz val="26"/>
      <color indexed="40"/>
      <name val="BBVA Office Book"/>
      <family val="2"/>
    </font>
    <font>
      <vertAlign val="superscript"/>
      <sz val="22"/>
      <color indexed="9"/>
      <name val="BBVA Office Book"/>
      <family val="2"/>
    </font>
    <font>
      <sz val="14"/>
      <color indexed="56"/>
      <name val="BBVA Office Book"/>
      <family val="2"/>
    </font>
    <font>
      <sz val="14"/>
      <color indexed="40"/>
      <name val="BBVA Office Book"/>
      <family val="2"/>
    </font>
    <font>
      <sz val="10"/>
      <color indexed="40"/>
      <name val="BBVA Office Book"/>
      <family val="2"/>
    </font>
    <font>
      <sz val="10"/>
      <color indexed="49"/>
      <name val="BBVA Office Book"/>
      <family val="2"/>
    </font>
    <font>
      <sz val="11"/>
      <color indexed="30"/>
      <name val="BBVA Office Book"/>
      <family val="2"/>
    </font>
    <font>
      <b/>
      <sz val="10"/>
      <color indexed="9"/>
      <name val="BBVA Office Book"/>
      <family val="2"/>
    </font>
    <font>
      <sz val="10"/>
      <color indexed="9"/>
      <name val="BBVA Office Book"/>
      <family val="2"/>
    </font>
    <font>
      <sz val="8"/>
      <color indexed="9"/>
      <name val="BBVA Office Book"/>
      <family val="2"/>
    </font>
    <font>
      <sz val="10"/>
      <color indexed="48"/>
      <name val="Arial"/>
      <family val="2"/>
    </font>
    <font>
      <b/>
      <sz val="16"/>
      <color indexed="40"/>
      <name val="BBVA Office Book"/>
      <family val="2"/>
    </font>
    <font>
      <sz val="10"/>
      <color indexed="30"/>
      <name val="BBVA Office Book"/>
      <family val="2"/>
    </font>
    <font>
      <sz val="16"/>
      <color indexed="40"/>
      <name val="BBVA Office Book"/>
      <family val="2"/>
    </font>
    <font>
      <sz val="10"/>
      <color indexed="10"/>
      <name val="Arial"/>
      <family val="2"/>
    </font>
    <font>
      <sz val="11"/>
      <color indexed="40"/>
      <name val="BBVA Office Book"/>
      <family val="2"/>
    </font>
    <font>
      <sz val="11"/>
      <color indexed="9"/>
      <name val="BBVA Office Book"/>
      <family val="2"/>
    </font>
    <font>
      <sz val="11"/>
      <color indexed="30"/>
      <name val="Calibri"/>
      <family val="2"/>
    </font>
    <font>
      <sz val="16"/>
      <color indexed="56"/>
      <name val="BBVA Office Book"/>
      <family val="2"/>
    </font>
    <font>
      <sz val="12"/>
      <color indexed="56"/>
      <name val="BBVA Office Book"/>
      <family val="2"/>
    </font>
    <font>
      <sz val="12"/>
      <color indexed="30"/>
      <name val="BBVA Office Book"/>
      <family val="2"/>
    </font>
    <font>
      <sz val="11"/>
      <name val="Calibri"/>
      <family val="2"/>
    </font>
    <font>
      <sz val="12"/>
      <color indexed="63"/>
      <name val="Arial"/>
      <family val="2"/>
    </font>
    <font>
      <b/>
      <sz val="9"/>
      <color indexed="10"/>
      <name val="BBVA Office Book"/>
      <family val="2"/>
    </font>
    <font>
      <sz val="2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vertAlign val="superscript"/>
      <sz val="26"/>
      <color theme="1" tint="0.34999001026153564"/>
      <name val="BBVA Office Book"/>
      <family val="2"/>
    </font>
    <font>
      <vertAlign val="superscript"/>
      <sz val="22"/>
      <color theme="0"/>
      <name val="BBVA Office Book"/>
      <family val="2"/>
    </font>
    <font>
      <sz val="14"/>
      <color theme="1"/>
      <name val="BBVA Office Book"/>
      <family val="2"/>
    </font>
    <font>
      <sz val="14"/>
      <color theme="1" tint="0.34999001026153564"/>
      <name val="BBVA Office Book"/>
      <family val="2"/>
    </font>
    <font>
      <sz val="10"/>
      <color theme="1" tint="0.34999001026153564"/>
      <name val="BBVA Office Book"/>
      <family val="2"/>
    </font>
    <font>
      <sz val="10"/>
      <color theme="4"/>
      <name val="BBVA Office Book"/>
      <family val="2"/>
    </font>
    <font>
      <sz val="11"/>
      <color theme="3"/>
      <name val="BBVA Office Book"/>
      <family val="2"/>
    </font>
    <font>
      <b/>
      <sz val="10"/>
      <color theme="0"/>
      <name val="BBVA Office Book"/>
      <family val="2"/>
    </font>
    <font>
      <sz val="10"/>
      <color theme="0"/>
      <name val="BBVA Office Book"/>
      <family val="2"/>
    </font>
    <font>
      <sz val="8"/>
      <color theme="0"/>
      <name val="BBVA Office Book"/>
      <family val="2"/>
    </font>
    <font>
      <sz val="10"/>
      <color theme="5"/>
      <name val="Arial"/>
      <family val="2"/>
    </font>
    <font>
      <b/>
      <sz val="16"/>
      <color theme="1" tint="0.34999001026153564"/>
      <name val="BBVA Office Book"/>
      <family val="2"/>
    </font>
    <font>
      <sz val="10"/>
      <color theme="3"/>
      <name val="BBVA Office Book"/>
      <family val="2"/>
    </font>
    <font>
      <sz val="16"/>
      <color theme="1" tint="0.34999001026153564"/>
      <name val="BBVA Office Book"/>
      <family val="2"/>
    </font>
    <font>
      <sz val="10"/>
      <color rgb="FFFF0000"/>
      <name val="Arial"/>
      <family val="2"/>
    </font>
    <font>
      <sz val="11"/>
      <color theme="1" tint="0.34999001026153564"/>
      <name val="BBVA Office Book"/>
      <family val="2"/>
    </font>
    <font>
      <sz val="11"/>
      <color theme="0"/>
      <name val="BBVA Office Book"/>
      <family val="2"/>
    </font>
    <font>
      <sz val="11"/>
      <color theme="3"/>
      <name val="Calibri"/>
      <family val="2"/>
    </font>
    <font>
      <sz val="16"/>
      <color theme="1"/>
      <name val="BBVA Office Book"/>
      <family val="2"/>
    </font>
    <font>
      <sz val="12"/>
      <color rgb="FF002060"/>
      <name val="BBVA Office Book"/>
      <family val="2"/>
    </font>
    <font>
      <sz val="12"/>
      <color theme="3"/>
      <name val="BBVA Office Book"/>
      <family val="2"/>
    </font>
    <font>
      <sz val="11"/>
      <color theme="4" tint="-0.4999699890613556"/>
      <name val="Calibri"/>
      <family val="2"/>
    </font>
    <font>
      <sz val="12"/>
      <color rgb="FF222222"/>
      <name val="Arial"/>
      <family val="2"/>
    </font>
    <font>
      <b/>
      <sz val="9"/>
      <color rgb="FFFF0000"/>
      <name val="BBVA Office Boo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bgColor indexed="64"/>
      </patternFill>
    </fill>
    <fill>
      <patternFill patternType="solid">
        <fgColor theme="2" tint="0.8999900221824646"/>
        <bgColor indexed="64"/>
      </patternFill>
    </fill>
    <fill>
      <patternFill patternType="solid">
        <fgColor theme="0"/>
        <bgColor indexed="64"/>
      </patternFill>
    </fill>
    <fill>
      <patternFill patternType="solid">
        <fgColor rgb="FFA7CFED"/>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style="thin"/>
      <bottom/>
    </border>
    <border>
      <left style="thin"/>
      <right/>
      <top/>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5" fillId="21" borderId="1" applyNumberFormat="0" applyAlignment="0" applyProtection="0"/>
    <xf numFmtId="0" fontId="76" fillId="22" borderId="2" applyNumberFormat="0" applyAlignment="0" applyProtection="0"/>
    <xf numFmtId="0" fontId="77" fillId="0" borderId="3" applyNumberFormat="0" applyFill="0" applyAlignment="0" applyProtection="0"/>
    <xf numFmtId="0" fontId="78" fillId="0" borderId="4" applyNumberFormat="0" applyFill="0" applyAlignment="0" applyProtection="0"/>
    <xf numFmtId="0" fontId="79" fillId="0" borderId="0" applyNumberFormat="0" applyFill="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80" fillId="29" borderId="1"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1" borderId="0" applyNumberFormat="0" applyBorder="0" applyAlignment="0" applyProtection="0"/>
    <xf numFmtId="0" fontId="6" fillId="0" borderId="0">
      <alignment/>
      <protection/>
    </xf>
    <xf numFmtId="0" fontId="6" fillId="0" borderId="0">
      <alignment/>
      <protection/>
    </xf>
    <xf numFmtId="3" fontId="6" fillId="0" borderId="0">
      <alignment/>
      <protection/>
    </xf>
    <xf numFmtId="0" fontId="0" fillId="0" borderId="0">
      <alignment/>
      <protection/>
    </xf>
    <xf numFmtId="0" fontId="2" fillId="0" borderId="0">
      <alignment/>
      <protection/>
    </xf>
    <xf numFmtId="0" fontId="2" fillId="0" borderId="0">
      <alignment/>
      <protection/>
    </xf>
    <xf numFmtId="0" fontId="6" fillId="0" borderId="0">
      <alignment/>
      <protection/>
    </xf>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5" fillId="21" borderId="6"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7" applyNumberFormat="0" applyFill="0" applyAlignment="0" applyProtection="0"/>
    <xf numFmtId="0" fontId="79" fillId="0" borderId="8" applyNumberFormat="0" applyFill="0" applyAlignment="0" applyProtection="0"/>
    <xf numFmtId="0" fontId="90" fillId="0" borderId="9" applyNumberFormat="0" applyFill="0" applyAlignment="0" applyProtection="0"/>
  </cellStyleXfs>
  <cellXfs count="315">
    <xf numFmtId="0" fontId="0" fillId="0" borderId="0" xfId="0" applyFont="1" applyAlignment="1">
      <alignment/>
    </xf>
    <xf numFmtId="0" fontId="3" fillId="0" borderId="0" xfId="58" applyFont="1">
      <alignment/>
      <protection/>
    </xf>
    <xf numFmtId="0" fontId="4" fillId="0" borderId="0" xfId="58" applyFont="1">
      <alignment/>
      <protection/>
    </xf>
    <xf numFmtId="0" fontId="5" fillId="0" borderId="0" xfId="58" applyFont="1">
      <alignment/>
      <protection/>
    </xf>
    <xf numFmtId="0" fontId="91" fillId="33" borderId="0" xfId="55" applyFont="1" applyFill="1" applyAlignment="1" applyProtection="1">
      <alignment horizontal="center" vertical="top"/>
      <protection hidden="1"/>
    </xf>
    <xf numFmtId="0" fontId="7" fillId="0" borderId="0" xfId="58" applyFont="1" applyProtection="1">
      <alignment/>
      <protection locked="0"/>
    </xf>
    <xf numFmtId="0" fontId="8" fillId="0" borderId="0" xfId="55" applyFont="1" applyFill="1" applyAlignment="1" applyProtection="1">
      <alignment horizontal="left" indent="4"/>
      <protection hidden="1"/>
    </xf>
    <xf numFmtId="0" fontId="92" fillId="34" borderId="0" xfId="55" applyFont="1" applyFill="1" applyAlignment="1" applyProtection="1">
      <alignment horizontal="left" vertical="top"/>
      <protection hidden="1"/>
    </xf>
    <xf numFmtId="0" fontId="9" fillId="0" borderId="0" xfId="55" applyFont="1">
      <alignment/>
      <protection/>
    </xf>
    <xf numFmtId="0" fontId="3" fillId="0" borderId="0" xfId="58" applyFont="1" applyProtection="1">
      <alignment/>
      <protection hidden="1"/>
    </xf>
    <xf numFmtId="0" fontId="93" fillId="8" borderId="0" xfId="0" applyFont="1" applyFill="1" applyAlignment="1">
      <alignment/>
    </xf>
    <xf numFmtId="0" fontId="4" fillId="0" borderId="0" xfId="58" applyFont="1" quotePrefix="1">
      <alignment/>
      <protection/>
    </xf>
    <xf numFmtId="0" fontId="10" fillId="0" borderId="0" xfId="58" applyFont="1" quotePrefix="1">
      <alignment/>
      <protection/>
    </xf>
    <xf numFmtId="0" fontId="3" fillId="0" borderId="0" xfId="58" applyFont="1" applyProtection="1" quotePrefix="1">
      <alignment/>
      <protection hidden="1"/>
    </xf>
    <xf numFmtId="0" fontId="4" fillId="0" borderId="0" xfId="58" applyFont="1" applyFill="1">
      <alignment/>
      <protection/>
    </xf>
    <xf numFmtId="0" fontId="3" fillId="0" borderId="0" xfId="58" applyFont="1" applyFill="1" applyProtection="1">
      <alignment/>
      <protection hidden="1"/>
    </xf>
    <xf numFmtId="0" fontId="3" fillId="0" borderId="0" xfId="58" applyFont="1" applyFill="1">
      <alignment/>
      <protection/>
    </xf>
    <xf numFmtId="0" fontId="3" fillId="0" borderId="0" xfId="58" applyFont="1" applyAlignment="1">
      <alignment horizontal="left" indent="5"/>
      <protection/>
    </xf>
    <xf numFmtId="0" fontId="3" fillId="0" borderId="0" xfId="58" applyFont="1" applyFill="1" applyAlignment="1">
      <alignment horizontal="left" indent="5"/>
      <protection/>
    </xf>
    <xf numFmtId="0" fontId="4" fillId="0" borderId="0" xfId="58" applyFont="1" applyFill="1" applyAlignment="1">
      <alignment horizontal="left" indent="5"/>
      <protection/>
    </xf>
    <xf numFmtId="0" fontId="3" fillId="0" borderId="0" xfId="58" applyFont="1" applyAlignment="1">
      <alignment horizontal="center"/>
      <protection/>
    </xf>
    <xf numFmtId="0" fontId="3" fillId="0" borderId="0" xfId="58" applyFont="1" applyAlignment="1" applyProtection="1">
      <alignment horizontal="left" indent="5"/>
      <protection hidden="1"/>
    </xf>
    <xf numFmtId="0" fontId="4" fillId="0" borderId="0" xfId="58" applyFont="1" applyAlignment="1">
      <alignment horizontal="left" indent="5"/>
      <protection/>
    </xf>
    <xf numFmtId="0" fontId="5" fillId="0" borderId="0" xfId="58" applyFont="1" applyAlignment="1">
      <alignment horizontal="left" vertical="top"/>
      <protection/>
    </xf>
    <xf numFmtId="0" fontId="11" fillId="0" borderId="0" xfId="58" applyFont="1">
      <alignment/>
      <protection/>
    </xf>
    <xf numFmtId="0" fontId="93" fillId="35" borderId="0" xfId="0" applyFont="1" applyFill="1" applyAlignment="1">
      <alignment/>
    </xf>
    <xf numFmtId="0" fontId="12" fillId="0" borderId="0" xfId="58" applyFont="1">
      <alignment/>
      <protection/>
    </xf>
    <xf numFmtId="0" fontId="11" fillId="0" borderId="0" xfId="58" applyFont="1" applyProtection="1">
      <alignment/>
      <protection hidden="1"/>
    </xf>
    <xf numFmtId="0" fontId="13" fillId="0" borderId="0" xfId="58" applyFont="1">
      <alignment/>
      <protection/>
    </xf>
    <xf numFmtId="0" fontId="14" fillId="0" borderId="0" xfId="0" applyFont="1" applyFill="1" applyBorder="1" applyAlignment="1">
      <alignment horizontal="left" vertical="center"/>
    </xf>
    <xf numFmtId="0" fontId="15" fillId="0" borderId="0" xfId="0" applyFont="1" applyFill="1" applyBorder="1" applyAlignment="1">
      <alignment/>
    </xf>
    <xf numFmtId="0" fontId="0" fillId="0" borderId="0" xfId="0" applyFill="1" applyAlignment="1">
      <alignment/>
    </xf>
    <xf numFmtId="0" fontId="9" fillId="0" borderId="0" xfId="0" applyFont="1" applyFill="1" applyBorder="1" applyAlignment="1">
      <alignment horizontal="left" vertical="center"/>
    </xf>
    <xf numFmtId="0" fontId="94" fillId="33" borderId="0" xfId="0" applyFont="1" applyFill="1" applyBorder="1" applyAlignment="1">
      <alignment horizontal="left" vertical="center"/>
    </xf>
    <xf numFmtId="0" fontId="95" fillId="33" borderId="0" xfId="0" applyFont="1" applyFill="1" applyBorder="1" applyAlignment="1">
      <alignment/>
    </xf>
    <xf numFmtId="0" fontId="96" fillId="0" borderId="0"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97" fillId="0" borderId="0" xfId="0" applyFont="1" applyFill="1" applyBorder="1" applyAlignment="1">
      <alignment horizontal="right" vertical="center"/>
    </xf>
    <xf numFmtId="0" fontId="97" fillId="0" borderId="10" xfId="0" applyFont="1" applyFill="1" applyBorder="1" applyAlignment="1">
      <alignment horizontal="right" vertical="center"/>
    </xf>
    <xf numFmtId="3" fontId="16" fillId="0" borderId="0" xfId="0" applyNumberFormat="1" applyFont="1" applyFill="1" applyBorder="1" applyAlignment="1">
      <alignment vertical="center"/>
    </xf>
    <xf numFmtId="3" fontId="16" fillId="0" borderId="10" xfId="0" applyNumberFormat="1" applyFont="1" applyFill="1" applyBorder="1" applyAlignment="1">
      <alignment vertical="center"/>
    </xf>
    <xf numFmtId="3" fontId="15" fillId="0" borderId="0" xfId="0" applyNumberFormat="1" applyFont="1" applyFill="1" applyBorder="1" applyAlignment="1">
      <alignment vertical="center"/>
    </xf>
    <xf numFmtId="3" fontId="15" fillId="0" borderId="0" xfId="0" applyNumberFormat="1" applyFont="1" applyFill="1" applyBorder="1" applyAlignment="1">
      <alignment horizontal="right"/>
    </xf>
    <xf numFmtId="3" fontId="15" fillId="0" borderId="10" xfId="0" applyNumberFormat="1" applyFont="1" applyFill="1" applyBorder="1" applyAlignment="1">
      <alignment horizontal="right"/>
    </xf>
    <xf numFmtId="3" fontId="15" fillId="0" borderId="0" xfId="0" applyNumberFormat="1" applyFont="1" applyFill="1" applyBorder="1" applyAlignment="1">
      <alignment horizontal="left" vertical="center" indent="1"/>
    </xf>
    <xf numFmtId="3" fontId="98" fillId="34" borderId="0" xfId="0" applyNumberFormat="1" applyFont="1" applyFill="1" applyBorder="1" applyAlignment="1">
      <alignment vertical="center"/>
    </xf>
    <xf numFmtId="3" fontId="98" fillId="0" borderId="0" xfId="0" applyNumberFormat="1" applyFont="1" applyFill="1" applyBorder="1" applyAlignment="1">
      <alignment vertical="center"/>
    </xf>
    <xf numFmtId="3" fontId="73" fillId="0" borderId="0" xfId="0" applyNumberFormat="1" applyFont="1" applyFill="1" applyAlignment="1">
      <alignment/>
    </xf>
    <xf numFmtId="3" fontId="16" fillId="0" borderId="0" xfId="0" applyNumberFormat="1" applyFont="1" applyFill="1" applyBorder="1" applyAlignment="1">
      <alignment horizontal="right" vertical="center"/>
    </xf>
    <xf numFmtId="3" fontId="98" fillId="34" borderId="0" xfId="0" applyNumberFormat="1" applyFont="1" applyFill="1" applyBorder="1" applyAlignment="1">
      <alignment horizontal="right" vertical="center"/>
    </xf>
    <xf numFmtId="0" fontId="16" fillId="0" borderId="0" xfId="0" applyFont="1" applyFill="1" applyBorder="1" applyAlignment="1">
      <alignment/>
    </xf>
    <xf numFmtId="164" fontId="97" fillId="0" borderId="0" xfId="0" applyNumberFormat="1" applyFont="1" applyFill="1" applyBorder="1" applyAlignment="1">
      <alignment horizontal="right" vertical="center"/>
    </xf>
    <xf numFmtId="3" fontId="0" fillId="0" borderId="0" xfId="0" applyNumberFormat="1" applyFill="1" applyAlignment="1">
      <alignment/>
    </xf>
    <xf numFmtId="3" fontId="18" fillId="0" borderId="0" xfId="0" applyNumberFormat="1" applyFont="1" applyFill="1" applyBorder="1" applyAlignment="1">
      <alignment vertical="center"/>
    </xf>
    <xf numFmtId="3" fontId="18" fillId="0" borderId="0" xfId="0" applyNumberFormat="1" applyFont="1" applyFill="1" applyBorder="1" applyAlignment="1">
      <alignment horizontal="right"/>
    </xf>
    <xf numFmtId="3" fontId="15" fillId="35" borderId="0" xfId="0" applyNumberFormat="1" applyFont="1" applyFill="1" applyBorder="1" applyAlignment="1">
      <alignment horizontal="right"/>
    </xf>
    <xf numFmtId="3" fontId="15" fillId="0" borderId="0" xfId="0" applyNumberFormat="1" applyFont="1" applyFill="1" applyBorder="1" applyAlignment="1">
      <alignment/>
    </xf>
    <xf numFmtId="3" fontId="15" fillId="0" borderId="0" xfId="0" applyNumberFormat="1" applyFont="1" applyFill="1" applyAlignment="1">
      <alignment vertical="center"/>
    </xf>
    <xf numFmtId="3" fontId="16" fillId="0" borderId="0" xfId="0" applyNumberFormat="1" applyFont="1" applyFill="1" applyBorder="1" applyAlignment="1">
      <alignment/>
    </xf>
    <xf numFmtId="3" fontId="99" fillId="0" borderId="0" xfId="0" applyNumberFormat="1" applyFont="1" applyFill="1" applyBorder="1" applyAlignment="1">
      <alignment/>
    </xf>
    <xf numFmtId="3" fontId="17" fillId="0" borderId="0" xfId="0" applyNumberFormat="1" applyFont="1" applyFill="1" applyBorder="1" applyAlignment="1">
      <alignment vertical="center"/>
    </xf>
    <xf numFmtId="3" fontId="100" fillId="0" borderId="0" xfId="0" applyNumberFormat="1" applyFont="1" applyFill="1" applyBorder="1" applyAlignment="1">
      <alignment vertical="center" wrapText="1"/>
    </xf>
    <xf numFmtId="3" fontId="100" fillId="0" borderId="0" xfId="0" applyNumberFormat="1" applyFont="1" applyFill="1" applyBorder="1" applyAlignment="1">
      <alignment horizontal="right" vertical="center" wrapText="1"/>
    </xf>
    <xf numFmtId="3" fontId="15" fillId="0" borderId="10" xfId="0" applyNumberFormat="1" applyFont="1" applyFill="1" applyBorder="1" applyAlignment="1">
      <alignment/>
    </xf>
    <xf numFmtId="0" fontId="94" fillId="0" borderId="0" xfId="0" applyFont="1" applyFill="1" applyBorder="1" applyAlignment="1">
      <alignment horizontal="left" vertical="center"/>
    </xf>
    <xf numFmtId="0" fontId="95" fillId="0" borderId="0" xfId="0" applyFont="1" applyFill="1" applyBorder="1" applyAlignment="1">
      <alignment/>
    </xf>
    <xf numFmtId="164" fontId="97" fillId="0" borderId="10" xfId="0" applyNumberFormat="1" applyFont="1" applyFill="1" applyBorder="1" applyAlignment="1">
      <alignment horizontal="right" vertical="center"/>
    </xf>
    <xf numFmtId="0" fontId="95" fillId="33" borderId="0" xfId="0" applyFont="1" applyFill="1" applyBorder="1" applyAlignment="1">
      <alignment horizontal="right"/>
    </xf>
    <xf numFmtId="0" fontId="15" fillId="0" borderId="0" xfId="0" applyFont="1" applyFill="1" applyBorder="1" applyAlignment="1">
      <alignment horizontal="right"/>
    </xf>
    <xf numFmtId="3" fontId="98" fillId="34" borderId="10" xfId="0" applyNumberFormat="1" applyFont="1" applyFill="1" applyBorder="1" applyAlignment="1">
      <alignment vertical="center"/>
    </xf>
    <xf numFmtId="0" fontId="95" fillId="0" borderId="0" xfId="0" applyFont="1" applyFill="1" applyBorder="1" applyAlignment="1">
      <alignment horizontal="right"/>
    </xf>
    <xf numFmtId="0" fontId="19" fillId="0" borderId="0" xfId="0" applyFont="1" applyFill="1" applyBorder="1" applyAlignment="1">
      <alignment/>
    </xf>
    <xf numFmtId="0" fontId="0" fillId="0" borderId="0" xfId="0" applyFill="1" applyBorder="1" applyAlignment="1">
      <alignment/>
    </xf>
    <xf numFmtId="0" fontId="20" fillId="0" borderId="0" xfId="0" applyFont="1" applyFill="1" applyBorder="1" applyAlignment="1">
      <alignment/>
    </xf>
    <xf numFmtId="164" fontId="97" fillId="0" borderId="0" xfId="0" applyNumberFormat="1" applyFont="1" applyFill="1" applyBorder="1" applyAlignment="1">
      <alignment vertical="center"/>
    </xf>
    <xf numFmtId="3" fontId="15" fillId="0" borderId="0" xfId="0" applyNumberFormat="1" applyFont="1" applyFill="1" applyBorder="1" applyAlignment="1">
      <alignment/>
    </xf>
    <xf numFmtId="0" fontId="95" fillId="0" borderId="0" xfId="0" applyFont="1" applyFill="1" applyBorder="1" applyAlignment="1">
      <alignment/>
    </xf>
    <xf numFmtId="0" fontId="15" fillId="0" borderId="0" xfId="0" applyFont="1" applyFill="1" applyBorder="1" applyAlignment="1">
      <alignment/>
    </xf>
    <xf numFmtId="3" fontId="98" fillId="34" borderId="10" xfId="0" applyNumberFormat="1" applyFont="1" applyFill="1" applyBorder="1" applyAlignment="1">
      <alignment horizontal="right" vertical="center"/>
    </xf>
    <xf numFmtId="0" fontId="95" fillId="33" borderId="0" xfId="0" applyFont="1" applyFill="1" applyBorder="1" applyAlignment="1">
      <alignment/>
    </xf>
    <xf numFmtId="0" fontId="0" fillId="0" borderId="0" xfId="0" applyFill="1" applyAlignment="1">
      <alignment horizontal="right"/>
    </xf>
    <xf numFmtId="0" fontId="14" fillId="0" borderId="0" xfId="0" applyFont="1" applyFill="1" applyBorder="1" applyAlignment="1" quotePrefix="1">
      <alignment horizontal="left" vertical="center"/>
    </xf>
    <xf numFmtId="0" fontId="96" fillId="0" borderId="0" xfId="0" applyFont="1" applyFill="1" applyBorder="1" applyAlignment="1" quotePrefix="1">
      <alignment horizontal="left" vertical="center"/>
    </xf>
    <xf numFmtId="0" fontId="97" fillId="0" borderId="0" xfId="0" applyFont="1" applyFill="1" applyBorder="1" applyAlignment="1" quotePrefix="1">
      <alignment horizontal="right" vertical="center"/>
    </xf>
    <xf numFmtId="0" fontId="97" fillId="0" borderId="10" xfId="0" applyFont="1" applyFill="1" applyBorder="1" applyAlignment="1" quotePrefix="1">
      <alignment horizontal="right" vertical="center"/>
    </xf>
    <xf numFmtId="0" fontId="0" fillId="0" borderId="0" xfId="0" applyFill="1" applyAlignment="1" quotePrefix="1">
      <alignment/>
    </xf>
    <xf numFmtId="3" fontId="15" fillId="0" borderId="0" xfId="0" applyNumberFormat="1" applyFont="1" applyFill="1" applyBorder="1" applyAlignment="1" quotePrefix="1">
      <alignment vertical="center"/>
    </xf>
    <xf numFmtId="3" fontId="15" fillId="0" borderId="0" xfId="0" applyNumberFormat="1" applyFont="1" applyFill="1" applyBorder="1" applyAlignment="1" quotePrefix="1">
      <alignment horizontal="left" vertical="center" indent="1"/>
    </xf>
    <xf numFmtId="3" fontId="16" fillId="0" borderId="0" xfId="0" applyNumberFormat="1" applyFont="1" applyFill="1" applyBorder="1" applyAlignment="1" quotePrefix="1">
      <alignment vertical="center"/>
    </xf>
    <xf numFmtId="3" fontId="98" fillId="34" borderId="0" xfId="0" applyNumberFormat="1" applyFont="1" applyFill="1" applyBorder="1" applyAlignment="1" quotePrefix="1">
      <alignment vertical="center"/>
    </xf>
    <xf numFmtId="3" fontId="17" fillId="0" borderId="0" xfId="0" applyNumberFormat="1" applyFont="1" applyFill="1" applyBorder="1" applyAlignment="1" quotePrefix="1">
      <alignment vertical="center"/>
    </xf>
    <xf numFmtId="0" fontId="94" fillId="33" borderId="0" xfId="0" applyFont="1" applyFill="1" applyBorder="1" applyAlignment="1" quotePrefix="1">
      <alignment horizontal="left" vertical="center"/>
    </xf>
    <xf numFmtId="0" fontId="0" fillId="0" borderId="0" xfId="0" applyFill="1" applyBorder="1" applyAlignment="1">
      <alignment horizontal="right"/>
    </xf>
    <xf numFmtId="0" fontId="94" fillId="33" borderId="0" xfId="0" applyFont="1" applyFill="1" applyAlignment="1">
      <alignment horizontal="left" vertical="center"/>
    </xf>
    <xf numFmtId="0" fontId="95" fillId="33" borderId="0" xfId="59" applyFont="1" applyFill="1">
      <alignment/>
      <protection/>
    </xf>
    <xf numFmtId="0" fontId="20" fillId="0" borderId="0" xfId="59" applyFont="1">
      <alignment/>
      <protection/>
    </xf>
    <xf numFmtId="0" fontId="96" fillId="0" borderId="0" xfId="0" applyFont="1" applyFill="1" applyAlignment="1">
      <alignment horizontal="left"/>
    </xf>
    <xf numFmtId="0" fontId="15" fillId="0" borderId="0" xfId="59" applyFont="1" applyFill="1">
      <alignment/>
      <protection/>
    </xf>
    <xf numFmtId="164" fontId="16" fillId="0" borderId="0" xfId="60" applyNumberFormat="1" applyFont="1" applyFill="1" applyAlignment="1">
      <alignment horizontal="right" vertical="center"/>
      <protection/>
    </xf>
    <xf numFmtId="164" fontId="97" fillId="0" borderId="11" xfId="0" applyNumberFormat="1" applyFont="1" applyFill="1" applyBorder="1" applyAlignment="1">
      <alignment horizontal="right"/>
    </xf>
    <xf numFmtId="49" fontId="15" fillId="0" borderId="0" xfId="59" applyNumberFormat="1" applyFont="1" applyFill="1" applyBorder="1" applyAlignment="1">
      <alignment horizontal="right"/>
      <protection/>
    </xf>
    <xf numFmtId="49" fontId="15" fillId="0" borderId="12" xfId="59" applyNumberFormat="1" applyFont="1" applyFill="1" applyBorder="1" applyAlignment="1">
      <alignment horizontal="right"/>
      <protection/>
    </xf>
    <xf numFmtId="3" fontId="16" fillId="0" borderId="0" xfId="0" applyNumberFormat="1" applyFont="1" applyFill="1" applyAlignment="1">
      <alignment vertical="center"/>
    </xf>
    <xf numFmtId="165" fontId="16" fillId="0" borderId="0" xfId="0" applyNumberFormat="1" applyFont="1" applyFill="1" applyBorder="1" applyAlignment="1">
      <alignment vertical="center"/>
    </xf>
    <xf numFmtId="165" fontId="16" fillId="0" borderId="10" xfId="0" applyNumberFormat="1" applyFont="1" applyFill="1" applyBorder="1" applyAlignment="1">
      <alignment vertical="center"/>
    </xf>
    <xf numFmtId="165" fontId="16" fillId="0" borderId="0" xfId="0" applyNumberFormat="1" applyFont="1" applyFill="1" applyBorder="1" applyAlignment="1">
      <alignment horizontal="right" vertical="center"/>
    </xf>
    <xf numFmtId="3" fontId="0" fillId="0" borderId="0" xfId="0" applyNumberFormat="1" applyAlignment="1">
      <alignment/>
    </xf>
    <xf numFmtId="165" fontId="15" fillId="0" borderId="0" xfId="59" applyNumberFormat="1" applyFont="1" applyFill="1" applyBorder="1" applyAlignment="1">
      <alignment horizontal="right"/>
      <protection/>
    </xf>
    <xf numFmtId="165" fontId="15" fillId="0" borderId="10" xfId="59" applyNumberFormat="1" applyFont="1" applyFill="1" applyBorder="1" applyAlignment="1">
      <alignment horizontal="right"/>
      <protection/>
    </xf>
    <xf numFmtId="165" fontId="20" fillId="0" borderId="0" xfId="59" applyNumberFormat="1" applyFont="1">
      <alignment/>
      <protection/>
    </xf>
    <xf numFmtId="165" fontId="15" fillId="0" borderId="0" xfId="0" applyNumberFormat="1" applyFont="1" applyFill="1" applyBorder="1" applyAlignment="1">
      <alignment vertical="center"/>
    </xf>
    <xf numFmtId="165" fontId="15" fillId="0" borderId="10" xfId="0" applyNumberFormat="1" applyFont="1" applyFill="1" applyBorder="1" applyAlignment="1">
      <alignment vertical="center"/>
    </xf>
    <xf numFmtId="165" fontId="15" fillId="0" borderId="0" xfId="0" applyNumberFormat="1" applyFont="1" applyFill="1" applyBorder="1" applyAlignment="1">
      <alignment horizontal="right" vertical="center"/>
    </xf>
    <xf numFmtId="3" fontId="101" fillId="0" borderId="0" xfId="0" applyNumberFormat="1" applyFont="1" applyAlignment="1">
      <alignment/>
    </xf>
    <xf numFmtId="165" fontId="15" fillId="0" borderId="0" xfId="65" applyNumberFormat="1" applyFont="1" applyFill="1" applyBorder="1" applyAlignment="1">
      <alignment horizontal="right"/>
    </xf>
    <xf numFmtId="0" fontId="21" fillId="0" borderId="0" xfId="0" applyFont="1" applyFill="1" applyAlignment="1">
      <alignment horizontal="left"/>
    </xf>
    <xf numFmtId="0" fontId="20" fillId="0" borderId="0" xfId="59" applyFont="1" applyFill="1">
      <alignment/>
      <protection/>
    </xf>
    <xf numFmtId="0" fontId="102" fillId="33" borderId="0" xfId="60" applyFont="1" applyFill="1" applyAlignment="1">
      <alignment horizontal="left" vertical="center"/>
      <protection/>
    </xf>
    <xf numFmtId="0" fontId="6" fillId="0" borderId="0" xfId="59" applyFont="1">
      <alignment/>
      <protection/>
    </xf>
    <xf numFmtId="164" fontId="97" fillId="0" borderId="11" xfId="0" applyNumberFormat="1" applyFont="1" applyFill="1" applyBorder="1" applyAlignment="1">
      <alignment horizontal="right" vertical="center"/>
    </xf>
    <xf numFmtId="0" fontId="15" fillId="0" borderId="12" xfId="59" applyFont="1" applyFill="1" applyBorder="1">
      <alignment/>
      <protection/>
    </xf>
    <xf numFmtId="166" fontId="0" fillId="0" borderId="0" xfId="0" applyNumberFormat="1" applyAlignment="1">
      <alignment/>
    </xf>
    <xf numFmtId="167" fontId="0" fillId="0" borderId="0" xfId="0" applyNumberFormat="1" applyAlignment="1">
      <alignment/>
    </xf>
    <xf numFmtId="0" fontId="22" fillId="0" borderId="0" xfId="59" applyFont="1">
      <alignment/>
      <protection/>
    </xf>
    <xf numFmtId="167" fontId="6" fillId="0" borderId="0" xfId="59" applyNumberFormat="1" applyFont="1">
      <alignment/>
      <protection/>
    </xf>
    <xf numFmtId="165" fontId="15" fillId="0" borderId="0" xfId="0" applyNumberFormat="1" applyFont="1" applyFill="1" applyBorder="1" applyAlignment="1">
      <alignment/>
    </xf>
    <xf numFmtId="165" fontId="15" fillId="0" borderId="10" xfId="0" applyNumberFormat="1" applyFont="1" applyFill="1" applyBorder="1" applyAlignment="1">
      <alignment/>
    </xf>
    <xf numFmtId="0" fontId="17" fillId="0" borderId="0" xfId="0" applyFont="1" applyFill="1" applyAlignment="1">
      <alignment horizontal="left"/>
    </xf>
    <xf numFmtId="167" fontId="15" fillId="0" borderId="0" xfId="59" applyNumberFormat="1" applyFont="1" applyFill="1" applyBorder="1">
      <alignment/>
      <protection/>
    </xf>
    <xf numFmtId="0" fontId="95" fillId="33" borderId="0" xfId="59" applyFont="1" applyFill="1" applyBorder="1">
      <alignment/>
      <protection/>
    </xf>
    <xf numFmtId="167" fontId="95" fillId="33" borderId="0" xfId="59" applyNumberFormat="1" applyFont="1" applyFill="1" applyBorder="1">
      <alignment/>
      <protection/>
    </xf>
    <xf numFmtId="0" fontId="22" fillId="0" borderId="0" xfId="59" applyFont="1" applyFill="1">
      <alignment/>
      <protection/>
    </xf>
    <xf numFmtId="2" fontId="15" fillId="0" borderId="0" xfId="59" applyNumberFormat="1" applyFont="1" applyFill="1" applyBorder="1">
      <alignment/>
      <protection/>
    </xf>
    <xf numFmtId="1" fontId="16" fillId="0" borderId="0" xfId="0" applyNumberFormat="1" applyFont="1" applyFill="1" applyBorder="1" applyAlignment="1">
      <alignment vertical="center"/>
    </xf>
    <xf numFmtId="1" fontId="16" fillId="0" borderId="10" xfId="0" applyNumberFormat="1" applyFont="1" applyFill="1" applyBorder="1" applyAlignment="1">
      <alignment vertical="center"/>
    </xf>
    <xf numFmtId="168" fontId="0" fillId="0" borderId="0" xfId="0" applyNumberFormat="1" applyAlignment="1">
      <alignment/>
    </xf>
    <xf numFmtId="1" fontId="15" fillId="0" borderId="0" xfId="59" applyNumberFormat="1" applyFont="1" applyFill="1" applyBorder="1" applyAlignment="1">
      <alignment horizontal="right"/>
      <protection/>
    </xf>
    <xf numFmtId="1" fontId="15" fillId="0" borderId="10" xfId="59" applyNumberFormat="1" applyFont="1" applyFill="1" applyBorder="1" applyAlignment="1">
      <alignment horizontal="right"/>
      <protection/>
    </xf>
    <xf numFmtId="1" fontId="15" fillId="0" borderId="0" xfId="0" applyNumberFormat="1" applyFont="1" applyFill="1" applyBorder="1" applyAlignment="1">
      <alignment vertical="center"/>
    </xf>
    <xf numFmtId="1" fontId="15" fillId="0" borderId="10" xfId="0" applyNumberFormat="1" applyFont="1" applyFill="1" applyBorder="1" applyAlignment="1">
      <alignment vertical="center"/>
    </xf>
    <xf numFmtId="9" fontId="0" fillId="0" borderId="0" xfId="0" applyNumberFormat="1" applyAlignment="1">
      <alignment/>
    </xf>
    <xf numFmtId="1" fontId="15" fillId="0" borderId="0" xfId="0" applyNumberFormat="1" applyFont="1" applyFill="1" applyBorder="1" applyAlignment="1">
      <alignment/>
    </xf>
    <xf numFmtId="1" fontId="15" fillId="0" borderId="10" xfId="0" applyNumberFormat="1" applyFont="1" applyFill="1" applyBorder="1" applyAlignment="1">
      <alignment/>
    </xf>
    <xf numFmtId="0" fontId="15" fillId="0" borderId="0" xfId="59" applyFont="1" applyFill="1" applyBorder="1">
      <alignment/>
      <protection/>
    </xf>
    <xf numFmtId="2" fontId="16" fillId="0" borderId="0" xfId="0" applyNumberFormat="1" applyFont="1" applyFill="1" applyBorder="1" applyAlignment="1">
      <alignment vertical="center"/>
    </xf>
    <xf numFmtId="2" fontId="16" fillId="0" borderId="10" xfId="0" applyNumberFormat="1" applyFont="1" applyFill="1" applyBorder="1" applyAlignment="1">
      <alignment vertical="center"/>
    </xf>
    <xf numFmtId="2" fontId="15" fillId="0" borderId="0" xfId="59" applyNumberFormat="1" applyFont="1" applyFill="1" applyBorder="1" applyAlignment="1">
      <alignment horizontal="right"/>
      <protection/>
    </xf>
    <xf numFmtId="2" fontId="15" fillId="0" borderId="10" xfId="59" applyNumberFormat="1" applyFont="1" applyFill="1" applyBorder="1" applyAlignment="1">
      <alignment horizontal="right"/>
      <protection/>
    </xf>
    <xf numFmtId="2" fontId="15" fillId="0" borderId="0" xfId="0" applyNumberFormat="1" applyFont="1" applyFill="1" applyBorder="1" applyAlignment="1">
      <alignment vertical="center"/>
    </xf>
    <xf numFmtId="2" fontId="15" fillId="0" borderId="10" xfId="0" applyNumberFormat="1" applyFont="1" applyFill="1" applyBorder="1" applyAlignment="1">
      <alignment vertical="center"/>
    </xf>
    <xf numFmtId="2" fontId="15" fillId="0" borderId="0" xfId="0" applyNumberFormat="1" applyFont="1" applyFill="1" applyBorder="1" applyAlignment="1">
      <alignment/>
    </xf>
    <xf numFmtId="2" fontId="15" fillId="0" borderId="10" xfId="0" applyNumberFormat="1" applyFont="1" applyFill="1" applyBorder="1" applyAlignment="1">
      <alignment/>
    </xf>
    <xf numFmtId="0" fontId="6" fillId="0" borderId="0" xfId="59" applyFont="1" applyFill="1">
      <alignment/>
      <protection/>
    </xf>
    <xf numFmtId="0" fontId="23" fillId="0" borderId="0" xfId="59" applyFont="1">
      <alignment/>
      <protection/>
    </xf>
    <xf numFmtId="3" fontId="95" fillId="33" borderId="0" xfId="0" applyNumberFormat="1" applyFont="1" applyFill="1" applyBorder="1" applyAlignment="1">
      <alignment/>
    </xf>
    <xf numFmtId="0" fontId="95" fillId="33" borderId="0" xfId="0" applyFont="1" applyFill="1" applyAlignment="1">
      <alignment/>
    </xf>
    <xf numFmtId="0" fontId="16" fillId="0" borderId="0" xfId="59" applyFont="1" applyFill="1" applyBorder="1" applyAlignment="1">
      <alignment horizontal="center" vertical="center"/>
      <protection/>
    </xf>
    <xf numFmtId="3" fontId="15" fillId="0" borderId="0" xfId="0" applyNumberFormat="1" applyFont="1" applyFill="1" applyAlignment="1">
      <alignment horizontal="left" vertical="center" indent="1"/>
    </xf>
    <xf numFmtId="0" fontId="15" fillId="0" borderId="0" xfId="0" applyFont="1" applyFill="1" applyAlignment="1">
      <alignment/>
    </xf>
    <xf numFmtId="3" fontId="99" fillId="0" borderId="0" xfId="0" applyNumberFormat="1" applyFont="1" applyFill="1" applyAlignment="1">
      <alignment/>
    </xf>
    <xf numFmtId="3" fontId="20" fillId="0" borderId="0" xfId="59" applyNumberFormat="1" applyFont="1" applyFill="1">
      <alignment/>
      <protection/>
    </xf>
    <xf numFmtId="0" fontId="0" fillId="36" borderId="0" xfId="0" applyFill="1" applyAlignment="1">
      <alignment/>
    </xf>
    <xf numFmtId="0" fontId="96" fillId="0" borderId="0" xfId="0" applyFont="1" applyFill="1" applyAlignment="1">
      <alignment horizontal="left" vertical="center"/>
    </xf>
    <xf numFmtId="0" fontId="15" fillId="0" borderId="0" xfId="59" applyFont="1">
      <alignment/>
      <protection/>
    </xf>
    <xf numFmtId="0" fontId="9" fillId="0" borderId="0" xfId="60" applyFont="1" applyFill="1" applyAlignment="1">
      <alignment horizontal="left" vertical="center"/>
      <protection/>
    </xf>
    <xf numFmtId="0" fontId="103" fillId="0" borderId="0" xfId="59" applyFont="1" applyFill="1">
      <alignment/>
      <protection/>
    </xf>
    <xf numFmtId="3" fontId="103" fillId="0" borderId="0" xfId="0" applyNumberFormat="1" applyFont="1" applyFill="1" applyAlignment="1">
      <alignment/>
    </xf>
    <xf numFmtId="164" fontId="97" fillId="0" borderId="0" xfId="0" applyNumberFormat="1" applyFont="1" applyFill="1" applyBorder="1" applyAlignment="1">
      <alignment horizontal="center" vertical="center"/>
    </xf>
    <xf numFmtId="1" fontId="97" fillId="0" borderId="0" xfId="0" applyNumberFormat="1" applyFont="1" applyFill="1" applyBorder="1" applyAlignment="1">
      <alignment vertical="center"/>
    </xf>
    <xf numFmtId="164" fontId="97" fillId="0" borderId="11" xfId="0" applyNumberFormat="1" applyFont="1" applyFill="1" applyBorder="1" applyAlignment="1">
      <alignment horizontal="center" vertical="center"/>
    </xf>
    <xf numFmtId="0" fontId="103" fillId="0" borderId="11" xfId="59" applyFont="1" applyFill="1" applyBorder="1">
      <alignment/>
      <protection/>
    </xf>
    <xf numFmtId="3" fontId="103" fillId="0" borderId="11" xfId="0" applyNumberFormat="1" applyFont="1" applyFill="1" applyBorder="1" applyAlignment="1">
      <alignment/>
    </xf>
    <xf numFmtId="164" fontId="97" fillId="0" borderId="11" xfId="0" applyNumberFormat="1" applyFont="1" applyFill="1" applyBorder="1" applyAlignment="1" quotePrefix="1">
      <alignment horizontal="center" vertical="center"/>
    </xf>
    <xf numFmtId="168" fontId="15" fillId="0" borderId="0" xfId="0" applyNumberFormat="1" applyFont="1" applyFill="1" applyBorder="1" applyAlignment="1">
      <alignment/>
    </xf>
    <xf numFmtId="167" fontId="15" fillId="0" borderId="0" xfId="63" applyNumberFormat="1" applyFont="1" applyFill="1" applyBorder="1" applyAlignment="1">
      <alignment/>
    </xf>
    <xf numFmtId="9" fontId="15" fillId="0" borderId="0" xfId="63" applyFont="1" applyFill="1" applyBorder="1" applyAlignment="1">
      <alignment/>
    </xf>
    <xf numFmtId="165" fontId="15" fillId="0" borderId="0" xfId="65" applyNumberFormat="1" applyFont="1" applyFill="1" applyAlignment="1">
      <alignment horizontal="right"/>
    </xf>
    <xf numFmtId="9" fontId="15" fillId="0" borderId="0" xfId="63" applyNumberFormat="1" applyFont="1" applyFill="1" applyAlignment="1">
      <alignment horizontal="right"/>
    </xf>
    <xf numFmtId="0" fontId="104" fillId="33" borderId="0" xfId="60" applyFont="1" applyFill="1" applyBorder="1" applyAlignment="1">
      <alignment horizontal="left" vertical="center"/>
      <protection/>
    </xf>
    <xf numFmtId="0" fontId="6" fillId="0" borderId="0" xfId="54">
      <alignment/>
      <protection/>
    </xf>
    <xf numFmtId="0" fontId="96" fillId="0" borderId="0" xfId="54" applyFont="1" applyFill="1" applyBorder="1" applyAlignment="1">
      <alignment horizontal="left" vertical="center"/>
      <protection/>
    </xf>
    <xf numFmtId="0" fontId="9" fillId="0" borderId="0" xfId="60" applyFont="1" applyFill="1" applyBorder="1" applyAlignment="1">
      <alignment horizontal="left" vertical="center"/>
      <protection/>
    </xf>
    <xf numFmtId="0" fontId="15" fillId="0" borderId="0" xfId="54" applyFont="1" applyFill="1" applyBorder="1">
      <alignment/>
      <protection/>
    </xf>
    <xf numFmtId="0" fontId="97" fillId="0" borderId="11" xfId="54" applyFont="1" applyFill="1" applyBorder="1" applyAlignment="1">
      <alignment horizontal="right" vertical="center"/>
      <protection/>
    </xf>
    <xf numFmtId="0" fontId="15" fillId="0" borderId="0" xfId="57" applyFont="1" applyFill="1" applyBorder="1" applyAlignment="1">
      <alignment vertical="center"/>
      <protection/>
    </xf>
    <xf numFmtId="10" fontId="15" fillId="0" borderId="0" xfId="66" applyNumberFormat="1" applyFont="1" applyFill="1" applyBorder="1" applyAlignment="1">
      <alignment vertical="center"/>
    </xf>
    <xf numFmtId="10" fontId="6" fillId="0" borderId="0" xfId="54" applyNumberFormat="1">
      <alignment/>
      <protection/>
    </xf>
    <xf numFmtId="3" fontId="16" fillId="0" borderId="0" xfId="54" applyNumberFormat="1" applyFont="1" applyFill="1" applyBorder="1" applyAlignment="1">
      <alignment vertical="center"/>
      <protection/>
    </xf>
    <xf numFmtId="10" fontId="16" fillId="0" borderId="0" xfId="54" applyNumberFormat="1" applyFont="1" applyFill="1" applyBorder="1" applyAlignment="1">
      <alignment vertical="center"/>
      <protection/>
    </xf>
    <xf numFmtId="10" fontId="15" fillId="0" borderId="0" xfId="59" applyNumberFormat="1" applyFont="1" applyFill="1" applyBorder="1" applyAlignment="1">
      <alignment horizontal="right"/>
      <protection/>
    </xf>
    <xf numFmtId="10" fontId="16" fillId="0" borderId="0" xfId="59" applyNumberFormat="1" applyFont="1" applyFill="1" applyBorder="1" applyAlignment="1">
      <alignment horizontal="right"/>
      <protection/>
    </xf>
    <xf numFmtId="10" fontId="15" fillId="0" borderId="0" xfId="54" applyNumberFormat="1" applyFont="1" applyFill="1" applyBorder="1" applyAlignment="1">
      <alignment vertical="center"/>
      <protection/>
    </xf>
    <xf numFmtId="10" fontId="16" fillId="0" borderId="0" xfId="66" applyNumberFormat="1" applyFont="1" applyFill="1" applyBorder="1" applyAlignment="1">
      <alignment vertical="center"/>
    </xf>
    <xf numFmtId="3" fontId="21" fillId="0" borderId="0" xfId="54" applyNumberFormat="1" applyFont="1" applyFill="1" applyBorder="1" applyAlignment="1">
      <alignment vertical="center"/>
      <protection/>
    </xf>
    <xf numFmtId="0" fontId="15" fillId="0" borderId="0" xfId="0" applyFont="1" applyAlignment="1">
      <alignment/>
    </xf>
    <xf numFmtId="0" fontId="24" fillId="0" borderId="0" xfId="0" applyNumberFormat="1" applyFont="1" applyFill="1" applyBorder="1" applyAlignment="1">
      <alignment horizontal="left" vertical="center"/>
    </xf>
    <xf numFmtId="0" fontId="15" fillId="0" borderId="0" xfId="0" applyFont="1" applyFill="1" applyAlignment="1">
      <alignment horizontal="right" vertical="center"/>
    </xf>
    <xf numFmtId="169" fontId="97" fillId="0" borderId="11" xfId="0" applyNumberFormat="1" applyFont="1" applyFill="1" applyBorder="1" applyAlignment="1">
      <alignment horizontal="right" vertical="center"/>
    </xf>
    <xf numFmtId="0" fontId="105" fillId="0" borderId="0" xfId="0" applyFont="1" applyAlignment="1">
      <alignment horizontal="center"/>
    </xf>
    <xf numFmtId="3" fontId="16" fillId="0" borderId="0" xfId="0" applyNumberFormat="1" applyFont="1" applyFill="1" applyBorder="1" applyAlignment="1">
      <alignment horizontal="right"/>
    </xf>
    <xf numFmtId="170" fontId="105" fillId="0" borderId="0" xfId="49" applyNumberFormat="1" applyFont="1" applyAlignment="1">
      <alignment/>
    </xf>
    <xf numFmtId="43" fontId="0" fillId="0" borderId="0" xfId="49" applyFont="1" applyAlignment="1">
      <alignment/>
    </xf>
    <xf numFmtId="3" fontId="15" fillId="0" borderId="0" xfId="0" applyNumberFormat="1" applyFont="1" applyFill="1" applyAlignment="1">
      <alignment horizontal="left" vertical="center" indent="2"/>
    </xf>
    <xf numFmtId="0" fontId="6" fillId="0" borderId="0" xfId="0" applyFont="1" applyFill="1" applyAlignment="1">
      <alignment/>
    </xf>
    <xf numFmtId="0" fontId="94" fillId="33" borderId="0" xfId="57" applyFont="1" applyFill="1" applyAlignment="1">
      <alignment horizontal="left" vertical="center"/>
      <protection/>
    </xf>
    <xf numFmtId="0" fontId="106" fillId="33" borderId="0" xfId="57" applyFont="1" applyFill="1">
      <alignment/>
      <protection/>
    </xf>
    <xf numFmtId="0" fontId="0" fillId="0" borderId="0" xfId="57" applyAlignment="1">
      <alignment horizontal="right"/>
      <protection/>
    </xf>
    <xf numFmtId="0" fontId="0" fillId="0" borderId="0" xfId="57">
      <alignment/>
      <protection/>
    </xf>
    <xf numFmtId="0" fontId="25" fillId="0" borderId="0" xfId="57" applyFont="1" applyFill="1">
      <alignment/>
      <protection/>
    </xf>
    <xf numFmtId="0" fontId="96" fillId="36" borderId="0" xfId="0" applyFont="1" applyFill="1" applyBorder="1" applyAlignment="1">
      <alignment horizontal="left" vertical="center"/>
    </xf>
    <xf numFmtId="0" fontId="96" fillId="0" borderId="0" xfId="57" applyFont="1" applyFill="1" applyAlignment="1">
      <alignment horizontal="left" vertical="center"/>
      <protection/>
    </xf>
    <xf numFmtId="0" fontId="15" fillId="0" borderId="0" xfId="57" applyFont="1" applyFill="1" applyAlignment="1">
      <alignment vertical="center"/>
      <protection/>
    </xf>
    <xf numFmtId="164" fontId="15" fillId="0" borderId="0" xfId="57" applyNumberFormat="1" applyFont="1" applyFill="1" applyBorder="1" applyAlignment="1">
      <alignment horizontal="right" vertical="center"/>
      <protection/>
    </xf>
    <xf numFmtId="3" fontId="15" fillId="0" borderId="0" xfId="57" applyNumberFormat="1" applyFont="1" applyFill="1" applyAlignment="1">
      <alignment vertical="center"/>
      <protection/>
    </xf>
    <xf numFmtId="3" fontId="15" fillId="0" borderId="0" xfId="57" applyNumberFormat="1" applyFont="1" applyFill="1" applyBorder="1" applyAlignment="1">
      <alignment horizontal="right"/>
      <protection/>
    </xf>
    <xf numFmtId="3" fontId="16" fillId="0" borderId="0" xfId="57" applyNumberFormat="1" applyFont="1" applyFill="1" applyAlignment="1">
      <alignment vertical="center"/>
      <protection/>
    </xf>
    <xf numFmtId="3" fontId="16" fillId="0" borderId="0" xfId="57" applyNumberFormat="1" applyFont="1" applyFill="1" applyBorder="1" applyAlignment="1">
      <alignment horizontal="right"/>
      <protection/>
    </xf>
    <xf numFmtId="166" fontId="107" fillId="0" borderId="0" xfId="57" applyNumberFormat="1" applyFont="1" applyFill="1">
      <alignment/>
      <protection/>
    </xf>
    <xf numFmtId="166" fontId="25" fillId="0" borderId="0" xfId="57" applyNumberFormat="1" applyFont="1" applyFill="1">
      <alignment/>
      <protection/>
    </xf>
    <xf numFmtId="3" fontId="25" fillId="0" borderId="0" xfId="57" applyNumberFormat="1" applyFont="1" applyFill="1">
      <alignment/>
      <protection/>
    </xf>
    <xf numFmtId="3" fontId="16" fillId="0" borderId="0" xfId="57" applyNumberFormat="1" applyFont="1" applyFill="1" applyBorder="1" applyAlignment="1">
      <alignment vertical="center"/>
      <protection/>
    </xf>
    <xf numFmtId="166" fontId="25" fillId="0" borderId="0" xfId="57" applyNumberFormat="1" applyFont="1" applyFill="1" applyBorder="1">
      <alignment/>
      <protection/>
    </xf>
    <xf numFmtId="3" fontId="25" fillId="0" borderId="0" xfId="57" applyNumberFormat="1" applyFont="1" applyFill="1" applyBorder="1">
      <alignment/>
      <protection/>
    </xf>
    <xf numFmtId="0" fontId="0" fillId="0" borderId="0" xfId="57" applyFill="1" applyBorder="1">
      <alignment/>
      <protection/>
    </xf>
    <xf numFmtId="3" fontId="17" fillId="0" borderId="0" xfId="57" applyNumberFormat="1" applyFont="1" applyFill="1" applyAlignment="1">
      <alignment vertical="center"/>
      <protection/>
    </xf>
    <xf numFmtId="0" fontId="0" fillId="0" borderId="0" xfId="57" applyFill="1">
      <alignment/>
      <protection/>
    </xf>
    <xf numFmtId="0" fontId="17" fillId="0" borderId="0" xfId="57" applyFont="1" applyFill="1" applyAlignment="1">
      <alignment horizontal="left"/>
      <protection/>
    </xf>
    <xf numFmtId="0" fontId="108" fillId="0" borderId="0" xfId="57" applyFont="1">
      <alignment/>
      <protection/>
    </xf>
    <xf numFmtId="10" fontId="25" fillId="0" borderId="0" xfId="63" applyNumberFormat="1" applyFont="1" applyFill="1" applyAlignment="1">
      <alignment/>
    </xf>
    <xf numFmtId="0" fontId="25" fillId="0" borderId="0" xfId="57" applyFont="1" applyFill="1" applyAlignment="1">
      <alignment wrapText="1"/>
      <protection/>
    </xf>
    <xf numFmtId="0" fontId="27" fillId="0" borderId="0" xfId="61" applyFont="1" applyFill="1" applyProtection="1">
      <alignment/>
      <protection hidden="1" locked="0"/>
    </xf>
    <xf numFmtId="0" fontId="27" fillId="0" borderId="0" xfId="61" applyFont="1" applyFill="1" applyBorder="1" applyAlignment="1" applyProtection="1">
      <alignment horizontal="left"/>
      <protection hidden="1" locked="0"/>
    </xf>
    <xf numFmtId="0" fontId="27" fillId="0" borderId="11" xfId="61" applyFont="1" applyFill="1" applyBorder="1" applyAlignment="1" applyProtection="1">
      <alignment horizontal="left"/>
      <protection hidden="1" locked="0"/>
    </xf>
    <xf numFmtId="0" fontId="109" fillId="0" borderId="0" xfId="0" applyFont="1" applyAlignment="1">
      <alignment/>
    </xf>
    <xf numFmtId="0" fontId="110" fillId="0" borderId="0" xfId="61" applyFont="1" applyFill="1" applyBorder="1" applyAlignment="1" applyProtection="1">
      <alignment horizontal="left"/>
      <protection hidden="1" locked="0"/>
    </xf>
    <xf numFmtId="0" fontId="110" fillId="0" borderId="0" xfId="0" applyFont="1" applyAlignment="1">
      <alignment/>
    </xf>
    <xf numFmtId="3" fontId="17" fillId="0" borderId="0" xfId="0" applyNumberFormat="1" applyFont="1" applyFill="1" applyAlignment="1">
      <alignment vertical="center"/>
    </xf>
    <xf numFmtId="3" fontId="6" fillId="0" borderId="0" xfId="56" applyFill="1" quotePrefix="1">
      <alignment/>
      <protection/>
    </xf>
    <xf numFmtId="0" fontId="0" fillId="0" borderId="0" xfId="0" applyAlignment="1" quotePrefix="1">
      <alignment/>
    </xf>
    <xf numFmtId="0" fontId="111" fillId="0" borderId="11" xfId="0" applyFont="1" applyFill="1" applyBorder="1" applyAlignment="1">
      <alignment vertical="center"/>
    </xf>
    <xf numFmtId="164" fontId="97" fillId="0" borderId="0" xfId="0" applyNumberFormat="1" applyFont="1" applyFill="1" applyBorder="1" applyAlignment="1">
      <alignment horizontal="left" vertical="center"/>
    </xf>
    <xf numFmtId="0" fontId="93" fillId="37" borderId="0" xfId="0" applyFont="1" applyFill="1" applyAlignment="1">
      <alignment/>
    </xf>
    <xf numFmtId="3" fontId="16" fillId="0" borderId="0" xfId="0" applyNumberFormat="1" applyFont="1" applyFill="1" applyBorder="1" applyAlignment="1" quotePrefix="1">
      <alignment horizontal="right" vertical="center"/>
    </xf>
    <xf numFmtId="165" fontId="15" fillId="0" borderId="0" xfId="0" applyNumberFormat="1" applyFont="1" applyFill="1" applyBorder="1" applyAlignment="1">
      <alignment horizontal="right"/>
    </xf>
    <xf numFmtId="1" fontId="16"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xf>
    <xf numFmtId="2" fontId="16"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xf>
    <xf numFmtId="0" fontId="15" fillId="0" borderId="0" xfId="59" applyFont="1" applyFill="1" applyAlignment="1">
      <alignment horizontal="right"/>
      <protection/>
    </xf>
    <xf numFmtId="0" fontId="94" fillId="33" borderId="0" xfId="0" applyFont="1" applyFill="1" applyAlignment="1" quotePrefix="1">
      <alignment horizontal="left" vertical="center"/>
    </xf>
    <xf numFmtId="3" fontId="16" fillId="0" borderId="0" xfId="0" applyNumberFormat="1" applyFont="1" applyFill="1" applyAlignment="1" quotePrefix="1">
      <alignment vertical="center"/>
    </xf>
    <xf numFmtId="3" fontId="15" fillId="0" borderId="0" xfId="0" applyNumberFormat="1" applyFont="1" applyFill="1" applyBorder="1" applyAlignment="1" quotePrefix="1">
      <alignment horizontal="right"/>
    </xf>
    <xf numFmtId="3" fontId="15" fillId="0" borderId="0" xfId="0" applyNumberFormat="1" applyFont="1" applyFill="1" applyAlignment="1" quotePrefix="1">
      <alignment horizontal="left" vertical="center" indent="1"/>
    </xf>
    <xf numFmtId="3" fontId="17" fillId="0" borderId="0" xfId="0" applyNumberFormat="1" applyFont="1" applyFill="1" applyAlignment="1" quotePrefix="1">
      <alignment vertical="center"/>
    </xf>
    <xf numFmtId="0" fontId="95" fillId="33" borderId="0" xfId="54" applyFont="1" applyFill="1" applyBorder="1">
      <alignment/>
      <protection/>
    </xf>
    <xf numFmtId="3" fontId="17" fillId="0" borderId="0" xfId="54" applyNumberFormat="1" applyFont="1" applyFill="1" applyBorder="1" applyAlignment="1">
      <alignment vertical="center"/>
      <protection/>
    </xf>
    <xf numFmtId="3" fontId="16" fillId="0" borderId="0" xfId="57" applyNumberFormat="1" applyFont="1" applyFill="1" applyAlignment="1">
      <alignment horizontal="right" vertical="center"/>
      <protection/>
    </xf>
    <xf numFmtId="3" fontId="25" fillId="0" borderId="0" xfId="57" applyNumberFormat="1" applyFont="1" applyFill="1" applyAlignment="1">
      <alignment horizontal="right"/>
      <protection/>
    </xf>
    <xf numFmtId="0" fontId="94" fillId="33" borderId="0" xfId="57" applyFont="1" applyFill="1" applyAlignment="1" quotePrefix="1">
      <alignment horizontal="left" vertical="center"/>
      <protection/>
    </xf>
    <xf numFmtId="3" fontId="16" fillId="0" borderId="0" xfId="57" applyNumberFormat="1" applyFont="1" applyFill="1" applyAlignment="1" quotePrefix="1">
      <alignment vertical="center"/>
      <protection/>
    </xf>
    <xf numFmtId="3" fontId="15" fillId="0" borderId="0" xfId="57" applyNumberFormat="1" applyFont="1" applyFill="1" applyAlignment="1" quotePrefix="1">
      <alignment vertical="center"/>
      <protection/>
    </xf>
    <xf numFmtId="3" fontId="15" fillId="0" borderId="0" xfId="57" applyNumberFormat="1" applyFont="1" applyFill="1" applyAlignment="1" quotePrefix="1">
      <alignment horizontal="left" vertical="center" indent="2"/>
      <protection/>
    </xf>
    <xf numFmtId="3" fontId="15" fillId="0" borderId="0" xfId="57" applyNumberFormat="1" applyFont="1" applyFill="1" applyAlignment="1">
      <alignment horizontal="left" vertical="center" indent="2"/>
      <protection/>
    </xf>
    <xf numFmtId="3" fontId="15" fillId="0" borderId="0" xfId="57" applyNumberFormat="1" applyFont="1" applyFill="1" applyBorder="1" applyAlignment="1" quotePrefix="1">
      <alignment horizontal="right"/>
      <protection/>
    </xf>
    <xf numFmtId="166" fontId="99" fillId="0" borderId="0" xfId="57" applyNumberFormat="1" applyFont="1" applyFill="1" applyBorder="1" applyAlignment="1">
      <alignment horizontal="right"/>
      <protection/>
    </xf>
    <xf numFmtId="0" fontId="29" fillId="0" borderId="0" xfId="0" applyFont="1" applyFill="1" applyAlignment="1">
      <alignment/>
    </xf>
    <xf numFmtId="2" fontId="0" fillId="0" borderId="0" xfId="0" applyNumberFormat="1" applyFill="1" applyAlignment="1">
      <alignment/>
    </xf>
    <xf numFmtId="3" fontId="0" fillId="0" borderId="0" xfId="57" applyNumberFormat="1">
      <alignment/>
      <protection/>
    </xf>
    <xf numFmtId="3" fontId="17" fillId="0" borderId="0" xfId="0" applyNumberFormat="1" applyFont="1" applyFill="1" applyBorder="1" applyAlignment="1">
      <alignment horizontal="left" vertical="top" wrapText="1"/>
    </xf>
    <xf numFmtId="166" fontId="69" fillId="0" borderId="0" xfId="0" applyNumberFormat="1" applyFont="1" applyFill="1" applyAlignment="1">
      <alignment/>
    </xf>
    <xf numFmtId="165" fontId="15" fillId="0" borderId="0" xfId="59" applyNumberFormat="1" applyFont="1" applyFill="1">
      <alignment/>
      <protection/>
    </xf>
    <xf numFmtId="165" fontId="20" fillId="0" borderId="0" xfId="59" applyNumberFormat="1" applyFont="1" applyFill="1">
      <alignment/>
      <protection/>
    </xf>
    <xf numFmtId="168" fontId="15" fillId="0" borderId="0" xfId="0" applyNumberFormat="1" applyFont="1" applyFill="1" applyBorder="1" applyAlignment="1">
      <alignment horizontal="right"/>
    </xf>
    <xf numFmtId="3" fontId="17" fillId="36" borderId="0" xfId="0" applyNumberFormat="1" applyFont="1" applyFill="1" applyBorder="1" applyAlignment="1">
      <alignment vertical="top"/>
    </xf>
    <xf numFmtId="3" fontId="100" fillId="36" borderId="0" xfId="0" applyNumberFormat="1" applyFont="1" applyFill="1" applyBorder="1" applyAlignment="1">
      <alignment vertical="center" wrapText="1"/>
    </xf>
    <xf numFmtId="3" fontId="16" fillId="0" borderId="10" xfId="0" applyNumberFormat="1" applyFont="1" applyFill="1" applyBorder="1" applyAlignment="1">
      <alignment horizontal="right" vertical="center"/>
    </xf>
    <xf numFmtId="49" fontId="17" fillId="0" borderId="0" xfId="0" applyNumberFormat="1" applyFont="1" applyFill="1" applyAlignment="1">
      <alignment vertical="top"/>
    </xf>
    <xf numFmtId="4" fontId="15" fillId="0" borderId="0" xfId="0" applyNumberFormat="1" applyFont="1" applyFill="1" applyBorder="1" applyAlignment="1">
      <alignment/>
    </xf>
    <xf numFmtId="3" fontId="98" fillId="0" borderId="0" xfId="0" applyNumberFormat="1" applyFont="1" applyFill="1" applyBorder="1" applyAlignment="1" quotePrefix="1">
      <alignment vertical="center"/>
    </xf>
    <xf numFmtId="172" fontId="15" fillId="0" borderId="0" xfId="63" applyNumberFormat="1" applyFont="1" applyFill="1" applyBorder="1" applyAlignment="1">
      <alignment/>
    </xf>
    <xf numFmtId="10" fontId="15" fillId="0" borderId="0" xfId="54" applyNumberFormat="1" applyFont="1" applyFill="1" applyBorder="1">
      <alignment/>
      <protection/>
    </xf>
    <xf numFmtId="10" fontId="0" fillId="0" borderId="0" xfId="63" applyNumberFormat="1" applyFont="1" applyFill="1" applyAlignment="1">
      <alignment/>
    </xf>
    <xf numFmtId="3" fontId="15" fillId="0" borderId="13" xfId="0" applyNumberFormat="1" applyFont="1" applyFill="1" applyBorder="1" applyAlignment="1">
      <alignment horizontal="right"/>
    </xf>
    <xf numFmtId="10" fontId="0" fillId="0" borderId="0" xfId="64" applyNumberFormat="1" applyFont="1" applyAlignment="1">
      <alignment/>
    </xf>
    <xf numFmtId="3" fontId="3" fillId="0" borderId="0" xfId="58" applyNumberFormat="1" applyFont="1">
      <alignment/>
      <protection/>
    </xf>
    <xf numFmtId="1" fontId="99" fillId="0" borderId="0" xfId="0" applyNumberFormat="1" applyFont="1" applyFill="1" applyBorder="1" applyAlignment="1">
      <alignment/>
    </xf>
    <xf numFmtId="0" fontId="0" fillId="36" borderId="0" xfId="0" applyFill="1" applyBorder="1" applyAlignment="1">
      <alignment/>
    </xf>
    <xf numFmtId="3" fontId="18" fillId="0" borderId="0" xfId="0" applyNumberFormat="1" applyFont="1" applyFill="1" applyAlignment="1">
      <alignment vertical="center"/>
    </xf>
    <xf numFmtId="49" fontId="0" fillId="0" borderId="0" xfId="0" applyNumberFormat="1" applyAlignment="1">
      <alignment/>
    </xf>
    <xf numFmtId="0" fontId="112" fillId="0" borderId="0" xfId="0" applyFont="1" applyAlignment="1">
      <alignment/>
    </xf>
    <xf numFmtId="3" fontId="17" fillId="0" borderId="0" xfId="0" applyNumberFormat="1" applyFont="1" applyFill="1" applyBorder="1" applyAlignment="1">
      <alignment vertical="top" wrapText="1"/>
    </xf>
    <xf numFmtId="9" fontId="69" fillId="0" borderId="0" xfId="63" applyFont="1" applyFill="1" applyAlignment="1">
      <alignment/>
    </xf>
    <xf numFmtId="3" fontId="15" fillId="0" borderId="0" xfId="0" applyNumberFormat="1" applyFont="1" applyFill="1" applyAlignment="1">
      <alignment horizontal="left" vertical="center"/>
    </xf>
    <xf numFmtId="3" fontId="99" fillId="0" borderId="0" xfId="0" applyNumberFormat="1" applyFont="1" applyFill="1" applyBorder="1" applyAlignment="1">
      <alignment horizontal="right"/>
    </xf>
    <xf numFmtId="0" fontId="0" fillId="0" borderId="0" xfId="57" applyFont="1" applyAlignment="1">
      <alignment horizontal="right"/>
      <protection/>
    </xf>
    <xf numFmtId="0" fontId="113" fillId="0" borderId="0" xfId="0" applyFont="1" applyAlignment="1">
      <alignment/>
    </xf>
    <xf numFmtId="3" fontId="16" fillId="0" borderId="10" xfId="0" applyNumberFormat="1" applyFont="1" applyFill="1" applyBorder="1" applyAlignment="1">
      <alignment horizontal="right"/>
    </xf>
    <xf numFmtId="10" fontId="0" fillId="0" borderId="0" xfId="64" applyNumberFormat="1" applyFont="1" applyAlignment="1">
      <alignment/>
    </xf>
    <xf numFmtId="0" fontId="0" fillId="0" borderId="0" xfId="57" applyFont="1" applyAlignment="1">
      <alignment horizontal="right"/>
      <protection/>
    </xf>
    <xf numFmtId="167" fontId="0" fillId="0" borderId="0" xfId="63" applyNumberFormat="1" applyFont="1" applyAlignment="1">
      <alignment/>
    </xf>
    <xf numFmtId="0" fontId="0" fillId="0" borderId="0" xfId="57" applyFont="1">
      <alignment/>
      <protection/>
    </xf>
    <xf numFmtId="3" fontId="17" fillId="0" borderId="0" xfId="0" applyNumberFormat="1" applyFont="1" applyFill="1" applyBorder="1" applyAlignment="1">
      <alignment horizontal="left" vertical="top" wrapText="1"/>
    </xf>
    <xf numFmtId="0" fontId="97" fillId="0" borderId="0" xfId="0" applyFont="1" applyFill="1" applyBorder="1" applyAlignment="1">
      <alignment horizontal="center" wrapText="1"/>
    </xf>
    <xf numFmtId="0" fontId="97" fillId="0" borderId="10" xfId="0" applyFont="1" applyFill="1" applyBorder="1" applyAlignment="1">
      <alignment horizontal="center" wrapText="1"/>
    </xf>
    <xf numFmtId="0" fontId="97" fillId="0" borderId="13" xfId="0" applyFont="1" applyFill="1" applyBorder="1" applyAlignment="1">
      <alignment horizontal="center" wrapText="1"/>
    </xf>
    <xf numFmtId="0" fontId="111" fillId="0" borderId="11" xfId="0" applyFont="1" applyFill="1" applyBorder="1" applyAlignment="1">
      <alignment horizontal="center" vertical="center"/>
    </xf>
    <xf numFmtId="0" fontId="97" fillId="0" borderId="0" xfId="0" applyFont="1" applyFill="1" applyBorder="1" applyAlignment="1">
      <alignment horizontal="center" vertical="center"/>
    </xf>
    <xf numFmtId="0" fontId="97" fillId="0" borderId="0" xfId="54" applyFont="1" applyFill="1" applyBorder="1" applyAlignment="1">
      <alignment horizontal="center" wrapText="1"/>
      <protection/>
    </xf>
    <xf numFmtId="0" fontId="114" fillId="0" borderId="0" xfId="54" applyFont="1" applyFill="1" applyBorder="1" applyAlignment="1">
      <alignment horizontal="center"/>
      <protection/>
    </xf>
    <xf numFmtId="0" fontId="97" fillId="0" borderId="0" xfId="57" applyFont="1" applyFill="1" applyAlignment="1">
      <alignment horizontal="center" vertical="center" wrapText="1"/>
      <protection/>
    </xf>
    <xf numFmtId="0" fontId="97" fillId="0" borderId="0" xfId="57" applyFont="1" applyFill="1" applyAlignment="1" quotePrefix="1">
      <alignment horizontal="center" vertical="center" wrapText="1"/>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93" xfId="54"/>
    <cellStyle name="Normal 2" xfId="55"/>
    <cellStyle name="Normal 2 3" xfId="56"/>
    <cellStyle name="Normal 29" xfId="57"/>
    <cellStyle name="Normal_08 pagweb-4T08 1 2" xfId="58"/>
    <cellStyle name="Normal_ANEXO" xfId="59"/>
    <cellStyle name="Normal_Anexo analistas 1T06 vínculos" xfId="60"/>
    <cellStyle name="Normal_Series web Sabadell 1T10-desprotegido" xfId="61"/>
    <cellStyle name="Notas" xfId="62"/>
    <cellStyle name="Percent" xfId="63"/>
    <cellStyle name="Porcentaje 16" xfId="64"/>
    <cellStyle name="Porcentaje 2" xfId="65"/>
    <cellStyle name="Porcentaje 4" xfId="66"/>
    <cellStyle name="Salida" xfId="67"/>
    <cellStyle name="Texto de advertencia" xfId="68"/>
    <cellStyle name="Texto explicativo" xfId="69"/>
    <cellStyle name="Título" xfId="70"/>
    <cellStyle name="Título 2" xfId="71"/>
    <cellStyle name="Título 3" xfId="72"/>
    <cellStyle name="Total" xfId="73"/>
  </cellStyles>
  <dxfs count="11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val="0"/>
        <i val="0"/>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ill>
        <patternFill>
          <bgColor rgb="FFC00000"/>
        </patternFill>
      </fill>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INDICE!C15" /></Relationships>
</file>

<file path=xl/drawings/_rels/drawing11.xml.rels><?xml version="1.0" encoding="utf-8" standalone="yes"?><Relationships xmlns="http://schemas.openxmlformats.org/package/2006/relationships"><Relationship Id="rId1" Type="http://schemas.openxmlformats.org/officeDocument/2006/relationships/hyperlink" Target="#INDICE!C16" /></Relationships>
</file>

<file path=xl/drawings/_rels/drawing12.xml.rels><?xml version="1.0" encoding="utf-8" standalone="yes"?><Relationships xmlns="http://schemas.openxmlformats.org/package/2006/relationships"><Relationship Id="rId1" Type="http://schemas.openxmlformats.org/officeDocument/2006/relationships/hyperlink" Target="#INDICE!C17" /></Relationships>
</file>

<file path=xl/drawings/_rels/drawing13.xml.rels><?xml version="1.0" encoding="utf-8" standalone="yes"?><Relationships xmlns="http://schemas.openxmlformats.org/package/2006/relationships"><Relationship Id="rId1" Type="http://schemas.openxmlformats.org/officeDocument/2006/relationships/hyperlink" Target="#INDICE!C18" /></Relationships>
</file>

<file path=xl/drawings/_rels/drawing14.xml.rels><?xml version="1.0" encoding="utf-8" standalone="yes"?><Relationships xmlns="http://schemas.openxmlformats.org/package/2006/relationships"><Relationship Id="rId1" Type="http://schemas.openxmlformats.org/officeDocument/2006/relationships/hyperlink" Target="#INDICE!C21" /></Relationships>
</file>

<file path=xl/drawings/_rels/drawing15.xml.rels><?xml version="1.0" encoding="utf-8" standalone="yes"?><Relationships xmlns="http://schemas.openxmlformats.org/package/2006/relationships"><Relationship Id="rId1" Type="http://schemas.openxmlformats.org/officeDocument/2006/relationships/hyperlink" Target="#INDICE!C23" /></Relationships>
</file>

<file path=xl/drawings/_rels/drawing16.xml.rels><?xml version="1.0" encoding="utf-8" standalone="yes"?><Relationships xmlns="http://schemas.openxmlformats.org/package/2006/relationships"><Relationship Id="rId1" Type="http://schemas.openxmlformats.org/officeDocument/2006/relationships/hyperlink" Target="#INDICE!C24" /></Relationships>
</file>

<file path=xl/drawings/_rels/drawing17.xml.rels><?xml version="1.0" encoding="utf-8" standalone="yes"?><Relationships xmlns="http://schemas.openxmlformats.org/package/2006/relationships"><Relationship Id="rId1" Type="http://schemas.openxmlformats.org/officeDocument/2006/relationships/hyperlink" Target="#INDICE!C25" /></Relationships>
</file>

<file path=xl/drawings/_rels/drawing18.xml.rels><?xml version="1.0" encoding="utf-8" standalone="yes"?><Relationships xmlns="http://schemas.openxmlformats.org/package/2006/relationships"><Relationship Id="rId1" Type="http://schemas.openxmlformats.org/officeDocument/2006/relationships/hyperlink" Target="#INDICE!C26" /></Relationships>
</file>

<file path=xl/drawings/_rels/drawing19.xml.rels><?xml version="1.0" encoding="utf-8" standalone="yes"?><Relationships xmlns="http://schemas.openxmlformats.org/package/2006/relationships"><Relationship Id="rId1" Type="http://schemas.openxmlformats.org/officeDocument/2006/relationships/hyperlink" Target="#INDICE!C28" /></Relationships>
</file>

<file path=xl/drawings/_rels/drawing2.xml.rels><?xml version="1.0" encoding="utf-8" standalone="yes"?><Relationships xmlns="http://schemas.openxmlformats.org/package/2006/relationships"><Relationship Id="rId1" Type="http://schemas.openxmlformats.org/officeDocument/2006/relationships/hyperlink" Target="#INDICE!C5" /></Relationships>
</file>

<file path=xl/drawings/_rels/drawing20.xml.rels><?xml version="1.0" encoding="utf-8" standalone="yes"?><Relationships xmlns="http://schemas.openxmlformats.org/package/2006/relationships"><Relationship Id="rId1" Type="http://schemas.openxmlformats.org/officeDocument/2006/relationships/hyperlink" Target="#INDICE!C27" /></Relationships>
</file>

<file path=xl/drawings/_rels/drawing21.xml.rels><?xml version="1.0" encoding="utf-8" standalone="yes"?><Relationships xmlns="http://schemas.openxmlformats.org/package/2006/relationships"><Relationship Id="rId1" Type="http://schemas.openxmlformats.org/officeDocument/2006/relationships/hyperlink" Target="#INDICE!C29" /></Relationships>
</file>

<file path=xl/drawings/_rels/drawing22.xml.rels><?xml version="1.0" encoding="utf-8" standalone="yes"?><Relationships xmlns="http://schemas.openxmlformats.org/package/2006/relationships"><Relationship Id="rId1" Type="http://schemas.openxmlformats.org/officeDocument/2006/relationships/hyperlink" Target="#INDICE!C30" /></Relationships>
</file>

<file path=xl/drawings/_rels/drawing23.xml.rels><?xml version="1.0" encoding="utf-8" standalone="yes"?><Relationships xmlns="http://schemas.openxmlformats.org/package/2006/relationships"><Relationship Id="rId1" Type="http://schemas.openxmlformats.org/officeDocument/2006/relationships/hyperlink" Target="#INDICE!C31" /></Relationships>
</file>

<file path=xl/drawings/_rels/drawing3.xml.rels><?xml version="1.0" encoding="utf-8" standalone="yes"?><Relationships xmlns="http://schemas.openxmlformats.org/package/2006/relationships"><Relationship Id="rId1" Type="http://schemas.openxmlformats.org/officeDocument/2006/relationships/hyperlink" Target="#INDICE!C7" /></Relationships>
</file>

<file path=xl/drawings/_rels/drawing4.xml.rels><?xml version="1.0" encoding="utf-8" standalone="yes"?><Relationships xmlns="http://schemas.openxmlformats.org/package/2006/relationships"><Relationship Id="rId1" Type="http://schemas.openxmlformats.org/officeDocument/2006/relationships/hyperlink" Target="#INDICE!C9" /></Relationships>
</file>

<file path=xl/drawings/_rels/drawing5.xml.rels><?xml version="1.0" encoding="utf-8" standalone="yes"?><Relationships xmlns="http://schemas.openxmlformats.org/package/2006/relationships"><Relationship Id="rId1" Type="http://schemas.openxmlformats.org/officeDocument/2006/relationships/hyperlink" Target="#INDICE!C10" /></Relationships>
</file>

<file path=xl/drawings/_rels/drawing6.xml.rels><?xml version="1.0" encoding="utf-8" standalone="yes"?><Relationships xmlns="http://schemas.openxmlformats.org/package/2006/relationships"><Relationship Id="rId1" Type="http://schemas.openxmlformats.org/officeDocument/2006/relationships/hyperlink" Target="#INDICE!C11" /></Relationships>
</file>

<file path=xl/drawings/_rels/drawing7.xml.rels><?xml version="1.0" encoding="utf-8" standalone="yes"?><Relationships xmlns="http://schemas.openxmlformats.org/package/2006/relationships"><Relationship Id="rId1" Type="http://schemas.openxmlformats.org/officeDocument/2006/relationships/hyperlink" Target="#INDICE!C12" /></Relationships>
</file>

<file path=xl/drawings/_rels/drawing8.xml.rels><?xml version="1.0" encoding="utf-8" standalone="yes"?><Relationships xmlns="http://schemas.openxmlformats.org/package/2006/relationships"><Relationship Id="rId1" Type="http://schemas.openxmlformats.org/officeDocument/2006/relationships/hyperlink" Target="#INDICE!C13" /></Relationships>
</file>

<file path=xl/drawings/_rels/drawing9.xml.rels><?xml version="1.0" encoding="utf-8" standalone="yes"?><Relationships xmlns="http://schemas.openxmlformats.org/package/2006/relationships"><Relationship Id="rId1" Type="http://schemas.openxmlformats.org/officeDocument/2006/relationships/hyperlink" Target="#INDICE!C1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295275</xdr:colOff>
      <xdr:row>6</xdr:row>
      <xdr:rowOff>266700</xdr:rowOff>
    </xdr:to>
    <xdr:sp fLocksText="0">
      <xdr:nvSpPr>
        <xdr:cNvPr id="1" name="7 CuadroTexto"/>
        <xdr:cNvSpPr txBox="1">
          <a:spLocks noChangeArrowheads="1"/>
        </xdr:cNvSpPr>
      </xdr:nvSpPr>
      <xdr:spPr>
        <a:xfrm>
          <a:off x="9525" y="1476375"/>
          <a:ext cx="285750" cy="2667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104775</xdr:colOff>
      <xdr:row>0</xdr:row>
      <xdr:rowOff>180975</xdr:rowOff>
    </xdr:from>
    <xdr:to>
      <xdr:col>1</xdr:col>
      <xdr:colOff>295275</xdr:colOff>
      <xdr:row>3</xdr:row>
      <xdr:rowOff>238125</xdr:rowOff>
    </xdr:to>
    <xdr:pic>
      <xdr:nvPicPr>
        <xdr:cNvPr id="2" name="4 Imagen"/>
        <xdr:cNvPicPr preferRelativeResize="1">
          <a:picLocks noChangeAspect="1"/>
        </xdr:cNvPicPr>
      </xdr:nvPicPr>
      <xdr:blipFill>
        <a:blip r:embed="rId1"/>
        <a:stretch>
          <a:fillRect/>
        </a:stretch>
      </xdr:blipFill>
      <xdr:spPr>
        <a:xfrm>
          <a:off x="104775" y="180975"/>
          <a:ext cx="2886075" cy="942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1</xdr:row>
      <xdr:rowOff>114300</xdr:rowOff>
    </xdr:from>
    <xdr:to>
      <xdr:col>11</xdr:col>
      <xdr:colOff>66675</xdr:colOff>
      <xdr:row>5</xdr:row>
      <xdr:rowOff>85725</xdr:rowOff>
    </xdr:to>
    <xdr:sp>
      <xdr:nvSpPr>
        <xdr:cNvPr id="1" name="2 Rectángulo redondeado">
          <a:hlinkClick r:id="rId1"/>
        </xdr:cNvPr>
        <xdr:cNvSpPr>
          <a:spLocks/>
        </xdr:cNvSpPr>
      </xdr:nvSpPr>
      <xdr:spPr>
        <a:xfrm>
          <a:off x="10610850" y="323850"/>
          <a:ext cx="1209675"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1</xdr:row>
      <xdr:rowOff>114300</xdr:rowOff>
    </xdr:from>
    <xdr:to>
      <xdr:col>10</xdr:col>
      <xdr:colOff>628650</xdr:colOff>
      <xdr:row>5</xdr:row>
      <xdr:rowOff>85725</xdr:rowOff>
    </xdr:to>
    <xdr:sp>
      <xdr:nvSpPr>
        <xdr:cNvPr id="1" name="2 Rectángulo redondeado">
          <a:hlinkClick r:id="rId1"/>
        </xdr:cNvPr>
        <xdr:cNvSpPr>
          <a:spLocks/>
        </xdr:cNvSpPr>
      </xdr:nvSpPr>
      <xdr:spPr>
        <a:xfrm>
          <a:off x="10401300" y="323850"/>
          <a:ext cx="1219200"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1</xdr:row>
      <xdr:rowOff>238125</xdr:rowOff>
    </xdr:from>
    <xdr:to>
      <xdr:col>10</xdr:col>
      <xdr:colOff>590550</xdr:colOff>
      <xdr:row>6</xdr:row>
      <xdr:rowOff>9525</xdr:rowOff>
    </xdr:to>
    <xdr:sp>
      <xdr:nvSpPr>
        <xdr:cNvPr id="1" name="2 Rectángulo redondeado">
          <a:hlinkClick r:id="rId1"/>
        </xdr:cNvPr>
        <xdr:cNvSpPr>
          <a:spLocks/>
        </xdr:cNvSpPr>
      </xdr:nvSpPr>
      <xdr:spPr>
        <a:xfrm>
          <a:off x="10382250" y="447675"/>
          <a:ext cx="1200150" cy="7715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2</xdr:row>
      <xdr:rowOff>47625</xdr:rowOff>
    </xdr:from>
    <xdr:to>
      <xdr:col>10</xdr:col>
      <xdr:colOff>542925</xdr:colOff>
      <xdr:row>6</xdr:row>
      <xdr:rowOff>66675</xdr:rowOff>
    </xdr:to>
    <xdr:sp>
      <xdr:nvSpPr>
        <xdr:cNvPr id="1" name="2 Rectángulo redondeado">
          <a:hlinkClick r:id="rId1"/>
        </xdr:cNvPr>
        <xdr:cNvSpPr>
          <a:spLocks/>
        </xdr:cNvSpPr>
      </xdr:nvSpPr>
      <xdr:spPr>
        <a:xfrm>
          <a:off x="12553950" y="504825"/>
          <a:ext cx="1228725" cy="7715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1</xdr:row>
      <xdr:rowOff>114300</xdr:rowOff>
    </xdr:from>
    <xdr:to>
      <xdr:col>10</xdr:col>
      <xdr:colOff>742950</xdr:colOff>
      <xdr:row>5</xdr:row>
      <xdr:rowOff>114300</xdr:rowOff>
    </xdr:to>
    <xdr:sp>
      <xdr:nvSpPr>
        <xdr:cNvPr id="1" name="2 Rectángulo redondeado">
          <a:hlinkClick r:id="rId1"/>
        </xdr:cNvPr>
        <xdr:cNvSpPr>
          <a:spLocks/>
        </xdr:cNvSpPr>
      </xdr:nvSpPr>
      <xdr:spPr>
        <a:xfrm>
          <a:off x="10515600" y="323850"/>
          <a:ext cx="1219200" cy="7524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0</xdr:row>
      <xdr:rowOff>114300</xdr:rowOff>
    </xdr:from>
    <xdr:to>
      <xdr:col>10</xdr:col>
      <xdr:colOff>619125</xdr:colOff>
      <xdr:row>4</xdr:row>
      <xdr:rowOff>47625</xdr:rowOff>
    </xdr:to>
    <xdr:sp>
      <xdr:nvSpPr>
        <xdr:cNvPr id="1" name="2 Rectángulo redondeado">
          <a:hlinkClick r:id="rId1"/>
        </xdr:cNvPr>
        <xdr:cNvSpPr>
          <a:spLocks/>
        </xdr:cNvSpPr>
      </xdr:nvSpPr>
      <xdr:spPr>
        <a:xfrm>
          <a:off x="8562975" y="114300"/>
          <a:ext cx="942975" cy="6858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0</xdr:row>
      <xdr:rowOff>133350</xdr:rowOff>
    </xdr:from>
    <xdr:to>
      <xdr:col>11</xdr:col>
      <xdr:colOff>361950</xdr:colOff>
      <xdr:row>4</xdr:row>
      <xdr:rowOff>38100</xdr:rowOff>
    </xdr:to>
    <xdr:sp>
      <xdr:nvSpPr>
        <xdr:cNvPr id="1" name="2 Rectángulo redondeado">
          <a:hlinkClick r:id="rId1"/>
        </xdr:cNvPr>
        <xdr:cNvSpPr>
          <a:spLocks/>
        </xdr:cNvSpPr>
      </xdr:nvSpPr>
      <xdr:spPr>
        <a:xfrm>
          <a:off x="9277350" y="133350"/>
          <a:ext cx="1200150" cy="6953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428625</xdr:colOff>
      <xdr:row>1</xdr:row>
      <xdr:rowOff>95250</xdr:rowOff>
    </xdr:from>
    <xdr:to>
      <xdr:col>10</xdr:col>
      <xdr:colOff>638175</xdr:colOff>
      <xdr:row>3</xdr:row>
      <xdr:rowOff>114300</xdr:rowOff>
    </xdr:to>
    <xdr:sp>
      <xdr:nvSpPr>
        <xdr:cNvPr id="1" name="2 Rectángulo redondeado">
          <a:hlinkClick r:id="rId1"/>
        </xdr:cNvPr>
        <xdr:cNvSpPr>
          <a:spLocks/>
        </xdr:cNvSpPr>
      </xdr:nvSpPr>
      <xdr:spPr>
        <a:xfrm>
          <a:off x="8115300" y="304800"/>
          <a:ext cx="971550" cy="6286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457200</xdr:colOff>
      <xdr:row>0</xdr:row>
      <xdr:rowOff>180975</xdr:rowOff>
    </xdr:from>
    <xdr:to>
      <xdr:col>11</xdr:col>
      <xdr:colOff>9525</xdr:colOff>
      <xdr:row>3</xdr:row>
      <xdr:rowOff>0</xdr:rowOff>
    </xdr:to>
    <xdr:sp>
      <xdr:nvSpPr>
        <xdr:cNvPr id="1" name="2 Rectángulo redondeado">
          <a:hlinkClick r:id="rId1"/>
        </xdr:cNvPr>
        <xdr:cNvSpPr>
          <a:spLocks/>
        </xdr:cNvSpPr>
      </xdr:nvSpPr>
      <xdr:spPr>
        <a:xfrm>
          <a:off x="8705850" y="180975"/>
          <a:ext cx="1076325" cy="457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1</xdr:row>
      <xdr:rowOff>38100</xdr:rowOff>
    </xdr:from>
    <xdr:to>
      <xdr:col>10</xdr:col>
      <xdr:colOff>476250</xdr:colOff>
      <xdr:row>4</xdr:row>
      <xdr:rowOff>66675</xdr:rowOff>
    </xdr:to>
    <xdr:sp>
      <xdr:nvSpPr>
        <xdr:cNvPr id="1" name="2 Rectángulo redondeado">
          <a:hlinkClick r:id="rId1"/>
        </xdr:cNvPr>
        <xdr:cNvSpPr>
          <a:spLocks/>
        </xdr:cNvSpPr>
      </xdr:nvSpPr>
      <xdr:spPr>
        <a:xfrm>
          <a:off x="9963150" y="247650"/>
          <a:ext cx="971550" cy="6000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1</xdr:row>
      <xdr:rowOff>38100</xdr:rowOff>
    </xdr:from>
    <xdr:to>
      <xdr:col>10</xdr:col>
      <xdr:colOff>581025</xdr:colOff>
      <xdr:row>5</xdr:row>
      <xdr:rowOff>9525</xdr:rowOff>
    </xdr:to>
    <xdr:sp>
      <xdr:nvSpPr>
        <xdr:cNvPr id="1" name="2 Rectángulo redondeado">
          <a:hlinkClick r:id="rId1"/>
        </xdr:cNvPr>
        <xdr:cNvSpPr>
          <a:spLocks/>
        </xdr:cNvSpPr>
      </xdr:nvSpPr>
      <xdr:spPr>
        <a:xfrm>
          <a:off x="13449300" y="247650"/>
          <a:ext cx="1238250"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1</xdr:row>
      <xdr:rowOff>104775</xdr:rowOff>
    </xdr:from>
    <xdr:to>
      <xdr:col>10</xdr:col>
      <xdr:colOff>438150</xdr:colOff>
      <xdr:row>4</xdr:row>
      <xdr:rowOff>0</xdr:rowOff>
    </xdr:to>
    <xdr:sp>
      <xdr:nvSpPr>
        <xdr:cNvPr id="1" name="2 Rectángulo redondeado">
          <a:hlinkClick r:id="rId1"/>
        </xdr:cNvPr>
        <xdr:cNvSpPr>
          <a:spLocks/>
        </xdr:cNvSpPr>
      </xdr:nvSpPr>
      <xdr:spPr>
        <a:xfrm>
          <a:off x="8105775" y="352425"/>
          <a:ext cx="866775" cy="5048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1</xdr:row>
      <xdr:rowOff>133350</xdr:rowOff>
    </xdr:from>
    <xdr:to>
      <xdr:col>11</xdr:col>
      <xdr:colOff>57150</xdr:colOff>
      <xdr:row>4</xdr:row>
      <xdr:rowOff>66675</xdr:rowOff>
    </xdr:to>
    <xdr:sp>
      <xdr:nvSpPr>
        <xdr:cNvPr id="1" name="2 Rectángulo redondeado">
          <a:hlinkClick r:id="rId1"/>
        </xdr:cNvPr>
        <xdr:cNvSpPr>
          <a:spLocks/>
        </xdr:cNvSpPr>
      </xdr:nvSpPr>
      <xdr:spPr>
        <a:xfrm>
          <a:off x="9315450" y="342900"/>
          <a:ext cx="904875" cy="4953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1</xdr:row>
      <xdr:rowOff>38100</xdr:rowOff>
    </xdr:from>
    <xdr:to>
      <xdr:col>11</xdr:col>
      <xdr:colOff>1114425</xdr:colOff>
      <xdr:row>4</xdr:row>
      <xdr:rowOff>152400</xdr:rowOff>
    </xdr:to>
    <xdr:sp>
      <xdr:nvSpPr>
        <xdr:cNvPr id="1" name="1 Rectángulo redondeado">
          <a:hlinkClick r:id="rId1"/>
        </xdr:cNvPr>
        <xdr:cNvSpPr>
          <a:spLocks/>
        </xdr:cNvSpPr>
      </xdr:nvSpPr>
      <xdr:spPr>
        <a:xfrm>
          <a:off x="9077325" y="247650"/>
          <a:ext cx="1333500" cy="6762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447675</xdr:colOff>
      <xdr:row>1</xdr:row>
      <xdr:rowOff>47625</xdr:rowOff>
    </xdr:from>
    <xdr:to>
      <xdr:col>10</xdr:col>
      <xdr:colOff>647700</xdr:colOff>
      <xdr:row>3</xdr:row>
      <xdr:rowOff>180975</xdr:rowOff>
    </xdr:to>
    <xdr:sp>
      <xdr:nvSpPr>
        <xdr:cNvPr id="1" name="1 Rectángulo redondeado">
          <a:hlinkClick r:id="rId1"/>
        </xdr:cNvPr>
        <xdr:cNvSpPr>
          <a:spLocks/>
        </xdr:cNvSpPr>
      </xdr:nvSpPr>
      <xdr:spPr>
        <a:xfrm>
          <a:off x="8791575" y="257175"/>
          <a:ext cx="962025" cy="4953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2</xdr:row>
      <xdr:rowOff>104775</xdr:rowOff>
    </xdr:from>
    <xdr:to>
      <xdr:col>10</xdr:col>
      <xdr:colOff>552450</xdr:colOff>
      <xdr:row>6</xdr:row>
      <xdr:rowOff>142875</xdr:rowOff>
    </xdr:to>
    <xdr:sp>
      <xdr:nvSpPr>
        <xdr:cNvPr id="1" name="2 Rectángulo redondeado">
          <a:hlinkClick r:id="rId1"/>
        </xdr:cNvPr>
        <xdr:cNvSpPr>
          <a:spLocks/>
        </xdr:cNvSpPr>
      </xdr:nvSpPr>
      <xdr:spPr>
        <a:xfrm>
          <a:off x="11896725" y="561975"/>
          <a:ext cx="1209675"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523875</xdr:colOff>
      <xdr:row>2</xdr:row>
      <xdr:rowOff>114300</xdr:rowOff>
    </xdr:from>
    <xdr:to>
      <xdr:col>11</xdr:col>
      <xdr:colOff>190500</xdr:colOff>
      <xdr:row>6</xdr:row>
      <xdr:rowOff>123825</xdr:rowOff>
    </xdr:to>
    <xdr:sp>
      <xdr:nvSpPr>
        <xdr:cNvPr id="1" name="2 Rectángulo redondeado">
          <a:hlinkClick r:id="rId1"/>
        </xdr:cNvPr>
        <xdr:cNvSpPr>
          <a:spLocks/>
        </xdr:cNvSpPr>
      </xdr:nvSpPr>
      <xdr:spPr>
        <a:xfrm>
          <a:off x="10753725" y="571500"/>
          <a:ext cx="1190625" cy="7620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2</xdr:row>
      <xdr:rowOff>142875</xdr:rowOff>
    </xdr:from>
    <xdr:to>
      <xdr:col>10</xdr:col>
      <xdr:colOff>619125</xdr:colOff>
      <xdr:row>6</xdr:row>
      <xdr:rowOff>142875</xdr:rowOff>
    </xdr:to>
    <xdr:sp>
      <xdr:nvSpPr>
        <xdr:cNvPr id="1" name="2 Rectángulo redondeado">
          <a:hlinkClick r:id="rId1"/>
        </xdr:cNvPr>
        <xdr:cNvSpPr>
          <a:spLocks/>
        </xdr:cNvSpPr>
      </xdr:nvSpPr>
      <xdr:spPr>
        <a:xfrm>
          <a:off x="10382250" y="600075"/>
          <a:ext cx="1228725" cy="7524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2</xdr:row>
      <xdr:rowOff>76200</xdr:rowOff>
    </xdr:from>
    <xdr:to>
      <xdr:col>11</xdr:col>
      <xdr:colOff>28575</xdr:colOff>
      <xdr:row>6</xdr:row>
      <xdr:rowOff>114300</xdr:rowOff>
    </xdr:to>
    <xdr:sp>
      <xdr:nvSpPr>
        <xdr:cNvPr id="1" name="2 Rectángulo redondeado">
          <a:hlinkClick r:id="rId1"/>
        </xdr:cNvPr>
        <xdr:cNvSpPr>
          <a:spLocks/>
        </xdr:cNvSpPr>
      </xdr:nvSpPr>
      <xdr:spPr>
        <a:xfrm>
          <a:off x="10582275" y="533400"/>
          <a:ext cx="1200150"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371475</xdr:colOff>
      <xdr:row>2</xdr:row>
      <xdr:rowOff>9525</xdr:rowOff>
    </xdr:from>
    <xdr:to>
      <xdr:col>11</xdr:col>
      <xdr:colOff>38100</xdr:colOff>
      <xdr:row>6</xdr:row>
      <xdr:rowOff>38100</xdr:rowOff>
    </xdr:to>
    <xdr:sp>
      <xdr:nvSpPr>
        <xdr:cNvPr id="1" name="2 Rectángulo redondeado">
          <a:hlinkClick r:id="rId1"/>
        </xdr:cNvPr>
        <xdr:cNvSpPr>
          <a:spLocks/>
        </xdr:cNvSpPr>
      </xdr:nvSpPr>
      <xdr:spPr>
        <a:xfrm>
          <a:off x="10601325" y="466725"/>
          <a:ext cx="1190625" cy="7810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2</xdr:row>
      <xdr:rowOff>38100</xdr:rowOff>
    </xdr:from>
    <xdr:to>
      <xdr:col>10</xdr:col>
      <xdr:colOff>704850</xdr:colOff>
      <xdr:row>6</xdr:row>
      <xdr:rowOff>47625</xdr:rowOff>
    </xdr:to>
    <xdr:sp>
      <xdr:nvSpPr>
        <xdr:cNvPr id="1" name="2 Rectángulo redondeado">
          <a:hlinkClick r:id="rId1"/>
        </xdr:cNvPr>
        <xdr:cNvSpPr>
          <a:spLocks/>
        </xdr:cNvSpPr>
      </xdr:nvSpPr>
      <xdr:spPr>
        <a:xfrm>
          <a:off x="10487025" y="495300"/>
          <a:ext cx="1209675" cy="7620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1</xdr:row>
      <xdr:rowOff>209550</xdr:rowOff>
    </xdr:from>
    <xdr:to>
      <xdr:col>10</xdr:col>
      <xdr:colOff>657225</xdr:colOff>
      <xdr:row>6</xdr:row>
      <xdr:rowOff>0</xdr:rowOff>
    </xdr:to>
    <xdr:sp>
      <xdr:nvSpPr>
        <xdr:cNvPr id="1" name="2 Rectángulo redondeado">
          <a:hlinkClick r:id="rId1"/>
        </xdr:cNvPr>
        <xdr:cNvSpPr>
          <a:spLocks/>
        </xdr:cNvSpPr>
      </xdr:nvSpPr>
      <xdr:spPr>
        <a:xfrm>
          <a:off x="10639425" y="419100"/>
          <a:ext cx="1209675"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theme/theme1.xml><?xml version="1.0" encoding="utf-8"?>
<a:theme xmlns:a="http://schemas.openxmlformats.org/drawingml/2006/main" name="Office Theme">
  <a:themeElements>
    <a:clrScheme name="bbva">
      <a:dk1>
        <a:srgbClr val="004481"/>
      </a:dk1>
      <a:lt1>
        <a:sysClr val="window" lastClr="FFFFFF"/>
      </a:lt1>
      <a:dk2>
        <a:srgbClr val="0A5FB4"/>
      </a:dk2>
      <a:lt2>
        <a:srgbClr val="121212"/>
      </a:lt2>
      <a:accent1>
        <a:srgbClr val="2A86CA"/>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K1000"/>
  <sheetViews>
    <sheetView showGridLines="0" zoomScale="80" zoomScaleNormal="80" zoomScalePageLayoutView="0" workbookViewId="0" topLeftCell="A1">
      <selection activeCell="A1" sqref="A1:IV16384"/>
    </sheetView>
  </sheetViews>
  <sheetFormatPr defaultColWidth="11.421875" defaultRowHeight="15"/>
  <cols>
    <col min="2" max="2" width="6.421875" style="0" customWidth="1"/>
    <col min="3" max="3" width="107.421875" style="0" customWidth="1"/>
    <col min="4" max="4" width="54.421875" style="0" customWidth="1"/>
  </cols>
  <sheetData>
    <row r="1" spans="1:4" ht="14.25">
      <c r="A1" s="232"/>
      <c r="B1" s="232"/>
      <c r="C1" s="233"/>
      <c r="D1" s="233"/>
    </row>
    <row r="2" spans="1:4" ht="14.25">
      <c r="A2" s="232"/>
      <c r="B2" s="232" t="s">
        <v>12</v>
      </c>
      <c r="C2" s="233" t="s">
        <v>13</v>
      </c>
      <c r="D2" s="233" t="s">
        <v>14</v>
      </c>
    </row>
    <row r="3" spans="1:9" ht="19.5">
      <c r="A3" s="232"/>
      <c r="B3" s="232">
        <v>1</v>
      </c>
      <c r="C3" s="234">
        <v>7</v>
      </c>
      <c r="D3" s="234">
        <v>8</v>
      </c>
      <c r="I3" s="235" t="s">
        <v>0</v>
      </c>
    </row>
    <row r="4" spans="2:9" ht="19.5">
      <c r="B4">
        <v>2</v>
      </c>
      <c r="C4" s="236" t="s">
        <v>450</v>
      </c>
      <c r="D4" s="236" t="s">
        <v>451</v>
      </c>
      <c r="I4" s="235" t="s">
        <v>15</v>
      </c>
    </row>
    <row r="5" spans="2:9" ht="19.5">
      <c r="B5">
        <v>3</v>
      </c>
      <c r="C5" s="236" t="s">
        <v>16</v>
      </c>
      <c r="D5" s="236" t="s">
        <v>17</v>
      </c>
      <c r="I5" s="235" t="s">
        <v>18</v>
      </c>
    </row>
    <row r="6" spans="2:4" ht="15">
      <c r="B6">
        <v>4</v>
      </c>
      <c r="C6" s="236" t="s">
        <v>19</v>
      </c>
      <c r="D6" s="236" t="s">
        <v>20</v>
      </c>
    </row>
    <row r="7" spans="2:4" ht="15">
      <c r="B7">
        <v>5</v>
      </c>
      <c r="C7" s="236" t="s">
        <v>21</v>
      </c>
      <c r="D7" s="236" t="s">
        <v>22</v>
      </c>
    </row>
    <row r="8" spans="2:4" ht="15">
      <c r="B8">
        <v>6</v>
      </c>
      <c r="C8" s="236" t="s">
        <v>23</v>
      </c>
      <c r="D8" s="236" t="s">
        <v>24</v>
      </c>
    </row>
    <row r="9" spans="2:4" ht="15">
      <c r="B9">
        <v>7</v>
      </c>
      <c r="C9" s="236" t="s">
        <v>25</v>
      </c>
      <c r="D9" s="236" t="s">
        <v>26</v>
      </c>
    </row>
    <row r="10" spans="2:4" ht="15">
      <c r="B10">
        <v>8</v>
      </c>
      <c r="C10" s="236" t="s">
        <v>27</v>
      </c>
      <c r="D10" s="236" t="s">
        <v>28</v>
      </c>
    </row>
    <row r="11" spans="2:4" ht="15">
      <c r="B11">
        <v>9</v>
      </c>
      <c r="C11" s="236" t="s">
        <v>29</v>
      </c>
      <c r="D11" s="236" t="s">
        <v>29</v>
      </c>
    </row>
    <row r="12" spans="2:4" ht="15">
      <c r="B12">
        <v>10</v>
      </c>
      <c r="C12" s="237" t="s">
        <v>30</v>
      </c>
      <c r="D12" s="237" t="s">
        <v>31</v>
      </c>
    </row>
    <row r="13" spans="2:4" ht="15">
      <c r="B13">
        <v>11</v>
      </c>
      <c r="C13" s="237" t="s">
        <v>32</v>
      </c>
      <c r="D13" s="237" t="s">
        <v>33</v>
      </c>
    </row>
    <row r="14" spans="2:4" ht="15">
      <c r="B14">
        <v>12</v>
      </c>
      <c r="C14" s="237" t="s">
        <v>34</v>
      </c>
      <c r="D14" s="237" t="s">
        <v>35</v>
      </c>
    </row>
    <row r="15" spans="2:4" ht="15">
      <c r="B15">
        <v>13</v>
      </c>
      <c r="C15" s="237" t="s">
        <v>36</v>
      </c>
      <c r="D15" s="237" t="s">
        <v>37</v>
      </c>
    </row>
    <row r="16" spans="2:4" ht="15">
      <c r="B16">
        <v>14</v>
      </c>
      <c r="C16" s="237" t="s">
        <v>7</v>
      </c>
      <c r="D16" s="237" t="s">
        <v>7</v>
      </c>
    </row>
    <row r="17" spans="2:4" ht="15">
      <c r="B17">
        <v>15</v>
      </c>
      <c r="C17" s="237" t="s">
        <v>8</v>
      </c>
      <c r="D17" s="237" t="s">
        <v>8</v>
      </c>
    </row>
    <row r="18" spans="2:4" ht="15">
      <c r="B18">
        <v>16</v>
      </c>
      <c r="C18" s="237" t="s">
        <v>9</v>
      </c>
      <c r="D18" s="237" t="s">
        <v>9</v>
      </c>
    </row>
    <row r="19" spans="2:4" ht="15">
      <c r="B19">
        <v>17</v>
      </c>
      <c r="C19" s="237" t="s">
        <v>10</v>
      </c>
      <c r="D19" s="237" t="s">
        <v>38</v>
      </c>
    </row>
    <row r="20" spans="2:4" ht="15">
      <c r="B20">
        <v>18</v>
      </c>
      <c r="C20" s="237" t="s">
        <v>39</v>
      </c>
      <c r="D20" s="237" t="s">
        <v>40</v>
      </c>
    </row>
    <row r="21" spans="2:4" ht="15">
      <c r="B21">
        <v>19</v>
      </c>
      <c r="C21" s="237" t="s">
        <v>41</v>
      </c>
      <c r="D21" s="237" t="s">
        <v>42</v>
      </c>
    </row>
    <row r="22" spans="2:4" ht="15">
      <c r="B22">
        <v>20</v>
      </c>
      <c r="C22" s="237" t="s">
        <v>43</v>
      </c>
      <c r="D22" s="237" t="s">
        <v>44</v>
      </c>
    </row>
    <row r="23" spans="2:4" ht="15">
      <c r="B23">
        <v>21</v>
      </c>
      <c r="C23" s="237" t="s">
        <v>45</v>
      </c>
      <c r="D23" s="237" t="s">
        <v>45</v>
      </c>
    </row>
    <row r="24" spans="2:4" ht="15">
      <c r="B24">
        <v>22</v>
      </c>
      <c r="C24" s="237" t="s">
        <v>46</v>
      </c>
      <c r="D24" s="237" t="s">
        <v>47</v>
      </c>
    </row>
    <row r="25" spans="2:4" ht="15">
      <c r="B25">
        <v>23</v>
      </c>
      <c r="C25" s="237" t="s">
        <v>48</v>
      </c>
      <c r="D25" s="237" t="s">
        <v>49</v>
      </c>
    </row>
    <row r="26" spans="2:4" ht="15">
      <c r="B26">
        <v>24</v>
      </c>
      <c r="C26" s="237" t="s">
        <v>50</v>
      </c>
      <c r="D26" s="237" t="s">
        <v>51</v>
      </c>
    </row>
    <row r="27" spans="2:4" ht="15">
      <c r="B27">
        <v>25</v>
      </c>
      <c r="C27" s="237" t="s">
        <v>52</v>
      </c>
      <c r="D27" s="237" t="s">
        <v>53</v>
      </c>
    </row>
    <row r="28" spans="2:4" ht="15">
      <c r="B28">
        <v>26</v>
      </c>
      <c r="C28" s="237" t="s">
        <v>54</v>
      </c>
      <c r="D28" s="237" t="s">
        <v>55</v>
      </c>
    </row>
    <row r="29" spans="2:4" ht="15">
      <c r="B29">
        <v>27</v>
      </c>
      <c r="C29" s="237" t="s">
        <v>56</v>
      </c>
      <c r="D29" s="237" t="s">
        <v>57</v>
      </c>
    </row>
    <row r="30" spans="2:4" ht="15">
      <c r="B30">
        <v>28</v>
      </c>
      <c r="C30" s="237" t="s">
        <v>58</v>
      </c>
      <c r="D30" s="237" t="s">
        <v>59</v>
      </c>
    </row>
    <row r="31" spans="2:4" ht="15">
      <c r="B31">
        <v>29</v>
      </c>
      <c r="C31" s="237" t="s">
        <v>60</v>
      </c>
      <c r="D31" s="237" t="s">
        <v>61</v>
      </c>
    </row>
    <row r="32" spans="2:4" ht="15">
      <c r="B32">
        <v>30</v>
      </c>
      <c r="C32" s="237" t="s">
        <v>62</v>
      </c>
      <c r="D32" s="237" t="s">
        <v>63</v>
      </c>
    </row>
    <row r="33" spans="2:4" ht="15">
      <c r="B33">
        <v>31</v>
      </c>
      <c r="C33" s="237" t="s">
        <v>64</v>
      </c>
      <c r="D33" t="s">
        <v>65</v>
      </c>
    </row>
    <row r="34" spans="2:4" ht="15">
      <c r="B34">
        <v>32</v>
      </c>
      <c r="C34" s="237" t="s">
        <v>66</v>
      </c>
      <c r="D34" t="s">
        <v>67</v>
      </c>
    </row>
    <row r="35" spans="2:4" ht="15">
      <c r="B35">
        <v>33</v>
      </c>
      <c r="C35" s="237" t="s">
        <v>68</v>
      </c>
      <c r="D35" t="s">
        <v>69</v>
      </c>
    </row>
    <row r="36" spans="2:4" ht="15">
      <c r="B36">
        <v>34</v>
      </c>
      <c r="C36" s="237" t="s">
        <v>70</v>
      </c>
      <c r="D36" t="s">
        <v>71</v>
      </c>
    </row>
    <row r="37" spans="2:4" ht="15">
      <c r="B37">
        <v>35</v>
      </c>
      <c r="C37" s="237" t="s">
        <v>72</v>
      </c>
      <c r="D37" t="s">
        <v>73</v>
      </c>
    </row>
    <row r="38" spans="2:4" ht="15">
      <c r="B38">
        <v>36</v>
      </c>
      <c r="C38" s="237" t="s">
        <v>74</v>
      </c>
      <c r="D38" t="s">
        <v>75</v>
      </c>
    </row>
    <row r="39" spans="2:4" ht="15">
      <c r="B39">
        <v>37</v>
      </c>
      <c r="C39" s="237" t="s">
        <v>76</v>
      </c>
      <c r="D39" t="s">
        <v>77</v>
      </c>
    </row>
    <row r="40" spans="2:4" ht="15">
      <c r="B40">
        <v>38</v>
      </c>
      <c r="C40" s="237" t="s">
        <v>78</v>
      </c>
      <c r="D40" t="s">
        <v>79</v>
      </c>
    </row>
    <row r="41" spans="2:4" ht="15">
      <c r="B41">
        <v>39</v>
      </c>
      <c r="C41" s="237" t="s">
        <v>80</v>
      </c>
      <c r="D41" t="s">
        <v>81</v>
      </c>
    </row>
    <row r="42" spans="2:4" ht="15">
      <c r="B42">
        <v>40</v>
      </c>
      <c r="C42" s="237" t="s">
        <v>82</v>
      </c>
      <c r="D42" t="s">
        <v>83</v>
      </c>
    </row>
    <row r="43" spans="2:4" ht="15">
      <c r="B43">
        <v>41</v>
      </c>
      <c r="C43" s="237" t="s">
        <v>84</v>
      </c>
      <c r="D43" t="s">
        <v>85</v>
      </c>
    </row>
    <row r="44" spans="2:4" ht="15">
      <c r="B44">
        <v>42</v>
      </c>
      <c r="C44" s="237" t="s">
        <v>86</v>
      </c>
      <c r="D44" t="s">
        <v>87</v>
      </c>
    </row>
    <row r="45" spans="2:4" ht="15">
      <c r="B45">
        <v>43</v>
      </c>
      <c r="C45" s="237" t="s">
        <v>88</v>
      </c>
      <c r="D45" t="s">
        <v>89</v>
      </c>
    </row>
    <row r="46" spans="2:4" ht="15">
      <c r="B46">
        <v>44</v>
      </c>
      <c r="C46" s="237" t="s">
        <v>90</v>
      </c>
      <c r="D46" t="s">
        <v>91</v>
      </c>
    </row>
    <row r="47" spans="2:4" ht="15">
      <c r="B47">
        <v>45</v>
      </c>
      <c r="C47" s="237" t="s">
        <v>92</v>
      </c>
      <c r="D47" t="s">
        <v>93</v>
      </c>
    </row>
    <row r="48" spans="2:4" ht="15">
      <c r="B48">
        <v>46</v>
      </c>
      <c r="C48" s="237" t="s">
        <v>94</v>
      </c>
      <c r="D48" t="s">
        <v>95</v>
      </c>
    </row>
    <row r="49" spans="2:4" ht="15">
      <c r="B49">
        <v>47</v>
      </c>
      <c r="C49" s="237" t="s">
        <v>96</v>
      </c>
      <c r="D49" t="s">
        <v>97</v>
      </c>
    </row>
    <row r="50" spans="2:4" ht="15">
      <c r="B50">
        <v>48</v>
      </c>
      <c r="C50" s="237" t="s">
        <v>98</v>
      </c>
      <c r="D50" t="s">
        <v>99</v>
      </c>
    </row>
    <row r="51" spans="2:4" ht="15">
      <c r="B51">
        <v>49</v>
      </c>
      <c r="C51" s="237" t="s">
        <v>100</v>
      </c>
      <c r="D51" t="s">
        <v>101</v>
      </c>
    </row>
    <row r="52" spans="2:4" ht="15">
      <c r="B52">
        <v>50</v>
      </c>
      <c r="C52" s="237" t="s">
        <v>102</v>
      </c>
      <c r="D52" t="s">
        <v>103</v>
      </c>
    </row>
    <row r="53" spans="2:4" ht="15">
      <c r="B53">
        <v>51</v>
      </c>
      <c r="C53" s="237" t="s">
        <v>104</v>
      </c>
      <c r="D53" t="s">
        <v>105</v>
      </c>
    </row>
    <row r="54" spans="2:4" ht="15">
      <c r="B54">
        <v>52</v>
      </c>
      <c r="C54" s="237" t="s">
        <v>106</v>
      </c>
      <c r="D54" t="s">
        <v>107</v>
      </c>
    </row>
    <row r="55" spans="2:4" ht="15">
      <c r="B55">
        <v>53</v>
      </c>
      <c r="C55" s="237" t="s">
        <v>108</v>
      </c>
      <c r="D55" t="s">
        <v>109</v>
      </c>
    </row>
    <row r="56" spans="2:4" ht="15">
      <c r="B56">
        <v>54</v>
      </c>
      <c r="C56" s="237" t="s">
        <v>110</v>
      </c>
      <c r="D56" t="s">
        <v>111</v>
      </c>
    </row>
    <row r="57" spans="2:4" ht="15">
      <c r="B57">
        <v>55</v>
      </c>
      <c r="C57" s="237" t="s">
        <v>112</v>
      </c>
      <c r="D57" t="s">
        <v>113</v>
      </c>
    </row>
    <row r="58" spans="2:4" ht="15">
      <c r="B58">
        <v>56</v>
      </c>
      <c r="C58" s="237" t="s">
        <v>114</v>
      </c>
      <c r="D58" t="s">
        <v>115</v>
      </c>
    </row>
    <row r="59" spans="2:4" ht="15">
      <c r="B59">
        <v>57</v>
      </c>
      <c r="C59" s="237" t="s">
        <v>116</v>
      </c>
      <c r="D59" t="s">
        <v>117</v>
      </c>
    </row>
    <row r="60" spans="2:4" ht="15">
      <c r="B60">
        <v>58</v>
      </c>
      <c r="C60" s="237" t="s">
        <v>118</v>
      </c>
      <c r="D60" t="s">
        <v>119</v>
      </c>
    </row>
    <row r="61" spans="2:4" ht="15">
      <c r="B61">
        <v>59</v>
      </c>
      <c r="C61" s="237" t="s">
        <v>120</v>
      </c>
      <c r="D61" t="s">
        <v>121</v>
      </c>
    </row>
    <row r="62" spans="2:4" ht="15">
      <c r="B62">
        <v>60</v>
      </c>
      <c r="C62" s="237" t="s">
        <v>122</v>
      </c>
      <c r="D62" t="s">
        <v>123</v>
      </c>
    </row>
    <row r="63" spans="2:4" ht="15">
      <c r="B63">
        <v>61</v>
      </c>
      <c r="C63" s="237" t="s">
        <v>124</v>
      </c>
      <c r="D63" t="s">
        <v>125</v>
      </c>
    </row>
    <row r="64" spans="2:4" ht="15">
      <c r="B64">
        <v>62</v>
      </c>
      <c r="C64" s="237" t="s">
        <v>126</v>
      </c>
      <c r="D64" t="s">
        <v>127</v>
      </c>
    </row>
    <row r="65" spans="2:4" ht="15">
      <c r="B65">
        <v>63</v>
      </c>
      <c r="C65" s="237" t="s">
        <v>128</v>
      </c>
      <c r="D65" t="s">
        <v>129</v>
      </c>
    </row>
    <row r="66" spans="2:4" ht="15">
      <c r="B66">
        <v>64</v>
      </c>
      <c r="C66" s="237" t="s">
        <v>130</v>
      </c>
      <c r="D66" t="s">
        <v>131</v>
      </c>
    </row>
    <row r="67" spans="2:4" ht="15">
      <c r="B67">
        <v>65</v>
      </c>
      <c r="C67" s="237" t="s">
        <v>132</v>
      </c>
      <c r="D67" t="s">
        <v>133</v>
      </c>
    </row>
    <row r="68" spans="2:4" ht="15">
      <c r="B68">
        <v>66</v>
      </c>
      <c r="C68" s="237" t="s">
        <v>134</v>
      </c>
      <c r="D68" s="59" t="s">
        <v>135</v>
      </c>
    </row>
    <row r="69" spans="2:4" ht="15">
      <c r="B69">
        <v>67</v>
      </c>
      <c r="C69" s="237" t="s">
        <v>136</v>
      </c>
      <c r="D69" s="59" t="s">
        <v>137</v>
      </c>
    </row>
    <row r="70" spans="2:4" ht="15">
      <c r="B70">
        <v>68</v>
      </c>
      <c r="C70" s="237" t="s">
        <v>138</v>
      </c>
      <c r="D70" s="59" t="s">
        <v>139</v>
      </c>
    </row>
    <row r="71" spans="2:4" ht="15">
      <c r="B71">
        <v>69</v>
      </c>
      <c r="C71" s="237" t="s">
        <v>140</v>
      </c>
      <c r="D71" s="59" t="s">
        <v>141</v>
      </c>
    </row>
    <row r="72" spans="2:4" ht="15">
      <c r="B72">
        <v>70</v>
      </c>
      <c r="C72" s="237" t="s">
        <v>142</v>
      </c>
      <c r="D72" s="59" t="s">
        <v>143</v>
      </c>
    </row>
    <row r="73" spans="2:4" ht="15">
      <c r="B73">
        <v>71</v>
      </c>
      <c r="C73" s="237" t="s">
        <v>144</v>
      </c>
      <c r="D73" s="238" t="s">
        <v>145</v>
      </c>
    </row>
    <row r="74" spans="2:4" ht="15">
      <c r="B74">
        <v>72</v>
      </c>
      <c r="C74" s="237" t="s">
        <v>146</v>
      </c>
      <c r="D74" s="238"/>
    </row>
    <row r="75" spans="2:4" ht="15">
      <c r="B75">
        <v>73</v>
      </c>
      <c r="C75" s="237" t="s">
        <v>147</v>
      </c>
      <c r="D75" s="164" t="s">
        <v>148</v>
      </c>
    </row>
    <row r="76" spans="2:4" ht="15">
      <c r="B76">
        <v>74</v>
      </c>
      <c r="C76" s="237" t="s">
        <v>149</v>
      </c>
      <c r="D76" s="164" t="s">
        <v>150</v>
      </c>
    </row>
    <row r="77" spans="2:4" ht="15">
      <c r="B77">
        <v>75</v>
      </c>
      <c r="C77" s="237" t="s">
        <v>151</v>
      </c>
      <c r="D77" s="164" t="s">
        <v>152</v>
      </c>
    </row>
    <row r="78" spans="2:4" ht="15">
      <c r="B78">
        <v>76</v>
      </c>
      <c r="C78" s="237" t="s">
        <v>153</v>
      </c>
      <c r="D78" s="164" t="s">
        <v>154</v>
      </c>
    </row>
    <row r="79" spans="2:4" ht="15">
      <c r="B79">
        <v>77</v>
      </c>
      <c r="C79" s="237" t="s">
        <v>155</v>
      </c>
      <c r="D79" s="164" t="s">
        <v>156</v>
      </c>
    </row>
    <row r="80" spans="2:4" ht="15">
      <c r="B80">
        <v>78</v>
      </c>
      <c r="C80" s="237" t="s">
        <v>157</v>
      </c>
      <c r="D80" s="164" t="s">
        <v>158</v>
      </c>
    </row>
    <row r="81" spans="2:4" ht="15">
      <c r="B81">
        <v>79</v>
      </c>
      <c r="C81" s="237" t="s">
        <v>159</v>
      </c>
      <c r="D81" s="164" t="s">
        <v>160</v>
      </c>
    </row>
    <row r="82" spans="2:4" ht="15">
      <c r="B82">
        <v>80</v>
      </c>
      <c r="C82" s="237" t="s">
        <v>161</v>
      </c>
      <c r="D82" s="164" t="s">
        <v>161</v>
      </c>
    </row>
    <row r="83" spans="2:4" ht="15">
      <c r="B83">
        <v>81</v>
      </c>
      <c r="C83" s="237" t="s">
        <v>162</v>
      </c>
      <c r="D83" s="164" t="s">
        <v>163</v>
      </c>
    </row>
    <row r="84" spans="2:4" ht="14.25">
      <c r="B84">
        <v>82</v>
      </c>
      <c r="C84" t="s">
        <v>164</v>
      </c>
      <c r="D84" t="s">
        <v>165</v>
      </c>
    </row>
    <row r="85" spans="2:4" ht="14.25">
      <c r="B85">
        <v>83</v>
      </c>
      <c r="C85" t="s">
        <v>166</v>
      </c>
      <c r="D85" t="s">
        <v>167</v>
      </c>
    </row>
    <row r="86" spans="2:4" ht="15">
      <c r="B86">
        <v>84</v>
      </c>
      <c r="C86" s="237" t="s">
        <v>168</v>
      </c>
      <c r="D86" t="s">
        <v>169</v>
      </c>
    </row>
    <row r="87" spans="2:4" ht="14.25">
      <c r="B87">
        <v>85</v>
      </c>
      <c r="C87" t="s">
        <v>170</v>
      </c>
      <c r="D87" t="s">
        <v>171</v>
      </c>
    </row>
    <row r="88" spans="2:4" ht="14.25">
      <c r="B88">
        <v>86</v>
      </c>
      <c r="C88" t="s">
        <v>172</v>
      </c>
      <c r="D88" t="s">
        <v>173</v>
      </c>
    </row>
    <row r="89" spans="2:4" ht="14.25">
      <c r="B89">
        <v>87</v>
      </c>
      <c r="C89" t="s">
        <v>416</v>
      </c>
      <c r="D89" t="s">
        <v>417</v>
      </c>
    </row>
    <row r="90" spans="2:4" ht="14.25">
      <c r="B90">
        <v>88</v>
      </c>
      <c r="C90" t="s">
        <v>58</v>
      </c>
      <c r="D90" t="s">
        <v>59</v>
      </c>
    </row>
    <row r="91" spans="2:4" ht="14.25">
      <c r="B91">
        <v>89</v>
      </c>
      <c r="C91" s="239" t="s">
        <v>174</v>
      </c>
      <c r="D91" t="s">
        <v>175</v>
      </c>
    </row>
    <row r="92" spans="2:4" ht="14.25">
      <c r="B92">
        <v>90</v>
      </c>
      <c r="C92" t="s">
        <v>176</v>
      </c>
      <c r="D92" t="s">
        <v>176</v>
      </c>
    </row>
    <row r="93" spans="2:4" ht="14.25">
      <c r="B93">
        <v>91</v>
      </c>
      <c r="C93" t="s">
        <v>177</v>
      </c>
      <c r="D93" t="s">
        <v>178</v>
      </c>
    </row>
    <row r="94" spans="2:4" ht="14.25">
      <c r="B94">
        <v>92</v>
      </c>
      <c r="C94" t="s">
        <v>1</v>
      </c>
      <c r="D94" t="s">
        <v>179</v>
      </c>
    </row>
    <row r="95" spans="2:4" ht="14.25">
      <c r="B95">
        <v>93</v>
      </c>
      <c r="C95" t="s">
        <v>2</v>
      </c>
      <c r="D95" t="s">
        <v>180</v>
      </c>
    </row>
    <row r="96" spans="2:4" ht="14.25">
      <c r="B96">
        <v>94</v>
      </c>
      <c r="C96" t="s">
        <v>3</v>
      </c>
      <c r="D96" t="s">
        <v>181</v>
      </c>
    </row>
    <row r="97" spans="2:4" ht="14.25">
      <c r="B97">
        <v>95</v>
      </c>
      <c r="C97" t="s">
        <v>4</v>
      </c>
      <c r="D97" t="s">
        <v>182</v>
      </c>
    </row>
    <row r="98" spans="2:4" ht="14.25">
      <c r="B98">
        <v>96</v>
      </c>
      <c r="C98" s="240" t="s">
        <v>183</v>
      </c>
      <c r="D98" s="240" t="s">
        <v>184</v>
      </c>
    </row>
    <row r="99" spans="2:4" ht="14.25">
      <c r="B99">
        <v>97</v>
      </c>
      <c r="C99" s="240" t="s">
        <v>185</v>
      </c>
      <c r="D99" s="240" t="s">
        <v>186</v>
      </c>
    </row>
    <row r="100" spans="2:4" ht="14.25">
      <c r="B100">
        <v>98</v>
      </c>
      <c r="C100" s="240" t="s">
        <v>187</v>
      </c>
      <c r="D100" s="240" t="s">
        <v>188</v>
      </c>
    </row>
    <row r="101" spans="2:4" ht="14.25">
      <c r="B101">
        <v>99</v>
      </c>
      <c r="C101" s="240" t="s">
        <v>189</v>
      </c>
      <c r="D101" t="s">
        <v>190</v>
      </c>
    </row>
    <row r="102" spans="2:4" ht="14.25">
      <c r="B102">
        <v>100</v>
      </c>
      <c r="C102" s="240" t="s">
        <v>359</v>
      </c>
      <c r="D102" t="s">
        <v>360</v>
      </c>
    </row>
    <row r="103" spans="2:4" ht="14.25">
      <c r="B103">
        <v>101</v>
      </c>
      <c r="C103" t="s">
        <v>191</v>
      </c>
      <c r="D103" t="s">
        <v>192</v>
      </c>
    </row>
    <row r="104" spans="2:4" ht="15" customHeight="1">
      <c r="B104">
        <v>102</v>
      </c>
      <c r="C104" t="s">
        <v>193</v>
      </c>
      <c r="D104" t="s">
        <v>194</v>
      </c>
    </row>
    <row r="105" spans="2:4" ht="14.25">
      <c r="B105">
        <v>103</v>
      </c>
      <c r="C105" t="s">
        <v>195</v>
      </c>
      <c r="D105" t="s">
        <v>196</v>
      </c>
    </row>
    <row r="106" spans="2:4" ht="14.25">
      <c r="B106">
        <v>104</v>
      </c>
      <c r="C106" t="s">
        <v>197</v>
      </c>
      <c r="D106" t="s">
        <v>198</v>
      </c>
    </row>
    <row r="107" spans="2:4" ht="14.25">
      <c r="B107">
        <v>105</v>
      </c>
      <c r="C107" s="215" t="s">
        <v>199</v>
      </c>
      <c r="D107" t="s">
        <v>200</v>
      </c>
    </row>
    <row r="108" spans="2:4" ht="14.25">
      <c r="B108">
        <v>106</v>
      </c>
      <c r="C108" s="215" t="s">
        <v>201</v>
      </c>
      <c r="D108" t="s">
        <v>202</v>
      </c>
    </row>
    <row r="109" spans="2:4" ht="14.25">
      <c r="B109">
        <v>107</v>
      </c>
      <c r="C109" t="s">
        <v>203</v>
      </c>
      <c r="D109" t="s">
        <v>204</v>
      </c>
    </row>
    <row r="110" spans="2:4" ht="14.25">
      <c r="B110">
        <v>108</v>
      </c>
      <c r="C110" s="215" t="s">
        <v>205</v>
      </c>
      <c r="D110" t="s">
        <v>206</v>
      </c>
    </row>
    <row r="111" spans="2:4" ht="14.25">
      <c r="B111">
        <v>109</v>
      </c>
      <c r="C111" s="215" t="s">
        <v>207</v>
      </c>
      <c r="D111" t="s">
        <v>208</v>
      </c>
    </row>
    <row r="112" spans="2:4" ht="14.25">
      <c r="B112">
        <v>110</v>
      </c>
      <c r="C112" s="215" t="s">
        <v>209</v>
      </c>
      <c r="D112" t="s">
        <v>210</v>
      </c>
    </row>
    <row r="113" spans="2:4" ht="14.25">
      <c r="B113">
        <v>111</v>
      </c>
      <c r="C113" s="215" t="s">
        <v>11</v>
      </c>
      <c r="D113" t="s">
        <v>211</v>
      </c>
    </row>
    <row r="114" spans="2:4" ht="14.25">
      <c r="B114">
        <v>112</v>
      </c>
      <c r="C114" s="217" t="s">
        <v>212</v>
      </c>
      <c r="D114" t="s">
        <v>213</v>
      </c>
    </row>
    <row r="115" spans="2:4" ht="14.25">
      <c r="B115">
        <v>113</v>
      </c>
      <c r="C115" s="217" t="s">
        <v>60</v>
      </c>
      <c r="D115" t="s">
        <v>61</v>
      </c>
    </row>
    <row r="116" spans="2:4" ht="14.25">
      <c r="B116">
        <v>114</v>
      </c>
      <c r="C116" s="215" t="s">
        <v>214</v>
      </c>
      <c r="D116" t="s">
        <v>215</v>
      </c>
    </row>
    <row r="117" spans="2:4" ht="14.25">
      <c r="B117">
        <v>115</v>
      </c>
      <c r="C117" s="215" t="s">
        <v>216</v>
      </c>
      <c r="D117" t="s">
        <v>217</v>
      </c>
    </row>
    <row r="118" spans="2:4" ht="14.25">
      <c r="B118">
        <v>116</v>
      </c>
      <c r="C118" s="215" t="s">
        <v>218</v>
      </c>
      <c r="D118" t="s">
        <v>219</v>
      </c>
    </row>
    <row r="119" spans="2:4" ht="15">
      <c r="B119">
        <v>117</v>
      </c>
      <c r="C119" s="237"/>
      <c r="D119" s="59"/>
    </row>
    <row r="120" spans="2:4" ht="14.25">
      <c r="B120">
        <v>118</v>
      </c>
      <c r="C120" s="210" t="s">
        <v>220</v>
      </c>
      <c r="D120" t="s">
        <v>221</v>
      </c>
    </row>
    <row r="121" spans="2:3" ht="14.25">
      <c r="B121">
        <v>119</v>
      </c>
      <c r="C121" s="228" t="s">
        <v>222</v>
      </c>
    </row>
    <row r="122" spans="2:4" ht="16.5">
      <c r="B122">
        <v>120</v>
      </c>
      <c r="C122" s="206" t="s">
        <v>62</v>
      </c>
      <c r="D122" t="s">
        <v>63</v>
      </c>
    </row>
    <row r="123" spans="2:4" ht="14.25">
      <c r="B123">
        <v>121</v>
      </c>
      <c r="C123" t="s">
        <v>223</v>
      </c>
      <c r="D123" t="s">
        <v>224</v>
      </c>
    </row>
    <row r="124" spans="2:4" ht="14.25">
      <c r="B124">
        <v>122</v>
      </c>
      <c r="C124" t="s">
        <v>225</v>
      </c>
      <c r="D124" t="s">
        <v>224</v>
      </c>
    </row>
    <row r="125" spans="2:4" ht="14.25">
      <c r="B125">
        <v>123</v>
      </c>
      <c r="C125" t="s">
        <v>226</v>
      </c>
      <c r="D125" t="s">
        <v>227</v>
      </c>
    </row>
    <row r="126" spans="2:4" ht="14.25">
      <c r="B126">
        <v>124</v>
      </c>
      <c r="C126" t="s">
        <v>228</v>
      </c>
      <c r="D126" t="s">
        <v>229</v>
      </c>
    </row>
    <row r="127" spans="2:4" ht="14.25">
      <c r="B127">
        <v>125</v>
      </c>
      <c r="C127" t="s">
        <v>230</v>
      </c>
      <c r="D127" t="s">
        <v>231</v>
      </c>
    </row>
    <row r="128" spans="2:4" ht="14.25">
      <c r="B128">
        <v>126</v>
      </c>
      <c r="C128" t="s">
        <v>232</v>
      </c>
      <c r="D128" t="s">
        <v>232</v>
      </c>
    </row>
    <row r="129" spans="2:4" ht="14.25">
      <c r="B129">
        <v>127</v>
      </c>
      <c r="C129" t="s">
        <v>233</v>
      </c>
      <c r="D129" t="s">
        <v>233</v>
      </c>
    </row>
    <row r="130" spans="2:4" ht="14.25">
      <c r="B130">
        <v>128</v>
      </c>
      <c r="C130" t="s">
        <v>234</v>
      </c>
      <c r="D130" t="s">
        <v>234</v>
      </c>
    </row>
    <row r="131" spans="2:4" ht="14.25">
      <c r="B131">
        <v>129</v>
      </c>
      <c r="C131" t="s">
        <v>235</v>
      </c>
      <c r="D131" t="s">
        <v>235</v>
      </c>
    </row>
    <row r="132" spans="2:4" ht="14.25">
      <c r="B132">
        <v>130</v>
      </c>
      <c r="C132" t="s">
        <v>236</v>
      </c>
      <c r="D132" t="s">
        <v>236</v>
      </c>
    </row>
    <row r="133" spans="2:4" ht="14.25">
      <c r="B133">
        <v>131</v>
      </c>
      <c r="C133" s="43" t="s">
        <v>237</v>
      </c>
      <c r="D133" t="s">
        <v>238</v>
      </c>
    </row>
    <row r="134" spans="2:4" ht="14.25">
      <c r="B134">
        <v>132</v>
      </c>
      <c r="C134" s="43" t="s">
        <v>239</v>
      </c>
      <c r="D134" t="s">
        <v>240</v>
      </c>
    </row>
    <row r="135" spans="2:4" ht="14.25">
      <c r="B135">
        <v>133</v>
      </c>
      <c r="C135" s="43" t="s">
        <v>241</v>
      </c>
      <c r="D135" t="s">
        <v>242</v>
      </c>
    </row>
    <row r="136" spans="2:4" ht="14.25">
      <c r="B136">
        <v>134</v>
      </c>
      <c r="C136" s="43" t="s">
        <v>243</v>
      </c>
      <c r="D136" t="s">
        <v>244</v>
      </c>
    </row>
    <row r="137" spans="2:4" ht="14.25">
      <c r="B137">
        <v>135</v>
      </c>
      <c r="C137" s="43" t="s">
        <v>110</v>
      </c>
      <c r="D137" t="s">
        <v>111</v>
      </c>
    </row>
    <row r="138" spans="2:4" ht="14.25">
      <c r="B138">
        <v>136</v>
      </c>
      <c r="C138" s="43" t="s">
        <v>245</v>
      </c>
      <c r="D138" t="s">
        <v>246</v>
      </c>
    </row>
    <row r="139" spans="2:4" ht="14.25">
      <c r="B139">
        <v>137</v>
      </c>
      <c r="C139" s="43" t="s">
        <v>247</v>
      </c>
      <c r="D139" t="s">
        <v>248</v>
      </c>
    </row>
    <row r="140" spans="2:4" ht="14.25">
      <c r="B140">
        <v>138</v>
      </c>
      <c r="C140" s="43" t="s">
        <v>249</v>
      </c>
      <c r="D140" t="s">
        <v>250</v>
      </c>
    </row>
    <row r="141" spans="2:4" ht="14.25">
      <c r="B141">
        <v>139</v>
      </c>
      <c r="C141" s="43" t="s">
        <v>251</v>
      </c>
      <c r="D141" t="s">
        <v>252</v>
      </c>
    </row>
    <row r="142" spans="2:4" ht="14.25">
      <c r="B142">
        <v>140</v>
      </c>
      <c r="C142" s="43" t="s">
        <v>253</v>
      </c>
      <c r="D142" t="s">
        <v>254</v>
      </c>
    </row>
    <row r="143" spans="2:4" ht="14.25">
      <c r="B143">
        <v>141</v>
      </c>
      <c r="C143" s="43" t="s">
        <v>255</v>
      </c>
      <c r="D143" s="59" t="s">
        <v>256</v>
      </c>
    </row>
    <row r="144" spans="2:4" ht="14.25">
      <c r="B144">
        <v>142</v>
      </c>
      <c r="C144" s="59" t="s">
        <v>257</v>
      </c>
      <c r="D144" s="59" t="s">
        <v>258</v>
      </c>
    </row>
    <row r="145" spans="2:4" ht="14.25">
      <c r="B145">
        <v>143</v>
      </c>
      <c r="C145" s="59" t="s">
        <v>259</v>
      </c>
      <c r="D145" t="s">
        <v>260</v>
      </c>
    </row>
    <row r="146" spans="2:4" ht="14.25">
      <c r="B146">
        <v>144</v>
      </c>
      <c r="C146" s="43" t="s">
        <v>261</v>
      </c>
      <c r="D146" t="s">
        <v>262</v>
      </c>
    </row>
    <row r="147" spans="2:4" ht="14.25">
      <c r="B147">
        <v>145</v>
      </c>
      <c r="C147" s="43" t="s">
        <v>263</v>
      </c>
      <c r="D147" t="s">
        <v>264</v>
      </c>
    </row>
    <row r="148" spans="2:4" ht="14.25">
      <c r="B148">
        <v>146</v>
      </c>
      <c r="C148" s="104" t="s">
        <v>265</v>
      </c>
      <c r="D148" t="s">
        <v>266</v>
      </c>
    </row>
    <row r="149" spans="2:4" ht="14.25">
      <c r="B149">
        <v>147</v>
      </c>
      <c r="C149" s="59" t="s">
        <v>267</v>
      </c>
      <c r="D149" t="s">
        <v>101</v>
      </c>
    </row>
    <row r="150" spans="2:4" ht="14.25">
      <c r="B150">
        <v>148</v>
      </c>
      <c r="C150" s="59" t="s">
        <v>268</v>
      </c>
      <c r="D150" t="s">
        <v>269</v>
      </c>
    </row>
    <row r="151" spans="2:4" ht="14.25">
      <c r="B151">
        <v>149</v>
      </c>
      <c r="C151" s="59" t="s">
        <v>270</v>
      </c>
      <c r="D151" t="s">
        <v>271</v>
      </c>
    </row>
    <row r="152" spans="2:4" ht="14.25">
      <c r="B152">
        <v>150</v>
      </c>
      <c r="C152" s="104" t="s">
        <v>272</v>
      </c>
      <c r="D152" t="s">
        <v>273</v>
      </c>
    </row>
    <row r="153" spans="2:4" ht="14.25">
      <c r="B153">
        <v>151</v>
      </c>
      <c r="C153" s="47" t="s">
        <v>274</v>
      </c>
      <c r="D153" t="s">
        <v>275</v>
      </c>
    </row>
    <row r="154" spans="2:4" ht="14.25">
      <c r="B154">
        <v>152</v>
      </c>
      <c r="C154" s="59" t="s">
        <v>276</v>
      </c>
      <c r="D154" t="s">
        <v>277</v>
      </c>
    </row>
    <row r="155" spans="2:4" ht="14.25">
      <c r="B155">
        <v>153</v>
      </c>
      <c r="C155" s="59" t="s">
        <v>278</v>
      </c>
      <c r="D155" t="s">
        <v>279</v>
      </c>
    </row>
    <row r="156" spans="2:4" ht="14.25">
      <c r="B156">
        <v>154</v>
      </c>
      <c r="C156" s="59" t="s">
        <v>280</v>
      </c>
      <c r="D156" t="s">
        <v>281</v>
      </c>
    </row>
    <row r="157" spans="2:4" ht="14.25">
      <c r="B157">
        <v>155</v>
      </c>
      <c r="C157" s="59" t="s">
        <v>282</v>
      </c>
      <c r="D157" t="s">
        <v>283</v>
      </c>
    </row>
    <row r="158" spans="2:4" ht="14.25">
      <c r="B158">
        <v>156</v>
      </c>
      <c r="C158" s="59" t="s">
        <v>284</v>
      </c>
      <c r="D158" t="s">
        <v>285</v>
      </c>
    </row>
    <row r="159" spans="2:4" ht="14.25">
      <c r="B159">
        <v>157</v>
      </c>
      <c r="C159" s="59" t="s">
        <v>286</v>
      </c>
      <c r="D159" t="s">
        <v>287</v>
      </c>
    </row>
    <row r="160" spans="2:4" ht="14.25">
      <c r="B160">
        <v>158</v>
      </c>
      <c r="C160" s="59" t="s">
        <v>288</v>
      </c>
      <c r="D160" t="s">
        <v>289</v>
      </c>
    </row>
    <row r="161" spans="2:4" ht="14.25">
      <c r="B161">
        <v>159</v>
      </c>
      <c r="C161" s="117" t="s">
        <v>290</v>
      </c>
      <c r="D161" t="s">
        <v>291</v>
      </c>
    </row>
    <row r="162" spans="2:4" ht="14.25">
      <c r="B162">
        <v>160</v>
      </c>
      <c r="C162" s="117" t="s">
        <v>292</v>
      </c>
      <c r="D162" t="s">
        <v>293</v>
      </c>
    </row>
    <row r="163" spans="2:4" ht="14.25">
      <c r="B163">
        <v>161</v>
      </c>
      <c r="C163" s="59" t="s">
        <v>54</v>
      </c>
      <c r="D163" t="s">
        <v>55</v>
      </c>
    </row>
    <row r="164" spans="2:4" ht="14.25">
      <c r="B164">
        <v>162</v>
      </c>
      <c r="C164" s="59" t="s">
        <v>294</v>
      </c>
      <c r="D164" t="s">
        <v>295</v>
      </c>
    </row>
    <row r="165" spans="2:5" ht="15">
      <c r="B165">
        <v>163</v>
      </c>
      <c r="C165" s="59" t="s">
        <v>296</v>
      </c>
      <c r="D165" t="s">
        <v>297</v>
      </c>
      <c r="E165" s="241"/>
    </row>
    <row r="166" spans="2:4" ht="14.25">
      <c r="B166">
        <v>164</v>
      </c>
      <c r="C166" t="s">
        <v>298</v>
      </c>
      <c r="D166" t="s">
        <v>299</v>
      </c>
    </row>
    <row r="167" spans="2:4" ht="14.25">
      <c r="B167">
        <v>165</v>
      </c>
      <c r="C167" s="242" t="s">
        <v>300</v>
      </c>
      <c r="D167" t="s">
        <v>301</v>
      </c>
    </row>
    <row r="168" spans="2:4" ht="14.25">
      <c r="B168">
        <v>166</v>
      </c>
      <c r="C168" s="164" t="s">
        <v>294</v>
      </c>
      <c r="D168" t="s">
        <v>295</v>
      </c>
    </row>
    <row r="169" spans="2:4" ht="14.25">
      <c r="B169">
        <v>167</v>
      </c>
      <c r="C169" t="s">
        <v>1</v>
      </c>
      <c r="D169" t="s">
        <v>179</v>
      </c>
    </row>
    <row r="170" spans="2:4" ht="14.25">
      <c r="B170">
        <v>168</v>
      </c>
      <c r="C170" t="s">
        <v>2</v>
      </c>
      <c r="D170" t="s">
        <v>180</v>
      </c>
    </row>
    <row r="171" spans="2:4" ht="14.25">
      <c r="B171">
        <v>169</v>
      </c>
      <c r="C171" t="s">
        <v>3</v>
      </c>
      <c r="D171" t="s">
        <v>181</v>
      </c>
    </row>
    <row r="172" spans="2:4" ht="14.25">
      <c r="B172">
        <v>170</v>
      </c>
      <c r="C172" t="s">
        <v>4</v>
      </c>
      <c r="D172" t="s">
        <v>182</v>
      </c>
    </row>
    <row r="173" spans="2:4" ht="14.25">
      <c r="B173">
        <v>171</v>
      </c>
      <c r="C173" t="s">
        <v>302</v>
      </c>
      <c r="D173" t="s">
        <v>303</v>
      </c>
    </row>
    <row r="174" spans="2:4" ht="14.25">
      <c r="B174">
        <v>172</v>
      </c>
      <c r="C174" t="s">
        <v>168</v>
      </c>
      <c r="D174" t="s">
        <v>169</v>
      </c>
    </row>
    <row r="175" spans="2:4" ht="14.25">
      <c r="B175">
        <v>173</v>
      </c>
      <c r="C175" t="s">
        <v>420</v>
      </c>
      <c r="D175" s="186" t="s">
        <v>422</v>
      </c>
    </row>
    <row r="176" spans="2:4" ht="14.25">
      <c r="B176">
        <v>174</v>
      </c>
      <c r="C176" t="s">
        <v>421</v>
      </c>
      <c r="D176" s="186" t="s">
        <v>419</v>
      </c>
    </row>
    <row r="177" spans="2:4" ht="14.25">
      <c r="B177">
        <v>175</v>
      </c>
      <c r="C177" s="189" t="s">
        <v>27</v>
      </c>
      <c r="D177" t="s">
        <v>28</v>
      </c>
    </row>
    <row r="178" spans="2:4" ht="14.25">
      <c r="B178">
        <v>176</v>
      </c>
      <c r="C178" s="189" t="s">
        <v>304</v>
      </c>
      <c r="D178" s="41" t="s">
        <v>305</v>
      </c>
    </row>
    <row r="179" spans="2:4" ht="14.25">
      <c r="B179">
        <v>177</v>
      </c>
      <c r="C179" s="189" t="s">
        <v>306</v>
      </c>
      <c r="D179" t="s">
        <v>307</v>
      </c>
    </row>
    <row r="180" spans="2:4" ht="14.25">
      <c r="B180">
        <v>178</v>
      </c>
      <c r="C180" s="189" t="s">
        <v>308</v>
      </c>
      <c r="D180" t="s">
        <v>309</v>
      </c>
    </row>
    <row r="181" spans="2:4" ht="14.25">
      <c r="B181">
        <v>179</v>
      </c>
      <c r="C181" s="189" t="s">
        <v>310</v>
      </c>
      <c r="D181" t="s">
        <v>311</v>
      </c>
    </row>
    <row r="182" spans="2:4" ht="14.25">
      <c r="B182">
        <v>180</v>
      </c>
      <c r="C182" s="189" t="s">
        <v>312</v>
      </c>
      <c r="D182" t="s">
        <v>313</v>
      </c>
    </row>
    <row r="183" spans="2:4" ht="14.25">
      <c r="B183">
        <v>181</v>
      </c>
      <c r="C183" s="189" t="s">
        <v>7</v>
      </c>
      <c r="D183" t="s">
        <v>7</v>
      </c>
    </row>
    <row r="184" spans="2:4" ht="14.25">
      <c r="B184">
        <v>182</v>
      </c>
      <c r="C184" s="189" t="s">
        <v>9</v>
      </c>
      <c r="D184" t="s">
        <v>9</v>
      </c>
    </row>
    <row r="185" spans="2:4" ht="14.25">
      <c r="B185">
        <v>183</v>
      </c>
      <c r="C185" s="189" t="s">
        <v>10</v>
      </c>
      <c r="D185" t="s">
        <v>38</v>
      </c>
    </row>
    <row r="186" spans="2:4" ht="14.25">
      <c r="B186">
        <v>184</v>
      </c>
      <c r="C186" t="s">
        <v>314</v>
      </c>
      <c r="D186" t="s">
        <v>315</v>
      </c>
    </row>
    <row r="187" spans="2:4" ht="14.25">
      <c r="B187">
        <v>185</v>
      </c>
      <c r="C187" t="s">
        <v>316</v>
      </c>
      <c r="D187" t="s">
        <v>317</v>
      </c>
    </row>
    <row r="188" spans="2:4" ht="14.25">
      <c r="B188">
        <v>186</v>
      </c>
      <c r="C188" t="s">
        <v>318</v>
      </c>
      <c r="D188" t="s">
        <v>319</v>
      </c>
    </row>
    <row r="189" spans="2:4" ht="14.25">
      <c r="B189">
        <v>187</v>
      </c>
      <c r="C189" t="s">
        <v>320</v>
      </c>
      <c r="D189" t="s">
        <v>271</v>
      </c>
    </row>
    <row r="190" spans="2:3" ht="14.25">
      <c r="B190">
        <v>188</v>
      </c>
      <c r="C190" s="215" t="s">
        <v>321</v>
      </c>
    </row>
    <row r="191" spans="2:3" ht="14.25">
      <c r="B191">
        <v>189</v>
      </c>
      <c r="C191" s="215" t="s">
        <v>322</v>
      </c>
    </row>
    <row r="192" spans="2:3" ht="14.25">
      <c r="B192">
        <v>190</v>
      </c>
      <c r="C192" s="215" t="s">
        <v>323</v>
      </c>
    </row>
    <row r="193" spans="2:4" ht="14.25">
      <c r="B193">
        <v>191</v>
      </c>
      <c r="C193" s="215" t="s">
        <v>205</v>
      </c>
      <c r="D193" t="s">
        <v>206</v>
      </c>
    </row>
    <row r="194" spans="2:3" ht="14.25">
      <c r="B194">
        <v>192</v>
      </c>
      <c r="C194" s="215" t="s">
        <v>207</v>
      </c>
    </row>
    <row r="195" spans="2:3" ht="14.25">
      <c r="B195">
        <v>193</v>
      </c>
      <c r="C195" s="215" t="s">
        <v>11</v>
      </c>
    </row>
    <row r="196" spans="2:3" ht="14.25">
      <c r="B196">
        <v>194</v>
      </c>
      <c r="C196" s="217" t="s">
        <v>212</v>
      </c>
    </row>
    <row r="197" spans="2:3" ht="14.25">
      <c r="B197">
        <v>195</v>
      </c>
      <c r="C197" s="215" t="s">
        <v>324</v>
      </c>
    </row>
    <row r="198" spans="2:3" ht="14.25">
      <c r="B198">
        <v>196</v>
      </c>
      <c r="C198" s="215" t="s">
        <v>325</v>
      </c>
    </row>
    <row r="199" spans="2:3" ht="14.25">
      <c r="B199">
        <v>197</v>
      </c>
      <c r="C199" s="215" t="s">
        <v>209</v>
      </c>
    </row>
    <row r="200" spans="2:3" ht="14.25">
      <c r="B200">
        <v>198</v>
      </c>
      <c r="C200" s="215" t="s">
        <v>201</v>
      </c>
    </row>
    <row r="201" spans="2:3" ht="14.25">
      <c r="B201">
        <v>199</v>
      </c>
      <c r="C201" s="215" t="s">
        <v>326</v>
      </c>
    </row>
    <row r="202" spans="2:3" ht="14.25">
      <c r="B202">
        <v>200</v>
      </c>
      <c r="C202" s="215" t="s">
        <v>199</v>
      </c>
    </row>
    <row r="203" spans="2:3" ht="14.25">
      <c r="B203">
        <v>201</v>
      </c>
      <c r="C203" s="215" t="s">
        <v>327</v>
      </c>
    </row>
    <row r="204" spans="2:3" ht="14.25">
      <c r="B204">
        <v>202</v>
      </c>
      <c r="C204" s="217" t="s">
        <v>328</v>
      </c>
    </row>
    <row r="205" spans="2:4" ht="14.25">
      <c r="B205">
        <v>203</v>
      </c>
      <c r="C205" s="215" t="s">
        <v>329</v>
      </c>
      <c r="D205" t="s">
        <v>330</v>
      </c>
    </row>
    <row r="206" spans="2:4" ht="14.25">
      <c r="B206">
        <v>204</v>
      </c>
      <c r="C206" s="215" t="s">
        <v>331</v>
      </c>
      <c r="D206" t="s">
        <v>331</v>
      </c>
    </row>
    <row r="207" spans="2:4" ht="14.25">
      <c r="B207">
        <v>205</v>
      </c>
      <c r="C207" s="215" t="s">
        <v>332</v>
      </c>
      <c r="D207" s="215" t="s">
        <v>333</v>
      </c>
    </row>
    <row r="208" spans="2:4" ht="14.25">
      <c r="B208">
        <v>206</v>
      </c>
      <c r="C208" t="s">
        <v>334</v>
      </c>
      <c r="D208" t="s">
        <v>335</v>
      </c>
    </row>
    <row r="209" spans="2:4" ht="14.25">
      <c r="B209">
        <v>207</v>
      </c>
      <c r="C209" t="s">
        <v>336</v>
      </c>
      <c r="D209" t="s">
        <v>337</v>
      </c>
    </row>
    <row r="210" spans="2:4" ht="14.25">
      <c r="B210">
        <v>208</v>
      </c>
      <c r="C210" s="215" t="s">
        <v>338</v>
      </c>
      <c r="D210" t="s">
        <v>339</v>
      </c>
    </row>
    <row r="211" spans="2:4" ht="14.25">
      <c r="B211">
        <v>209</v>
      </c>
      <c r="C211" s="215" t="s">
        <v>199</v>
      </c>
      <c r="D211" t="s">
        <v>200</v>
      </c>
    </row>
    <row r="212" spans="2:4" ht="14.25">
      <c r="B212">
        <v>210</v>
      </c>
      <c r="C212" s="215" t="s">
        <v>340</v>
      </c>
      <c r="D212" t="s">
        <v>341</v>
      </c>
    </row>
    <row r="213" spans="2:4" ht="14.25">
      <c r="B213">
        <v>211</v>
      </c>
      <c r="C213" s="215" t="s">
        <v>342</v>
      </c>
      <c r="D213" t="s">
        <v>366</v>
      </c>
    </row>
    <row r="214" spans="2:4" ht="14.25">
      <c r="B214">
        <v>212</v>
      </c>
      <c r="C214" s="215" t="s">
        <v>343</v>
      </c>
      <c r="D214" t="s">
        <v>344</v>
      </c>
    </row>
    <row r="215" spans="2:4" ht="14.25">
      <c r="B215">
        <v>213</v>
      </c>
      <c r="C215" s="215" t="s">
        <v>345</v>
      </c>
      <c r="D215" t="s">
        <v>346</v>
      </c>
    </row>
    <row r="216" spans="2:4" ht="14.25">
      <c r="B216">
        <v>214</v>
      </c>
      <c r="C216" s="215" t="s">
        <v>205</v>
      </c>
      <c r="D216" t="s">
        <v>206</v>
      </c>
    </row>
    <row r="217" spans="2:4" ht="14.25">
      <c r="B217">
        <v>215</v>
      </c>
      <c r="C217" s="215" t="s">
        <v>11</v>
      </c>
      <c r="D217" t="s">
        <v>347</v>
      </c>
    </row>
    <row r="218" spans="2:4" ht="14.25">
      <c r="B218">
        <v>216</v>
      </c>
      <c r="C218" s="215" t="s">
        <v>327</v>
      </c>
      <c r="D218" t="s">
        <v>348</v>
      </c>
    </row>
    <row r="219" spans="2:4" ht="14.25">
      <c r="B219">
        <v>217</v>
      </c>
      <c r="C219" s="215" t="s">
        <v>349</v>
      </c>
      <c r="D219" t="s">
        <v>330</v>
      </c>
    </row>
    <row r="220" spans="2:8" ht="15" customHeight="1">
      <c r="B220">
        <v>218</v>
      </c>
      <c r="C220" s="215" t="s">
        <v>350</v>
      </c>
      <c r="D220" s="215" t="s">
        <v>351</v>
      </c>
      <c r="E220" s="215"/>
      <c r="F220" s="215"/>
      <c r="G220" s="215"/>
      <c r="H220" s="215"/>
    </row>
    <row r="221" spans="2:4" ht="15" customHeight="1">
      <c r="B221">
        <v>219</v>
      </c>
      <c r="C221" t="s">
        <v>398</v>
      </c>
      <c r="D221" t="s">
        <v>352</v>
      </c>
    </row>
    <row r="222" spans="2:4" ht="14.25">
      <c r="B222">
        <v>220</v>
      </c>
      <c r="C222" t="s">
        <v>353</v>
      </c>
      <c r="D222" t="s">
        <v>354</v>
      </c>
    </row>
    <row r="223" spans="2:4" ht="14.25">
      <c r="B223">
        <v>221</v>
      </c>
      <c r="C223" t="s">
        <v>355</v>
      </c>
      <c r="D223" t="s">
        <v>356</v>
      </c>
    </row>
    <row r="224" spans="2:4" ht="14.25">
      <c r="B224">
        <v>222</v>
      </c>
      <c r="C224" t="s">
        <v>363</v>
      </c>
      <c r="D224" t="s">
        <v>363</v>
      </c>
    </row>
    <row r="225" spans="2:4" ht="14.25">
      <c r="B225">
        <v>223</v>
      </c>
      <c r="C225" t="s">
        <v>361</v>
      </c>
      <c r="D225" t="s">
        <v>362</v>
      </c>
    </row>
    <row r="226" spans="2:4" ht="14.25">
      <c r="B226">
        <v>224</v>
      </c>
      <c r="C226" t="s">
        <v>364</v>
      </c>
      <c r="D226" t="s">
        <v>365</v>
      </c>
    </row>
    <row r="227" spans="2:4" ht="14.25">
      <c r="B227">
        <v>225</v>
      </c>
      <c r="C227" t="s">
        <v>357</v>
      </c>
      <c r="D227" t="s">
        <v>358</v>
      </c>
    </row>
    <row r="228" spans="2:4" ht="14.25">
      <c r="B228">
        <v>226</v>
      </c>
      <c r="C228" t="s">
        <v>367</v>
      </c>
      <c r="D228" t="s">
        <v>368</v>
      </c>
    </row>
    <row r="229" spans="2:4" ht="14.25">
      <c r="B229">
        <v>227</v>
      </c>
      <c r="C229" s="240" t="s">
        <v>359</v>
      </c>
      <c r="D229" t="s">
        <v>360</v>
      </c>
    </row>
    <row r="230" spans="2:4" ht="14.25">
      <c r="B230">
        <v>228</v>
      </c>
      <c r="C230" t="s">
        <v>397</v>
      </c>
      <c r="D230" t="s">
        <v>369</v>
      </c>
    </row>
    <row r="231" spans="2:4" ht="14.25">
      <c r="B231">
        <v>229</v>
      </c>
      <c r="C231" t="s">
        <v>370</v>
      </c>
      <c r="D231" t="s">
        <v>371</v>
      </c>
    </row>
    <row r="232" spans="2:4" ht="14.25">
      <c r="B232">
        <v>230</v>
      </c>
      <c r="C232" s="217" t="s">
        <v>16</v>
      </c>
      <c r="D232" t="s">
        <v>17</v>
      </c>
    </row>
    <row r="233" spans="2:4" ht="14.25">
      <c r="B233">
        <v>231</v>
      </c>
      <c r="C233" s="215" t="s">
        <v>372</v>
      </c>
      <c r="D233" t="s">
        <v>373</v>
      </c>
    </row>
    <row r="234" spans="2:4" ht="14.25">
      <c r="B234">
        <v>232</v>
      </c>
      <c r="C234" s="215" t="s">
        <v>25</v>
      </c>
      <c r="D234" t="s">
        <v>26</v>
      </c>
    </row>
    <row r="235" spans="2:4" ht="14.25">
      <c r="B235">
        <v>233</v>
      </c>
      <c r="C235" s="215" t="s">
        <v>374</v>
      </c>
      <c r="D235" t="s">
        <v>375</v>
      </c>
    </row>
    <row r="236" spans="2:4" ht="14.25">
      <c r="B236">
        <v>234</v>
      </c>
      <c r="C236" s="215" t="s">
        <v>376</v>
      </c>
      <c r="D236" t="s">
        <v>377</v>
      </c>
    </row>
    <row r="237" spans="2:4" ht="14.25">
      <c r="B237">
        <v>235</v>
      </c>
      <c r="C237" s="215" t="s">
        <v>31</v>
      </c>
      <c r="D237" t="s">
        <v>31</v>
      </c>
    </row>
    <row r="238" spans="2:4" ht="14.25">
      <c r="B238">
        <v>236</v>
      </c>
      <c r="C238" s="215" t="s">
        <v>378</v>
      </c>
      <c r="D238" t="s">
        <v>379</v>
      </c>
    </row>
    <row r="239" spans="2:4" ht="14.25">
      <c r="B239">
        <v>237</v>
      </c>
      <c r="C239" s="215" t="s">
        <v>33</v>
      </c>
      <c r="D239" t="s">
        <v>33</v>
      </c>
    </row>
    <row r="240" spans="2:4" ht="14.25">
      <c r="B240">
        <v>238</v>
      </c>
      <c r="C240" s="215" t="s">
        <v>380</v>
      </c>
      <c r="D240" t="s">
        <v>37</v>
      </c>
    </row>
    <row r="241" spans="2:4" ht="14.25">
      <c r="B241">
        <v>239</v>
      </c>
      <c r="C241" s="215" t="s">
        <v>381</v>
      </c>
      <c r="D241" t="s">
        <v>382</v>
      </c>
    </row>
    <row r="242" spans="2:4" ht="14.25">
      <c r="B242">
        <v>240</v>
      </c>
      <c r="C242" s="215" t="s">
        <v>383</v>
      </c>
      <c r="D242" t="s">
        <v>384</v>
      </c>
    </row>
    <row r="243" spans="2:4" ht="14.25">
      <c r="B243">
        <v>241</v>
      </c>
      <c r="C243" s="215" t="s">
        <v>385</v>
      </c>
      <c r="D243" t="s">
        <v>386</v>
      </c>
    </row>
    <row r="244" spans="2:4" ht="14.25">
      <c r="B244">
        <v>242</v>
      </c>
      <c r="C244" s="215" t="s">
        <v>387</v>
      </c>
      <c r="D244" t="s">
        <v>388</v>
      </c>
    </row>
    <row r="245" spans="2:4" ht="14.25">
      <c r="B245">
        <v>243</v>
      </c>
      <c r="C245" t="s">
        <v>389</v>
      </c>
      <c r="D245" t="s">
        <v>390</v>
      </c>
    </row>
    <row r="246" spans="2:4" ht="14.25">
      <c r="B246">
        <v>244</v>
      </c>
      <c r="C246" t="s">
        <v>391</v>
      </c>
      <c r="D246" t="s">
        <v>392</v>
      </c>
    </row>
    <row r="247" spans="2:4" ht="15">
      <c r="B247">
        <v>245</v>
      </c>
      <c r="C247" s="237" t="s">
        <v>393</v>
      </c>
      <c r="D247" s="237" t="s">
        <v>394</v>
      </c>
    </row>
    <row r="248" spans="2:4" ht="14.25">
      <c r="B248">
        <v>246</v>
      </c>
      <c r="C248" s="215" t="s">
        <v>395</v>
      </c>
      <c r="D248" t="s">
        <v>395</v>
      </c>
    </row>
    <row r="249" spans="2:4" ht="14.25">
      <c r="B249">
        <v>247</v>
      </c>
      <c r="C249" t="s">
        <v>399</v>
      </c>
      <c r="D249" t="s">
        <v>400</v>
      </c>
    </row>
    <row r="250" spans="2:4" ht="14.25">
      <c r="B250">
        <v>248</v>
      </c>
      <c r="C250" t="s">
        <v>401</v>
      </c>
      <c r="D250" t="s">
        <v>402</v>
      </c>
    </row>
    <row r="251" spans="2:4" ht="14.25">
      <c r="B251">
        <v>249</v>
      </c>
      <c r="C251" t="s">
        <v>403</v>
      </c>
      <c r="D251" t="s">
        <v>404</v>
      </c>
    </row>
    <row r="252" spans="2:4" ht="14.25">
      <c r="B252">
        <v>250</v>
      </c>
      <c r="C252" t="s">
        <v>405</v>
      </c>
      <c r="D252" t="s">
        <v>406</v>
      </c>
    </row>
    <row r="253" spans="2:4" ht="14.25">
      <c r="B253">
        <v>251</v>
      </c>
      <c r="C253" t="s">
        <v>407</v>
      </c>
      <c r="D253" t="s">
        <v>408</v>
      </c>
    </row>
    <row r="254" spans="2:4" ht="14.25">
      <c r="B254">
        <v>252</v>
      </c>
      <c r="C254" t="s">
        <v>409</v>
      </c>
      <c r="D254" t="s">
        <v>410</v>
      </c>
    </row>
    <row r="255" spans="2:4" ht="14.25">
      <c r="B255">
        <v>253</v>
      </c>
      <c r="C255" t="s">
        <v>411</v>
      </c>
      <c r="D255" t="s">
        <v>412</v>
      </c>
    </row>
    <row r="256" spans="2:4" ht="14.25">
      <c r="B256">
        <v>254</v>
      </c>
      <c r="C256" t="s">
        <v>413</v>
      </c>
      <c r="D256" t="s">
        <v>414</v>
      </c>
    </row>
    <row r="257" spans="2:4" ht="14.25">
      <c r="B257">
        <v>255</v>
      </c>
      <c r="C257" t="s">
        <v>427</v>
      </c>
      <c r="D257" t="s">
        <v>415</v>
      </c>
    </row>
    <row r="258" spans="2:4" ht="14.25">
      <c r="B258">
        <v>256</v>
      </c>
      <c r="C258" t="s">
        <v>531</v>
      </c>
      <c r="D258" t="s">
        <v>532</v>
      </c>
    </row>
    <row r="259" spans="2:4" ht="14.25">
      <c r="B259">
        <v>257</v>
      </c>
      <c r="C259" t="s">
        <v>426</v>
      </c>
      <c r="D259" t="s">
        <v>428</v>
      </c>
    </row>
    <row r="260" spans="2:4" ht="14.25">
      <c r="B260">
        <v>258</v>
      </c>
      <c r="C260" t="s">
        <v>423</v>
      </c>
      <c r="D260" t="s">
        <v>424</v>
      </c>
    </row>
    <row r="261" spans="2:4" ht="14.25">
      <c r="B261">
        <v>259</v>
      </c>
      <c r="C261" t="s">
        <v>429</v>
      </c>
      <c r="D261" t="s">
        <v>430</v>
      </c>
    </row>
    <row r="262" spans="2:4" ht="14.25">
      <c r="B262">
        <v>260</v>
      </c>
      <c r="C262" t="s">
        <v>431</v>
      </c>
      <c r="D262" t="s">
        <v>432</v>
      </c>
    </row>
    <row r="263" spans="2:4" ht="14.25">
      <c r="B263">
        <v>261</v>
      </c>
      <c r="C263" t="s">
        <v>433</v>
      </c>
      <c r="D263" t="s">
        <v>434</v>
      </c>
    </row>
    <row r="264" spans="2:4" ht="14.25">
      <c r="B264">
        <v>262</v>
      </c>
      <c r="C264" t="s">
        <v>435</v>
      </c>
      <c r="D264" t="s">
        <v>436</v>
      </c>
    </row>
    <row r="265" spans="2:4" ht="14.25">
      <c r="B265">
        <v>263</v>
      </c>
      <c r="C265" t="s">
        <v>437</v>
      </c>
      <c r="D265" t="s">
        <v>438</v>
      </c>
    </row>
    <row r="266" spans="2:4" ht="14.25">
      <c r="B266">
        <v>264</v>
      </c>
      <c r="C266" t="s">
        <v>452</v>
      </c>
      <c r="D266" t="s">
        <v>453</v>
      </c>
    </row>
    <row r="267" spans="2:4" ht="15" customHeight="1">
      <c r="B267">
        <v>265</v>
      </c>
      <c r="C267" t="s">
        <v>439</v>
      </c>
      <c r="D267" t="s">
        <v>440</v>
      </c>
    </row>
    <row r="268" spans="2:4" ht="14.25">
      <c r="B268">
        <v>266</v>
      </c>
      <c r="C268" t="s">
        <v>449</v>
      </c>
      <c r="D268" t="s">
        <v>448</v>
      </c>
    </row>
    <row r="269" spans="2:4" ht="14.25">
      <c r="B269">
        <v>267</v>
      </c>
      <c r="C269" t="s">
        <v>441</v>
      </c>
      <c r="D269" t="s">
        <v>442</v>
      </c>
    </row>
    <row r="270" spans="2:4" ht="14.25">
      <c r="B270">
        <v>268</v>
      </c>
      <c r="C270" t="s">
        <v>454</v>
      </c>
      <c r="D270" t="s">
        <v>443</v>
      </c>
    </row>
    <row r="271" spans="2:4" ht="14.25">
      <c r="B271">
        <v>269</v>
      </c>
      <c r="C271" t="s">
        <v>445</v>
      </c>
      <c r="D271" t="s">
        <v>444</v>
      </c>
    </row>
    <row r="272" spans="2:4" ht="14.25">
      <c r="B272">
        <v>270</v>
      </c>
      <c r="C272" t="s">
        <v>447</v>
      </c>
      <c r="D272" t="s">
        <v>446</v>
      </c>
    </row>
    <row r="273" spans="2:4" ht="14.25">
      <c r="B273">
        <v>271</v>
      </c>
      <c r="C273" t="s">
        <v>455</v>
      </c>
      <c r="D273" t="s">
        <v>456</v>
      </c>
    </row>
    <row r="274" spans="2:4" ht="14.25">
      <c r="B274">
        <v>272</v>
      </c>
      <c r="C274" t="s">
        <v>457</v>
      </c>
      <c r="D274" t="s">
        <v>458</v>
      </c>
    </row>
    <row r="275" spans="2:4" ht="14.25">
      <c r="B275">
        <v>273</v>
      </c>
      <c r="C275" s="292" t="s">
        <v>459</v>
      </c>
      <c r="D275" s="292" t="s">
        <v>460</v>
      </c>
    </row>
    <row r="276" spans="2:4" ht="14.25">
      <c r="B276">
        <v>274</v>
      </c>
      <c r="C276" s="293" t="s">
        <v>533</v>
      </c>
      <c r="D276" t="s">
        <v>461</v>
      </c>
    </row>
    <row r="277" spans="2:4" ht="14.25">
      <c r="B277">
        <v>275</v>
      </c>
      <c r="C277" s="293" t="s">
        <v>462</v>
      </c>
      <c r="D277" t="s">
        <v>463</v>
      </c>
    </row>
    <row r="278" spans="2:4" ht="14.25">
      <c r="B278">
        <v>276</v>
      </c>
      <c r="C278" s="293" t="s">
        <v>464</v>
      </c>
      <c r="D278" t="s">
        <v>465</v>
      </c>
    </row>
    <row r="279" spans="2:4" ht="14.25">
      <c r="B279">
        <v>277</v>
      </c>
      <c r="C279" s="293" t="s">
        <v>466</v>
      </c>
      <c r="D279" t="s">
        <v>467</v>
      </c>
    </row>
    <row r="280" spans="2:4" ht="14.25">
      <c r="B280">
        <v>278</v>
      </c>
      <c r="C280" s="293" t="s">
        <v>468</v>
      </c>
      <c r="D280" t="s">
        <v>469</v>
      </c>
    </row>
    <row r="281" spans="2:4" ht="14.25">
      <c r="B281">
        <v>279</v>
      </c>
      <c r="C281" s="293" t="s">
        <v>470</v>
      </c>
      <c r="D281" t="s">
        <v>471</v>
      </c>
    </row>
    <row r="282" spans="2:4" ht="15">
      <c r="B282">
        <v>280</v>
      </c>
      <c r="C282" s="237" t="s">
        <v>472</v>
      </c>
      <c r="D282" s="237" t="s">
        <v>472</v>
      </c>
    </row>
    <row r="283" spans="2:4" ht="14.25">
      <c r="B283">
        <v>281</v>
      </c>
      <c r="C283" s="293" t="s">
        <v>473</v>
      </c>
      <c r="D283" t="s">
        <v>474</v>
      </c>
    </row>
    <row r="284" spans="2:4" ht="15">
      <c r="B284">
        <v>282</v>
      </c>
      <c r="C284" s="237" t="s">
        <v>475</v>
      </c>
      <c r="D284" t="s">
        <v>476</v>
      </c>
    </row>
    <row r="285" spans="2:4" ht="15">
      <c r="B285">
        <v>283</v>
      </c>
      <c r="C285" s="237" t="s">
        <v>477</v>
      </c>
      <c r="D285" s="237" t="s">
        <v>478</v>
      </c>
    </row>
    <row r="286" spans="2:4" ht="15">
      <c r="B286">
        <v>284</v>
      </c>
      <c r="C286" s="237" t="s">
        <v>479</v>
      </c>
      <c r="D286" t="s">
        <v>480</v>
      </c>
    </row>
    <row r="287" spans="2:4" ht="15">
      <c r="B287">
        <v>285</v>
      </c>
      <c r="C287" s="237" t="s">
        <v>481</v>
      </c>
      <c r="D287" s="215" t="s">
        <v>482</v>
      </c>
    </row>
    <row r="288" spans="2:4" ht="15">
      <c r="B288">
        <v>286</v>
      </c>
      <c r="C288" s="237" t="s">
        <v>483</v>
      </c>
      <c r="D288" s="215" t="s">
        <v>484</v>
      </c>
    </row>
    <row r="289" spans="2:4" ht="15">
      <c r="B289">
        <v>287</v>
      </c>
      <c r="C289" s="237" t="s">
        <v>485</v>
      </c>
      <c r="D289" s="217" t="s">
        <v>486</v>
      </c>
    </row>
    <row r="290" spans="2:4" ht="15">
      <c r="B290">
        <v>288</v>
      </c>
      <c r="C290" s="237" t="s">
        <v>487</v>
      </c>
      <c r="D290" s="217" t="s">
        <v>488</v>
      </c>
    </row>
    <row r="291" spans="2:4" ht="15">
      <c r="B291">
        <v>289</v>
      </c>
      <c r="C291" s="237" t="s">
        <v>489</v>
      </c>
      <c r="D291" s="215" t="s">
        <v>490</v>
      </c>
    </row>
    <row r="292" spans="2:4" ht="15">
      <c r="B292">
        <v>290</v>
      </c>
      <c r="C292" s="237" t="s">
        <v>491</v>
      </c>
      <c r="D292" s="215" t="s">
        <v>492</v>
      </c>
    </row>
    <row r="293" spans="2:4" ht="15">
      <c r="B293">
        <v>291</v>
      </c>
      <c r="C293" s="237" t="s">
        <v>493</v>
      </c>
      <c r="D293" s="217" t="s">
        <v>494</v>
      </c>
    </row>
    <row r="294" spans="2:4" ht="15">
      <c r="B294">
        <v>292</v>
      </c>
      <c r="C294" s="237" t="s">
        <v>495</v>
      </c>
      <c r="D294" s="215" t="s">
        <v>496</v>
      </c>
    </row>
    <row r="295" spans="2:4" ht="15">
      <c r="B295">
        <v>293</v>
      </c>
      <c r="C295" s="237" t="s">
        <v>497</v>
      </c>
      <c r="D295" s="215" t="s">
        <v>498</v>
      </c>
    </row>
    <row r="296" spans="2:4" ht="15">
      <c r="B296">
        <v>294</v>
      </c>
      <c r="C296" s="237" t="s">
        <v>499</v>
      </c>
      <c r="D296" s="217" t="s">
        <v>500</v>
      </c>
    </row>
    <row r="297" spans="2:4" ht="15">
      <c r="B297">
        <v>295</v>
      </c>
      <c r="C297" s="237" t="s">
        <v>501</v>
      </c>
      <c r="D297" s="237" t="s">
        <v>502</v>
      </c>
    </row>
    <row r="298" spans="2:4" ht="14.25">
      <c r="B298">
        <v>296</v>
      </c>
      <c r="C298" s="215" t="s">
        <v>503</v>
      </c>
      <c r="D298" t="s">
        <v>504</v>
      </c>
    </row>
    <row r="299" spans="2:11" ht="14.25">
      <c r="B299">
        <v>297</v>
      </c>
      <c r="C299" t="s">
        <v>514</v>
      </c>
      <c r="D299" t="s">
        <v>505</v>
      </c>
      <c r="E299" s="294"/>
      <c r="F299" s="294"/>
      <c r="G299" s="294"/>
      <c r="H299" s="294"/>
      <c r="I299" s="294"/>
      <c r="J299" s="294"/>
      <c r="K299" s="294"/>
    </row>
    <row r="300" spans="2:4" ht="14.25">
      <c r="B300">
        <v>298</v>
      </c>
      <c r="C300" t="s">
        <v>512</v>
      </c>
      <c r="D300" t="s">
        <v>513</v>
      </c>
    </row>
    <row r="301" spans="2:4" ht="15">
      <c r="B301">
        <v>299</v>
      </c>
      <c r="C301" s="237" t="s">
        <v>506</v>
      </c>
      <c r="D301" t="s">
        <v>507</v>
      </c>
    </row>
    <row r="302" spans="2:4" ht="15">
      <c r="B302">
        <v>300</v>
      </c>
      <c r="C302" s="237" t="s">
        <v>508</v>
      </c>
      <c r="D302" s="237" t="s">
        <v>509</v>
      </c>
    </row>
    <row r="303" spans="2:4" ht="14.25">
      <c r="B303">
        <v>301</v>
      </c>
      <c r="C303" t="s">
        <v>510</v>
      </c>
      <c r="D303" t="s">
        <v>511</v>
      </c>
    </row>
    <row r="304" spans="2:4" ht="14.25">
      <c r="B304">
        <v>302</v>
      </c>
      <c r="C304" t="s">
        <v>515</v>
      </c>
      <c r="D304" t="s">
        <v>516</v>
      </c>
    </row>
    <row r="305" spans="2:4" ht="15">
      <c r="B305">
        <v>303</v>
      </c>
      <c r="C305" s="299" t="s">
        <v>517</v>
      </c>
      <c r="D305" s="299" t="s">
        <v>518</v>
      </c>
    </row>
    <row r="306" spans="2:4" ht="14.25">
      <c r="B306">
        <v>304</v>
      </c>
      <c r="C306" s="293" t="s">
        <v>534</v>
      </c>
      <c r="D306" t="s">
        <v>519</v>
      </c>
    </row>
    <row r="307" spans="2:4" ht="14.25">
      <c r="B307">
        <v>305</v>
      </c>
      <c r="C307" t="s">
        <v>520</v>
      </c>
      <c r="D307" t="s">
        <v>521</v>
      </c>
    </row>
    <row r="308" spans="2:4" ht="14.25">
      <c r="B308">
        <v>306</v>
      </c>
      <c r="C308" t="s">
        <v>522</v>
      </c>
      <c r="D308" t="s">
        <v>523</v>
      </c>
    </row>
    <row r="309" spans="2:4" ht="14.25">
      <c r="B309">
        <v>307</v>
      </c>
      <c r="C309" t="s">
        <v>524</v>
      </c>
      <c r="D309" t="s">
        <v>525</v>
      </c>
    </row>
    <row r="310" spans="2:4" ht="14.25">
      <c r="B310">
        <v>308</v>
      </c>
      <c r="C310" t="s">
        <v>526</v>
      </c>
      <c r="D310" t="s">
        <v>527</v>
      </c>
    </row>
    <row r="311" spans="2:4" ht="14.25">
      <c r="B311">
        <v>309</v>
      </c>
      <c r="C311" s="293" t="s">
        <v>535</v>
      </c>
      <c r="D311" t="s">
        <v>528</v>
      </c>
    </row>
    <row r="312" spans="2:4" ht="14.25">
      <c r="B312">
        <v>310</v>
      </c>
      <c r="C312" s="293" t="s">
        <v>536</v>
      </c>
      <c r="D312" t="s">
        <v>529</v>
      </c>
    </row>
    <row r="313" spans="2:4" ht="14.25">
      <c r="B313">
        <v>311</v>
      </c>
      <c r="C313" t="s">
        <v>530</v>
      </c>
      <c r="D313" t="s">
        <v>513</v>
      </c>
    </row>
    <row r="1000" ht="14.25">
      <c r="A1000" t="s">
        <v>396</v>
      </c>
    </row>
  </sheetData>
  <sheetProtection/>
  <printOptions/>
  <pageMargins left="0.7" right="0.7"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O997"/>
  <sheetViews>
    <sheetView showGridLines="0" zoomScalePageLayoutView="0" workbookViewId="0" topLeftCell="A1">
      <selection activeCell="A1" sqref="A1"/>
    </sheetView>
  </sheetViews>
  <sheetFormatPr defaultColWidth="11.421875" defaultRowHeight="15"/>
  <cols>
    <col min="1" max="1" width="62.00390625" style="31" customWidth="1"/>
    <col min="2" max="2" width="12.8515625" style="31" customWidth="1"/>
    <col min="3" max="3" width="13.00390625" style="31" customWidth="1"/>
    <col min="4" max="16384" width="11.421875" style="31" customWidth="1"/>
  </cols>
  <sheetData>
    <row r="1" spans="1:9" ht="16.5">
      <c r="A1" s="29" t="str">
        <f>HLOOKUP(INDICE!$F$2,Nombres!$C$3:$D$636,15,FALSE)</f>
        <v>Chile</v>
      </c>
      <c r="B1" s="30"/>
      <c r="C1" s="30"/>
      <c r="D1" s="30"/>
      <c r="E1" s="30"/>
      <c r="F1" s="30"/>
      <c r="G1" s="30"/>
      <c r="H1" s="30"/>
      <c r="I1" s="30"/>
    </row>
    <row r="2" spans="1:9" ht="19.5">
      <c r="A2" s="32"/>
      <c r="B2" s="30"/>
      <c r="C2" s="30"/>
      <c r="D2" s="30"/>
      <c r="E2" s="30"/>
      <c r="F2" s="30"/>
      <c r="G2" s="30"/>
      <c r="H2" s="30"/>
      <c r="I2" s="30"/>
    </row>
    <row r="3" spans="1:9" ht="16.5">
      <c r="A3" s="33" t="str">
        <f>HLOOKUP(INDICE!$F$2,Nombres!$C$3:$D$636,31,FALSE)</f>
        <v>Income statement  </v>
      </c>
      <c r="B3" s="34"/>
      <c r="C3" s="34"/>
      <c r="D3" s="34"/>
      <c r="E3" s="34"/>
      <c r="F3" s="34"/>
      <c r="G3" s="34"/>
      <c r="H3" s="34"/>
      <c r="I3" s="34"/>
    </row>
    <row r="4" spans="1:9" ht="14.25">
      <c r="A4" s="35"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4.25">
      <c r="A8" s="41" t="str">
        <f>HLOOKUP(INDICE!$F$2,Nombres!$C$3:$D$636,33,FALSE)</f>
        <v>Net interest income</v>
      </c>
      <c r="B8" s="50">
        <v>37.97200000000001</v>
      </c>
      <c r="C8" s="50">
        <v>34.04399999999999</v>
      </c>
      <c r="D8" s="50">
        <v>29.413999999999994</v>
      </c>
      <c r="E8" s="279">
        <v>31.984</v>
      </c>
      <c r="F8" s="50">
        <v>33.449</v>
      </c>
      <c r="G8" s="50">
        <v>36.57300000000001</v>
      </c>
      <c r="H8" s="50">
        <v>34.124</v>
      </c>
      <c r="I8" s="50">
        <v>34.707</v>
      </c>
    </row>
    <row r="9" spans="1:9" ht="14.25">
      <c r="A9" s="43" t="str">
        <f>HLOOKUP(INDICE!$F$2,Nombres!$C$3:$D$636,34,FALSE)</f>
        <v>Net fees and commissions</v>
      </c>
      <c r="B9" s="44">
        <v>1.278</v>
      </c>
      <c r="C9" s="44">
        <v>-1.0029999999999992</v>
      </c>
      <c r="D9" s="44">
        <v>-2.5320000000000022</v>
      </c>
      <c r="E9" s="45">
        <v>-0.13199999999999523</v>
      </c>
      <c r="F9" s="44">
        <v>-4.187999999999999</v>
      </c>
      <c r="G9" s="44">
        <v>-4.568000000000001</v>
      </c>
      <c r="H9" s="44">
        <v>-0.8979999999999991</v>
      </c>
      <c r="I9" s="44">
        <v>2.3269999999999964</v>
      </c>
    </row>
    <row r="10" spans="1:9" ht="14.25">
      <c r="A10" s="43" t="str">
        <f>HLOOKUP(INDICE!$F$2,Nombres!$C$3:$D$636,35,FALSE)</f>
        <v>Net trading income</v>
      </c>
      <c r="B10" s="44">
        <v>0.34600000000000003</v>
      </c>
      <c r="C10" s="44">
        <v>0.062000000000000006</v>
      </c>
      <c r="D10" s="44">
        <v>-0.006999999999999951</v>
      </c>
      <c r="E10" s="45">
        <v>0.06299999999999996</v>
      </c>
      <c r="F10" s="44">
        <v>0.04000000000000001</v>
      </c>
      <c r="G10" s="44">
        <v>-0.034</v>
      </c>
      <c r="H10" s="44">
        <v>0.517</v>
      </c>
      <c r="I10" s="44">
        <v>0.44</v>
      </c>
    </row>
    <row r="11" spans="1:9" ht="14.25">
      <c r="A11" s="43" t="str">
        <f>HLOOKUP(INDICE!$F$2,Nombres!$C$3:$D$636,36,FALSE)</f>
        <v>Other operating income and expenses</v>
      </c>
      <c r="B11" s="44">
        <v>0.045</v>
      </c>
      <c r="C11" s="44">
        <v>-0.093</v>
      </c>
      <c r="D11" s="44">
        <v>-0.026000000000000023</v>
      </c>
      <c r="E11" s="45">
        <v>-0.286</v>
      </c>
      <c r="F11" s="44">
        <v>-0.5</v>
      </c>
      <c r="G11" s="44">
        <v>0.39100000000000007</v>
      </c>
      <c r="H11" s="44">
        <v>0.182</v>
      </c>
      <c r="I11" s="44">
        <v>-0.081</v>
      </c>
    </row>
    <row r="12" spans="1:9" ht="14.25">
      <c r="A12" s="41" t="str">
        <f>HLOOKUP(INDICE!$F$2,Nombres!$C$3:$D$636,37,FALSE)</f>
        <v>Gross income</v>
      </c>
      <c r="B12" s="50">
        <f aca="true" t="shared" si="0" ref="B12:I12">+SUM(B8:B11)</f>
        <v>39.641000000000005</v>
      </c>
      <c r="C12" s="50">
        <f t="shared" si="0"/>
        <v>33.009999999999984</v>
      </c>
      <c r="D12" s="50">
        <f t="shared" si="0"/>
        <v>26.84899999999999</v>
      </c>
      <c r="E12" s="279">
        <f t="shared" si="0"/>
        <v>31.629000000000005</v>
      </c>
      <c r="F12" s="50">
        <f t="shared" si="0"/>
        <v>28.801</v>
      </c>
      <c r="G12" s="50">
        <f t="shared" si="0"/>
        <v>32.36200000000001</v>
      </c>
      <c r="H12" s="50">
        <f t="shared" si="0"/>
        <v>33.92500000000001</v>
      </c>
      <c r="I12" s="50">
        <f t="shared" si="0"/>
        <v>37.392999999999994</v>
      </c>
    </row>
    <row r="13" spans="1:9" ht="14.25">
      <c r="A13" s="43" t="str">
        <f>HLOOKUP(INDICE!$F$2,Nombres!$C$3:$D$636,38,FALSE)</f>
        <v>Operating expenses</v>
      </c>
      <c r="B13" s="44">
        <v>-13.061000000000002</v>
      </c>
      <c r="C13" s="44">
        <v>-9.141</v>
      </c>
      <c r="D13" s="44">
        <v>-11.742999999999999</v>
      </c>
      <c r="E13" s="45">
        <v>-12.716000000000001</v>
      </c>
      <c r="F13" s="44">
        <v>-14.427000000000001</v>
      </c>
      <c r="G13" s="44">
        <v>-13.383</v>
      </c>
      <c r="H13" s="44">
        <v>-8.683</v>
      </c>
      <c r="I13" s="44">
        <v>-11.864999999999998</v>
      </c>
    </row>
    <row r="14" spans="1:9" ht="14.25">
      <c r="A14" s="43" t="str">
        <f>HLOOKUP(INDICE!$F$2,Nombres!$C$3:$D$636,39,FALSE)</f>
        <v>  Administration expenses</v>
      </c>
      <c r="B14" s="44">
        <v>-12.239</v>
      </c>
      <c r="C14" s="44">
        <v>-8.343</v>
      </c>
      <c r="D14" s="44">
        <v>-10.924</v>
      </c>
      <c r="E14" s="45">
        <v>-11.802</v>
      </c>
      <c r="F14" s="44">
        <v>-13.306000000000001</v>
      </c>
      <c r="G14" s="44">
        <v>-12.267999999999999</v>
      </c>
      <c r="H14" s="44">
        <v>-7.615999999999999</v>
      </c>
      <c r="I14" s="44">
        <v>-10.684</v>
      </c>
    </row>
    <row r="15" spans="1:9" ht="14.25">
      <c r="A15" s="46" t="str">
        <f>HLOOKUP(INDICE!$F$2,Nombres!$C$3:$D$636,40,FALSE)</f>
        <v>  Personnel expenses</v>
      </c>
      <c r="B15" s="44">
        <v>-5.5200000000000005</v>
      </c>
      <c r="C15" s="44">
        <v>-4.043</v>
      </c>
      <c r="D15" s="44">
        <v>-4.703999999999999</v>
      </c>
      <c r="E15" s="45">
        <v>-3.5990000000000006</v>
      </c>
      <c r="F15" s="44">
        <v>-5.585</v>
      </c>
      <c r="G15" s="44">
        <v>-5.62</v>
      </c>
      <c r="H15" s="44">
        <v>-5.567</v>
      </c>
      <c r="I15" s="44">
        <v>-5.902999999999999</v>
      </c>
    </row>
    <row r="16" spans="1:9" ht="14.25">
      <c r="A16" s="46" t="str">
        <f>HLOOKUP(INDICE!$F$2,Nombres!$C$3:$D$636,41,FALSE)</f>
        <v>  General and administrative expenses</v>
      </c>
      <c r="B16" s="44">
        <v>-6.719</v>
      </c>
      <c r="C16" s="44">
        <v>-4.3</v>
      </c>
      <c r="D16" s="44">
        <v>-6.220000000000001</v>
      </c>
      <c r="E16" s="45">
        <v>-8.203</v>
      </c>
      <c r="F16" s="44">
        <v>-7.721</v>
      </c>
      <c r="G16" s="44">
        <v>-6.648</v>
      </c>
      <c r="H16" s="44">
        <v>-2.0489999999999986</v>
      </c>
      <c r="I16" s="44">
        <v>-4.781000000000001</v>
      </c>
    </row>
    <row r="17" spans="1:9" ht="14.25">
      <c r="A17" s="43" t="str">
        <f>HLOOKUP(INDICE!$F$2,Nombres!$C$3:$D$636,42,FALSE)</f>
        <v>  Depreciation</v>
      </c>
      <c r="B17" s="44">
        <v>-0.822</v>
      </c>
      <c r="C17" s="44">
        <v>-0.798</v>
      </c>
      <c r="D17" s="44">
        <v>-0.8190000000000001</v>
      </c>
      <c r="E17" s="45">
        <v>-0.9139999999999999</v>
      </c>
      <c r="F17" s="44">
        <v>-1.121</v>
      </c>
      <c r="G17" s="44">
        <v>-1.115</v>
      </c>
      <c r="H17" s="44">
        <v>-1.0670000000000002</v>
      </c>
      <c r="I17" s="44">
        <v>-1.1809999999999998</v>
      </c>
    </row>
    <row r="18" spans="1:9" ht="14.25">
      <c r="A18" s="41" t="str">
        <f>HLOOKUP(INDICE!$F$2,Nombres!$C$3:$D$636,43,FALSE)</f>
        <v>Operating income</v>
      </c>
      <c r="B18" s="50">
        <f aca="true" t="shared" si="1" ref="B18:I18">+B12+B13</f>
        <v>26.580000000000005</v>
      </c>
      <c r="C18" s="50">
        <f t="shared" si="1"/>
        <v>23.868999999999986</v>
      </c>
      <c r="D18" s="50">
        <f t="shared" si="1"/>
        <v>15.105999999999991</v>
      </c>
      <c r="E18" s="279">
        <f t="shared" si="1"/>
        <v>18.913000000000004</v>
      </c>
      <c r="F18" s="50">
        <f t="shared" si="1"/>
        <v>14.373999999999997</v>
      </c>
      <c r="G18" s="50">
        <f t="shared" si="1"/>
        <v>18.97900000000001</v>
      </c>
      <c r="H18" s="50">
        <f t="shared" si="1"/>
        <v>25.24200000000001</v>
      </c>
      <c r="I18" s="50">
        <f t="shared" si="1"/>
        <v>25.527999999999995</v>
      </c>
    </row>
    <row r="19" spans="1:9" ht="14.25">
      <c r="A19" s="43" t="str">
        <f>HLOOKUP(INDICE!$F$2,Nombres!$C$3:$D$636,44,FALSE)</f>
        <v>Impaiment on financial assets not measured at fair value through profit or loss</v>
      </c>
      <c r="B19" s="44">
        <v>-18.37</v>
      </c>
      <c r="C19" s="44">
        <v>-23.144</v>
      </c>
      <c r="D19" s="44">
        <v>1.0580000000000003</v>
      </c>
      <c r="E19" s="45">
        <v>-8.671000000000003</v>
      </c>
      <c r="F19" s="44">
        <v>0.5200000000000006</v>
      </c>
      <c r="G19" s="44">
        <v>1.5740000000000003</v>
      </c>
      <c r="H19" s="44">
        <v>-5.572</v>
      </c>
      <c r="I19" s="44">
        <v>-6.531000000000002</v>
      </c>
    </row>
    <row r="20" spans="1:9" ht="14.25">
      <c r="A20" s="43" t="str">
        <f>HLOOKUP(INDICE!$F$2,Nombres!$C$3:$D$636,45,FALSE)</f>
        <v>Provisions or reversal of provisions and other results</v>
      </c>
      <c r="B20" s="44">
        <v>-0.256</v>
      </c>
      <c r="C20" s="44">
        <v>-0.2</v>
      </c>
      <c r="D20" s="44">
        <v>-0.13599999999999995</v>
      </c>
      <c r="E20" s="45">
        <v>-0.988</v>
      </c>
      <c r="F20" s="44">
        <v>0.455</v>
      </c>
      <c r="G20" s="44">
        <v>0.28099999999999997</v>
      </c>
      <c r="H20" s="44">
        <v>0.4830000000000001</v>
      </c>
      <c r="I20" s="44">
        <v>-4.24</v>
      </c>
    </row>
    <row r="21" spans="1:9" ht="14.25">
      <c r="A21" s="41" t="str">
        <f>HLOOKUP(INDICE!$F$2,Nombres!$C$3:$D$636,46,FALSE)</f>
        <v>Profit/(loss) before tax</v>
      </c>
      <c r="B21" s="50">
        <f aca="true" t="shared" si="2" ref="B21:I21">+B18+B19+B20</f>
        <v>7.954000000000004</v>
      </c>
      <c r="C21" s="50">
        <f t="shared" si="2"/>
        <v>0.5249999999999873</v>
      </c>
      <c r="D21" s="50">
        <f t="shared" si="2"/>
        <v>16.02799999999999</v>
      </c>
      <c r="E21" s="279">
        <f t="shared" si="2"/>
        <v>9.254000000000001</v>
      </c>
      <c r="F21" s="50">
        <f t="shared" si="2"/>
        <v>15.348999999999998</v>
      </c>
      <c r="G21" s="50">
        <f t="shared" si="2"/>
        <v>20.83400000000001</v>
      </c>
      <c r="H21" s="50">
        <f t="shared" si="2"/>
        <v>20.153000000000013</v>
      </c>
      <c r="I21" s="50">
        <f t="shared" si="2"/>
        <v>14.756999999999993</v>
      </c>
    </row>
    <row r="22" spans="1:9" ht="14.25">
      <c r="A22" s="43" t="str">
        <f>HLOOKUP(INDICE!$F$2,Nombres!$C$3:$D$636,47,FALSE)</f>
        <v>Income tax</v>
      </c>
      <c r="B22" s="44">
        <v>-1.3370000000000002</v>
      </c>
      <c r="C22" s="44">
        <v>0.052000000000000074</v>
      </c>
      <c r="D22" s="44">
        <v>-4.55</v>
      </c>
      <c r="E22" s="45">
        <v>-1.7940000000000005</v>
      </c>
      <c r="F22" s="44">
        <v>-3.4979999999999998</v>
      </c>
      <c r="G22" s="44">
        <v>-5.191000000000001</v>
      </c>
      <c r="H22" s="44">
        <v>-4.861000000000001</v>
      </c>
      <c r="I22" s="44">
        <v>-2.0829999999999993</v>
      </c>
    </row>
    <row r="23" spans="1:9" ht="14.25">
      <c r="A23" s="41" t="str">
        <f>HLOOKUP(INDICE!$F$2,Nombres!$C$3:$D$636,48,FALSE)</f>
        <v>Profit/(loss) for the year</v>
      </c>
      <c r="B23" s="50">
        <f aca="true" t="shared" si="3" ref="B23:I23">+B21+B22</f>
        <v>6.617000000000004</v>
      </c>
      <c r="C23" s="50">
        <f t="shared" si="3"/>
        <v>0.5769999999999873</v>
      </c>
      <c r="D23" s="50">
        <f t="shared" si="3"/>
        <v>11.47799999999999</v>
      </c>
      <c r="E23" s="279">
        <f t="shared" si="3"/>
        <v>7.460000000000001</v>
      </c>
      <c r="F23" s="50">
        <f t="shared" si="3"/>
        <v>11.850999999999999</v>
      </c>
      <c r="G23" s="50">
        <f t="shared" si="3"/>
        <v>15.64300000000001</v>
      </c>
      <c r="H23" s="50">
        <f t="shared" si="3"/>
        <v>15.292000000000012</v>
      </c>
      <c r="I23" s="50">
        <f t="shared" si="3"/>
        <v>12.673999999999992</v>
      </c>
    </row>
    <row r="24" spans="1:9" ht="14.25">
      <c r="A24" s="43" t="str">
        <f>HLOOKUP(INDICE!$F$2,Nombres!$C$3:$D$636,49,FALSE)</f>
        <v>Non-controlling interests</v>
      </c>
      <c r="B24" s="44">
        <v>0</v>
      </c>
      <c r="C24" s="44">
        <v>0</v>
      </c>
      <c r="D24" s="44">
        <v>0</v>
      </c>
      <c r="E24" s="45">
        <v>0</v>
      </c>
      <c r="F24" s="44">
        <v>0</v>
      </c>
      <c r="G24" s="44">
        <v>0</v>
      </c>
      <c r="H24" s="44">
        <v>0</v>
      </c>
      <c r="I24" s="44">
        <v>0</v>
      </c>
    </row>
    <row r="25" spans="1:9" ht="14.25">
      <c r="A25" s="47" t="str">
        <f>HLOOKUP(INDICE!$F$2,Nombres!$C$3:$D$636,50,FALSE)</f>
        <v>Net attributable profit</v>
      </c>
      <c r="B25" s="51">
        <f aca="true" t="shared" si="4" ref="B25:I25">+B23+B24</f>
        <v>6.617000000000004</v>
      </c>
      <c r="C25" s="51">
        <f t="shared" si="4"/>
        <v>0.5769999999999873</v>
      </c>
      <c r="D25" s="51">
        <f t="shared" si="4"/>
        <v>11.47799999999999</v>
      </c>
      <c r="E25" s="80">
        <f t="shared" si="4"/>
        <v>7.460000000000001</v>
      </c>
      <c r="F25" s="51">
        <f t="shared" si="4"/>
        <v>11.850999999999999</v>
      </c>
      <c r="G25" s="51">
        <f t="shared" si="4"/>
        <v>15.64300000000001</v>
      </c>
      <c r="H25" s="51">
        <f t="shared" si="4"/>
        <v>15.292000000000012</v>
      </c>
      <c r="I25" s="51">
        <f t="shared" si="4"/>
        <v>12.673999999999992</v>
      </c>
    </row>
    <row r="26" spans="1:9" ht="14.25">
      <c r="A26" s="277"/>
      <c r="B26" s="278"/>
      <c r="C26" s="278"/>
      <c r="D26" s="278"/>
      <c r="E26" s="278"/>
      <c r="F26" s="278"/>
      <c r="G26" s="278"/>
      <c r="H26" s="278"/>
      <c r="I26" s="278"/>
    </row>
    <row r="27" spans="1:10" s="290" customFormat="1" ht="14.25">
      <c r="A27" s="41"/>
      <c r="B27" s="41"/>
      <c r="C27" s="41"/>
      <c r="D27" s="41"/>
      <c r="E27" s="41"/>
      <c r="F27" s="41"/>
      <c r="G27" s="41"/>
      <c r="H27" s="41"/>
      <c r="I27" s="41"/>
      <c r="J27" s="31"/>
    </row>
    <row r="28" spans="1:10" s="290" customFormat="1" ht="16.5">
      <c r="A28" s="33" t="str">
        <f>HLOOKUP(INDICE!$F$2,Nombres!$C$3:$D$636,51,FALSE)</f>
        <v>Balance sheets</v>
      </c>
      <c r="B28" s="34"/>
      <c r="C28" s="34"/>
      <c r="D28" s="34"/>
      <c r="E28" s="34"/>
      <c r="F28" s="34"/>
      <c r="G28" s="34"/>
      <c r="H28" s="34"/>
      <c r="I28" s="34"/>
      <c r="J28" s="31"/>
    </row>
    <row r="29" spans="1:9" ht="14.25">
      <c r="A29" s="35" t="str">
        <f>HLOOKUP(INDICE!$F$2,Nombres!$C$3:$D$636,32,FALSE)</f>
        <v>(Million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4.25">
      <c r="A31" s="43" t="str">
        <f>HLOOKUP(INDICE!$F$2,Nombres!$C$3:$D$636,52,FALSE)</f>
        <v>Cash, cash balances at central banks and other demand deposits</v>
      </c>
      <c r="B31" s="44">
        <v>8.73</v>
      </c>
      <c r="C31" s="44">
        <v>10.648</v>
      </c>
      <c r="D31" s="44">
        <v>24.927</v>
      </c>
      <c r="E31" s="45">
        <v>30.395000000000003</v>
      </c>
      <c r="F31" s="44">
        <v>20.195</v>
      </c>
      <c r="G31" s="44">
        <v>31.8</v>
      </c>
      <c r="H31" s="44">
        <v>17.276</v>
      </c>
      <c r="I31" s="44">
        <v>30.214</v>
      </c>
    </row>
    <row r="32" spans="1:9" ht="14.25">
      <c r="A32" s="43" t="str">
        <f>HLOOKUP(INDICE!$F$2,Nombres!$C$3:$D$636,53,FALSE)</f>
        <v>Financial assets designated at fair value </v>
      </c>
      <c r="B32" s="58">
        <v>0</v>
      </c>
      <c r="C32" s="58">
        <v>0</v>
      </c>
      <c r="D32" s="58">
        <v>163.319</v>
      </c>
      <c r="E32" s="65">
        <v>0</v>
      </c>
      <c r="F32" s="44">
        <v>0</v>
      </c>
      <c r="G32" s="44">
        <v>2.784</v>
      </c>
      <c r="H32" s="44">
        <v>0</v>
      </c>
      <c r="I32" s="44">
        <v>0</v>
      </c>
    </row>
    <row r="33" spans="1:9" ht="14.25">
      <c r="A33" s="43" t="str">
        <f>HLOOKUP(INDICE!$F$2,Nombres!$C$3:$D$636,54,FALSE)</f>
        <v>Financial assets at amortized cost</v>
      </c>
      <c r="B33" s="44">
        <v>1715.863</v>
      </c>
      <c r="C33" s="44">
        <v>1664.4769999999999</v>
      </c>
      <c r="D33" s="44">
        <v>1604.7350000000001</v>
      </c>
      <c r="E33" s="45">
        <v>1774.347</v>
      </c>
      <c r="F33" s="44">
        <v>1543.154</v>
      </c>
      <c r="G33" s="44">
        <v>1493.4980000000005</v>
      </c>
      <c r="H33" s="44">
        <v>1442.3569999999997</v>
      </c>
      <c r="I33" s="44">
        <v>1459.7740000000001</v>
      </c>
    </row>
    <row r="34" spans="1:9" ht="14.25">
      <c r="A34" s="43" t="str">
        <f>HLOOKUP(INDICE!$F$2,Nombres!$C$3:$D$636,55,FALSE)</f>
        <v>    of which loans and advances to customers</v>
      </c>
      <c r="B34" s="44">
        <v>1632.586</v>
      </c>
      <c r="C34" s="44">
        <v>1509.729</v>
      </c>
      <c r="D34" s="44">
        <v>1503.2589999999998</v>
      </c>
      <c r="E34" s="45">
        <v>1563.711</v>
      </c>
      <c r="F34" s="44">
        <v>1498.221</v>
      </c>
      <c r="G34" s="44">
        <v>1476.1489999999997</v>
      </c>
      <c r="H34" s="44">
        <v>1392.7369999999999</v>
      </c>
      <c r="I34" s="44">
        <v>1400.476</v>
      </c>
    </row>
    <row r="35" spans="1:9" ht="14.25">
      <c r="A35" s="43"/>
      <c r="B35" s="44"/>
      <c r="C35" s="44"/>
      <c r="D35" s="44"/>
      <c r="E35" s="45"/>
      <c r="F35" s="44"/>
      <c r="G35" s="44"/>
      <c r="H35" s="44"/>
      <c r="I35" s="44"/>
    </row>
    <row r="36" spans="1:9" ht="14.25">
      <c r="A36" s="43" t="str">
        <f>HLOOKUP(INDICE!$F$2,Nombres!$C$3:$D$636,56,FALSE)</f>
        <v>Tangible assets</v>
      </c>
      <c r="B36" s="44">
        <v>11.372</v>
      </c>
      <c r="C36" s="44">
        <v>10.92</v>
      </c>
      <c r="D36" s="44">
        <v>10.417</v>
      </c>
      <c r="E36" s="45">
        <v>10.311</v>
      </c>
      <c r="F36" s="44">
        <v>9.796000000000001</v>
      </c>
      <c r="G36" s="44">
        <v>9.110999999999999</v>
      </c>
      <c r="H36" s="44">
        <v>8.038</v>
      </c>
      <c r="I36" s="44">
        <v>7.380000000000001</v>
      </c>
    </row>
    <row r="37" spans="1:9" ht="14.25">
      <c r="A37" s="43" t="str">
        <f>HLOOKUP(INDICE!$F$2,Nombres!$C$3:$D$636,57,FALSE)</f>
        <v>Other assets</v>
      </c>
      <c r="B37" s="58">
        <f>+B38-B36-B33-B32-B31</f>
        <v>188.924</v>
      </c>
      <c r="C37" s="58">
        <f aca="true" t="shared" si="5" ref="C37:I37">+C38-C36-C33-C32-C31</f>
        <v>162.15199999999973</v>
      </c>
      <c r="D37" s="58">
        <f t="shared" si="5"/>
        <v>162.2430094499997</v>
      </c>
      <c r="E37" s="65">
        <f t="shared" si="5"/>
        <v>185.94099999999978</v>
      </c>
      <c r="F37" s="44">
        <f t="shared" si="5"/>
        <v>191.50400000000008</v>
      </c>
      <c r="G37" s="44">
        <f t="shared" si="5"/>
        <v>184.1129999999999</v>
      </c>
      <c r="H37" s="44">
        <f t="shared" si="5"/>
        <v>182.85500022000002</v>
      </c>
      <c r="I37" s="44">
        <f t="shared" si="5"/>
        <v>207.45300014999947</v>
      </c>
    </row>
    <row r="38" spans="1:9" ht="14.25">
      <c r="A38" s="47" t="str">
        <f>HLOOKUP(INDICE!$F$2,Nombres!$C$3:$D$636,58,FALSE)</f>
        <v>Total assets / Liabilities and equity</v>
      </c>
      <c r="B38" s="47">
        <v>1924.8890000000001</v>
      </c>
      <c r="C38" s="47">
        <v>1848.1969999999997</v>
      </c>
      <c r="D38" s="47">
        <v>1965.6410094499997</v>
      </c>
      <c r="E38" s="47">
        <v>2000.9939999999997</v>
      </c>
      <c r="F38" s="51">
        <v>1764.6490000000001</v>
      </c>
      <c r="G38" s="51">
        <v>1721.3060000000005</v>
      </c>
      <c r="H38" s="51">
        <v>1650.5260002199998</v>
      </c>
      <c r="I38" s="51">
        <v>1704.8210001499997</v>
      </c>
    </row>
    <row r="39" spans="1:9" ht="14.25">
      <c r="A39" s="43" t="str">
        <f>HLOOKUP(INDICE!$F$2,Nombres!$C$3:$D$636,59,FALSE)</f>
        <v>Financial liabilities held for trading and designated at fair value through profit or loss</v>
      </c>
      <c r="B39" s="58">
        <v>0</v>
      </c>
      <c r="C39" s="58">
        <v>0</v>
      </c>
      <c r="D39" s="58">
        <v>0</v>
      </c>
      <c r="E39" s="65">
        <v>0</v>
      </c>
      <c r="F39" s="44">
        <v>0</v>
      </c>
      <c r="G39" s="44">
        <v>0</v>
      </c>
      <c r="H39" s="44">
        <v>0</v>
      </c>
      <c r="I39" s="44">
        <v>0</v>
      </c>
    </row>
    <row r="40" spans="1:9" ht="15.75" customHeight="1">
      <c r="A40" s="43" t="str">
        <f>HLOOKUP(INDICE!$F$2,Nombres!$C$3:$D$636,60,FALSE)</f>
        <v>Deposits from central banks and credit institutions</v>
      </c>
      <c r="B40" s="58">
        <v>579.9309999999999</v>
      </c>
      <c r="C40" s="58">
        <v>587.071</v>
      </c>
      <c r="D40" s="58">
        <v>589.679</v>
      </c>
      <c r="E40" s="65">
        <v>552.606</v>
      </c>
      <c r="F40" s="44">
        <v>424.039</v>
      </c>
      <c r="G40" s="44">
        <v>422.686</v>
      </c>
      <c r="H40" s="44">
        <v>381.438</v>
      </c>
      <c r="I40" s="44">
        <v>475.307</v>
      </c>
    </row>
    <row r="41" spans="1:9" ht="14.25">
      <c r="A41" s="43" t="str">
        <f>HLOOKUP(INDICE!$F$2,Nombres!$C$3:$D$636,61,FALSE)</f>
        <v>Deposits from customers</v>
      </c>
      <c r="B41" s="58">
        <v>4.079000000000001</v>
      </c>
      <c r="C41" s="58">
        <v>3.553</v>
      </c>
      <c r="D41" s="58">
        <v>4.577999999999999</v>
      </c>
      <c r="E41" s="65">
        <v>4.954</v>
      </c>
      <c r="F41" s="44">
        <v>5.29</v>
      </c>
      <c r="G41" s="44">
        <v>7.186</v>
      </c>
      <c r="H41" s="44">
        <v>6.383</v>
      </c>
      <c r="I41" s="44">
        <v>7.503</v>
      </c>
    </row>
    <row r="42" spans="1:9" ht="14.25">
      <c r="A42" s="43" t="str">
        <f>HLOOKUP(INDICE!$F$2,Nombres!$C$3:$D$636,62,FALSE)</f>
        <v>Debt certificates</v>
      </c>
      <c r="B42" s="44">
        <v>975.4596240000001</v>
      </c>
      <c r="C42" s="44">
        <v>936.1515776</v>
      </c>
      <c r="D42" s="44">
        <v>945.5361104</v>
      </c>
      <c r="E42" s="45">
        <v>983.9977366799999</v>
      </c>
      <c r="F42" s="44">
        <v>865.592976</v>
      </c>
      <c r="G42" s="44">
        <v>856.5218064000001</v>
      </c>
      <c r="H42" s="44">
        <v>822.8859679999999</v>
      </c>
      <c r="I42" s="44">
        <v>769.0054783999999</v>
      </c>
    </row>
    <row r="43" spans="1:9" ht="14.25">
      <c r="A43" s="43"/>
      <c r="B43" s="44"/>
      <c r="C43" s="44"/>
      <c r="D43" s="44"/>
      <c r="E43" s="45"/>
      <c r="F43" s="44"/>
      <c r="G43" s="44"/>
      <c r="H43" s="44"/>
      <c r="I43" s="44"/>
    </row>
    <row r="44" spans="1:9" ht="14.25">
      <c r="A44" s="43" t="str">
        <f>HLOOKUP(INDICE!$F$2,Nombres!$C$3:$D$636,63,FALSE)</f>
        <v>Other liabilities</v>
      </c>
      <c r="B44" s="58">
        <f>+B38-B39-B40-B41-B42-B45</f>
        <v>135.01140100000006</v>
      </c>
      <c r="C44" s="58">
        <f aca="true" t="shared" si="6" ref="C44:I44">+C38-C39-C40-C41-C42-C45</f>
        <v>89.77090739999966</v>
      </c>
      <c r="D44" s="58">
        <f t="shared" si="6"/>
        <v>147.55025384999965</v>
      </c>
      <c r="E44" s="65">
        <f t="shared" si="6"/>
        <v>252.80724048999986</v>
      </c>
      <c r="F44" s="44">
        <f t="shared" si="6"/>
        <v>252.86687400000014</v>
      </c>
      <c r="G44" s="44">
        <f t="shared" si="6"/>
        <v>224.4032336000006</v>
      </c>
      <c r="H44" s="44">
        <f t="shared" si="6"/>
        <v>215.44820721999972</v>
      </c>
      <c r="I44" s="44">
        <f t="shared" si="6"/>
        <v>230.03388674999985</v>
      </c>
    </row>
    <row r="45" spans="1:9" ht="14.25">
      <c r="A45" s="43" t="str">
        <f>HLOOKUP(INDICE!$F$2,Nombres!$C$3:$D$636,282,FALSE)</f>
        <v>Regulatory capital allocated</v>
      </c>
      <c r="B45" s="58">
        <v>230.407975</v>
      </c>
      <c r="C45" s="58">
        <v>231.65051499999998</v>
      </c>
      <c r="D45" s="58">
        <v>278.29764520000003</v>
      </c>
      <c r="E45" s="65">
        <v>206.62902283</v>
      </c>
      <c r="F45" s="44">
        <v>216.86015</v>
      </c>
      <c r="G45" s="44">
        <v>210.50896</v>
      </c>
      <c r="H45" s="44">
        <v>224.370825</v>
      </c>
      <c r="I45" s="44">
        <v>222.971635</v>
      </c>
    </row>
    <row r="46" spans="1:9" ht="14.25">
      <c r="A46" s="62"/>
      <c r="B46" s="58"/>
      <c r="C46" s="58"/>
      <c r="D46" s="58"/>
      <c r="E46" s="58"/>
      <c r="F46" s="44"/>
      <c r="G46" s="44"/>
      <c r="H46" s="44"/>
      <c r="I46" s="44"/>
    </row>
    <row r="47" spans="1:9" ht="14.25">
      <c r="A47" s="43"/>
      <c r="B47" s="58"/>
      <c r="C47" s="58"/>
      <c r="D47" s="58"/>
      <c r="E47" s="58"/>
      <c r="F47" s="44"/>
      <c r="G47" s="44"/>
      <c r="H47" s="44"/>
      <c r="I47" s="44"/>
    </row>
    <row r="48" spans="1:9" ht="16.5">
      <c r="A48" s="33" t="str">
        <f>HLOOKUP(INDICE!$F$2,Nombres!$C$3:$D$636,65,FALSE)</f>
        <v>Relevant business indicators</v>
      </c>
      <c r="B48" s="34"/>
      <c r="C48" s="34"/>
      <c r="D48" s="34"/>
      <c r="E48" s="34"/>
      <c r="F48" s="69"/>
      <c r="G48" s="69"/>
      <c r="H48" s="69"/>
      <c r="I48" s="69"/>
    </row>
    <row r="49" spans="1:9" ht="14.25">
      <c r="A49" s="35" t="str">
        <f>HLOOKUP(INDICE!$F$2,Nombres!$C$3:$D$636,32,FALSE)</f>
        <v>(Million euros)</v>
      </c>
      <c r="B49" s="30"/>
      <c r="C49" s="30"/>
      <c r="D49" s="30"/>
      <c r="E49" s="30"/>
      <c r="F49" s="70"/>
      <c r="G49" s="44"/>
      <c r="H49" s="44"/>
      <c r="I49" s="44"/>
    </row>
    <row r="50" spans="1:9" ht="14.2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row>
    <row r="51" spans="1:9" ht="14.25">
      <c r="A51" s="43" t="str">
        <f>HLOOKUP(INDICE!$F$2,Nombres!$C$3:$D$636,66,FALSE)</f>
        <v>Loans and advances to customers (gross) (*)</v>
      </c>
      <c r="B51" s="44">
        <v>1633.3490000000002</v>
      </c>
      <c r="C51" s="44">
        <v>1526.683</v>
      </c>
      <c r="D51" s="44">
        <v>1524.5109999999997</v>
      </c>
      <c r="E51" s="45">
        <v>1560.565</v>
      </c>
      <c r="F51" s="286">
        <v>1560.821</v>
      </c>
      <c r="G51" s="44">
        <v>1532.1939999999997</v>
      </c>
      <c r="H51" s="44">
        <v>1445.6029999999998</v>
      </c>
      <c r="I51" s="44">
        <v>1454.9930000000002</v>
      </c>
    </row>
    <row r="52" spans="1:9" ht="14.25">
      <c r="A52" s="43" t="str">
        <f>HLOOKUP(INDICE!$F$2,Nombres!$C$3:$D$636,67,FALSE)</f>
        <v>Customer deposits under management (*)</v>
      </c>
      <c r="B52" s="44">
        <v>4.079</v>
      </c>
      <c r="C52" s="44">
        <v>3.553</v>
      </c>
      <c r="D52" s="44">
        <v>4.577999999999999</v>
      </c>
      <c r="E52" s="45">
        <v>4.954</v>
      </c>
      <c r="F52" s="286">
        <v>5.289999999999999</v>
      </c>
      <c r="G52" s="44">
        <v>7.186</v>
      </c>
      <c r="H52" s="44">
        <v>6.382999999999999</v>
      </c>
      <c r="I52" s="44">
        <v>7.503</v>
      </c>
    </row>
    <row r="53" spans="1:9" ht="14.25">
      <c r="A53" s="43" t="str">
        <f>HLOOKUP(INDICE!$F$2,Nombres!$C$3:$D$636,68,FALSE)</f>
        <v>Mutual funds</v>
      </c>
      <c r="B53" s="44">
        <v>0</v>
      </c>
      <c r="C53" s="44">
        <v>0</v>
      </c>
      <c r="D53" s="44">
        <v>0</v>
      </c>
      <c r="E53" s="45">
        <v>0</v>
      </c>
      <c r="F53" s="286">
        <v>0</v>
      </c>
      <c r="G53" s="44">
        <v>0</v>
      </c>
      <c r="H53" s="44">
        <v>0</v>
      </c>
      <c r="I53" s="44">
        <v>0</v>
      </c>
    </row>
    <row r="54" spans="1:9" ht="14.25">
      <c r="A54" s="43" t="str">
        <f>HLOOKUP(INDICE!$F$2,Nombres!$C$3:$D$636,69,FALSE)</f>
        <v>Pension funds</v>
      </c>
      <c r="B54" s="44">
        <v>0</v>
      </c>
      <c r="C54" s="44">
        <v>0</v>
      </c>
      <c r="D54" s="44">
        <v>0</v>
      </c>
      <c r="E54" s="45">
        <v>0</v>
      </c>
      <c r="F54" s="286">
        <v>0</v>
      </c>
      <c r="G54" s="44">
        <v>0</v>
      </c>
      <c r="H54" s="44">
        <v>0</v>
      </c>
      <c r="I54" s="44">
        <v>0</v>
      </c>
    </row>
    <row r="55" spans="1:9" ht="14.25">
      <c r="A55" s="43" t="str">
        <f>HLOOKUP(INDICE!$F$2,Nombres!$C$3:$D$636,70,FALSE)</f>
        <v>Other off balance-sheet funds</v>
      </c>
      <c r="B55" s="44">
        <v>0</v>
      </c>
      <c r="C55" s="44">
        <v>0</v>
      </c>
      <c r="D55" s="44">
        <v>0</v>
      </c>
      <c r="E55" s="45">
        <v>0</v>
      </c>
      <c r="F55" s="286">
        <v>0</v>
      </c>
      <c r="G55" s="44">
        <v>0</v>
      </c>
      <c r="H55" s="44">
        <v>0</v>
      </c>
      <c r="I55" s="44">
        <v>0</v>
      </c>
    </row>
    <row r="56" spans="1:9" ht="14.25">
      <c r="A56" s="62" t="str">
        <f>HLOOKUP(INDICE!$F$2,Nombres!$C$3:$D$636,71,FALSE)</f>
        <v>(*) Excluding repos. </v>
      </c>
      <c r="B56" s="58"/>
      <c r="C56" s="58"/>
      <c r="D56" s="58"/>
      <c r="E56" s="58"/>
      <c r="F56" s="58"/>
      <c r="G56" s="58"/>
      <c r="H56" s="58"/>
      <c r="I56" s="58"/>
    </row>
    <row r="57" spans="1:9" ht="14.25">
      <c r="A57" s="62">
        <f>HLOOKUP(INDICE!$F$2,Nombres!$C$3:$D$636,72,FALSE)</f>
        <v>0</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Income statement  </v>
      </c>
      <c r="B59" s="34"/>
      <c r="C59" s="34"/>
      <c r="D59" s="34"/>
      <c r="E59" s="34"/>
      <c r="F59" s="34"/>
      <c r="G59" s="34"/>
      <c r="H59" s="34"/>
      <c r="I59" s="34"/>
    </row>
    <row r="60" spans="1:9" ht="14.25">
      <c r="A60" s="35" t="str">
        <f>HLOOKUP(INDICE!$F$2,Nombres!$C$3:$D$636,73,FALSE)</f>
        <v>(Constant million euros)    </v>
      </c>
      <c r="B60" s="30"/>
      <c r="C60" s="36"/>
      <c r="D60" s="36"/>
      <c r="E60" s="36"/>
      <c r="F60" s="30"/>
      <c r="G60" s="30"/>
      <c r="H60" s="30"/>
      <c r="I60" s="3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39" t="str">
        <f>+B$7</f>
        <v>1Q</v>
      </c>
      <c r="C63" s="39" t="str">
        <f aca="true" t="shared" si="8" ref="C63:I63">+C$7</f>
        <v>2Q</v>
      </c>
      <c r="D63" s="39" t="str">
        <f t="shared" si="8"/>
        <v>3Q</v>
      </c>
      <c r="E63" s="40" t="str">
        <f t="shared" si="8"/>
        <v>4Q</v>
      </c>
      <c r="F63" s="39" t="str">
        <f t="shared" si="8"/>
        <v>1Q</v>
      </c>
      <c r="G63" s="39" t="str">
        <f t="shared" si="8"/>
        <v>2Q</v>
      </c>
      <c r="H63" s="39" t="str">
        <f t="shared" si="8"/>
        <v>3Q</v>
      </c>
      <c r="I63" s="39" t="str">
        <f t="shared" si="8"/>
        <v>4Q</v>
      </c>
    </row>
    <row r="64" spans="1:9" ht="14.25">
      <c r="A64" s="41" t="str">
        <f>HLOOKUP(INDICE!$F$2,Nombres!$C$3:$D$636,33,FALSE)</f>
        <v>Net interest income</v>
      </c>
      <c r="B64" s="50">
        <v>37.44569781531821</v>
      </c>
      <c r="C64" s="50">
        <v>34.38212127514288</v>
      </c>
      <c r="D64" s="50">
        <v>29.996303717725244</v>
      </c>
      <c r="E64" s="279">
        <v>32.37492541086733</v>
      </c>
      <c r="F64" s="50">
        <v>32.51053479817311</v>
      </c>
      <c r="G64" s="50">
        <v>35.1787531989019</v>
      </c>
      <c r="H64" s="50">
        <v>34.624641506980105</v>
      </c>
      <c r="I64" s="50">
        <v>36.539070495944884</v>
      </c>
    </row>
    <row r="65" spans="1:9" ht="14.25">
      <c r="A65" s="43" t="str">
        <f>HLOOKUP(INDICE!$F$2,Nombres!$C$3:$D$636,34,FALSE)</f>
        <v>Net fees and commissions</v>
      </c>
      <c r="B65" s="44">
        <v>1.2602865745279859</v>
      </c>
      <c r="C65" s="44">
        <v>-0.986005161371508</v>
      </c>
      <c r="D65" s="44">
        <v>-2.540051354772143</v>
      </c>
      <c r="E65" s="45">
        <v>-0.13728765500327267</v>
      </c>
      <c r="F65" s="44">
        <v>-4.070498960649017</v>
      </c>
      <c r="G65" s="44">
        <v>-4.393803768527368</v>
      </c>
      <c r="H65" s="44">
        <v>-1.0198702148843382</v>
      </c>
      <c r="I65" s="44">
        <v>2.15717294406072</v>
      </c>
    </row>
    <row r="66" spans="1:9" ht="14.25">
      <c r="A66" s="43" t="str">
        <f>HLOOKUP(INDICE!$F$2,Nombres!$C$3:$D$636,35,FALSE)</f>
        <v>Net trading income</v>
      </c>
      <c r="B66" s="44">
        <v>0.34120434646845316</v>
      </c>
      <c r="C66" s="44">
        <v>0.06572953196006455</v>
      </c>
      <c r="D66" s="44">
        <v>-0.004375727525602169</v>
      </c>
      <c r="E66" s="45">
        <v>0.0641721650582347</v>
      </c>
      <c r="F66" s="44">
        <v>0.03887773601383972</v>
      </c>
      <c r="G66" s="44">
        <v>-0.03307761993628623</v>
      </c>
      <c r="H66" s="44">
        <v>0.5079995990398858</v>
      </c>
      <c r="I66" s="44">
        <v>0.4492002848825608</v>
      </c>
    </row>
    <row r="67" spans="1:9" ht="14.25">
      <c r="A67" s="43" t="str">
        <f>HLOOKUP(INDICE!$F$2,Nombres!$C$3:$D$636,36,FALSE)</f>
        <v>Other operating income and expenses</v>
      </c>
      <c r="B67" s="44">
        <v>0.04437628783549247</v>
      </c>
      <c r="C67" s="44">
        <v>-0.09225086176825927</v>
      </c>
      <c r="D67" s="44">
        <v>-0.026412965136599173</v>
      </c>
      <c r="E67" s="45">
        <v>-0.2878308095211817</v>
      </c>
      <c r="F67" s="44">
        <v>-0.48597170017299635</v>
      </c>
      <c r="G67" s="44">
        <v>0.3806029247641082</v>
      </c>
      <c r="H67" s="44">
        <v>0.17708460562604522</v>
      </c>
      <c r="I67" s="44">
        <v>-0.07971583021715692</v>
      </c>
    </row>
    <row r="68" spans="1:9" ht="14.25">
      <c r="A68" s="41" t="str">
        <f>HLOOKUP(INDICE!$F$2,Nombres!$C$3:$D$636,37,FALSE)</f>
        <v>Gross income</v>
      </c>
      <c r="B68" s="50">
        <f>+SUM(B64:B67)</f>
        <v>39.09156502415014</v>
      </c>
      <c r="C68" s="50">
        <f>+SUM(C64:C67)</f>
        <v>33.36959478396318</v>
      </c>
      <c r="D68" s="50">
        <f aca="true" t="shared" si="9" ref="D68:I68">+SUM(D64:D67)</f>
        <v>27.4254636702909</v>
      </c>
      <c r="E68" s="279">
        <f t="shared" si="9"/>
        <v>32.013979111401106</v>
      </c>
      <c r="F68" s="50">
        <f t="shared" si="9"/>
        <v>27.992941873364938</v>
      </c>
      <c r="G68" s="50">
        <f t="shared" si="9"/>
        <v>31.132474735202354</v>
      </c>
      <c r="H68" s="50">
        <f t="shared" si="9"/>
        <v>34.289855496761696</v>
      </c>
      <c r="I68" s="50">
        <f t="shared" si="9"/>
        <v>39.06572789467101</v>
      </c>
    </row>
    <row r="69" spans="1:9" ht="14.25">
      <c r="A69" s="43" t="str">
        <f>HLOOKUP(INDICE!$F$2,Nombres!$C$3:$D$636,38,FALSE)</f>
        <v>Operating expenses</v>
      </c>
      <c r="B69" s="44">
        <v>-12.879971009319268</v>
      </c>
      <c r="C69" s="44">
        <v>-9.264014208499237</v>
      </c>
      <c r="D69" s="44">
        <v>-11.932913616095382</v>
      </c>
      <c r="E69" s="45">
        <v>-12.858668564929296</v>
      </c>
      <c r="F69" s="44">
        <v>-14.022227436791638</v>
      </c>
      <c r="G69" s="44">
        <v>-12.86131058266876</v>
      </c>
      <c r="H69" s="44">
        <v>-8.967500228686271</v>
      </c>
      <c r="I69" s="44">
        <v>-12.506961751853332</v>
      </c>
    </row>
    <row r="70" spans="1:9" ht="14.25">
      <c r="A70" s="43" t="str">
        <f>HLOOKUP(INDICE!$F$2,Nombres!$C$3:$D$636,39,FALSE)</f>
        <v>  Administration expenses</v>
      </c>
      <c r="B70" s="44">
        <v>-12.069364151524274</v>
      </c>
      <c r="C70" s="44">
        <v>-8.458854196063355</v>
      </c>
      <c r="D70" s="44">
        <v>-11.100203354026482</v>
      </c>
      <c r="E70" s="45">
        <v>-11.93441563382878</v>
      </c>
      <c r="F70" s="44">
        <v>-12.932678885003781</v>
      </c>
      <c r="G70" s="44">
        <v>-11.789349209555022</v>
      </c>
      <c r="H70" s="44">
        <v>-7.884114438419797</v>
      </c>
      <c r="I70" s="44">
        <v>-11.267857467021402</v>
      </c>
    </row>
    <row r="71" spans="1:9" ht="14.25">
      <c r="A71" s="46" t="str">
        <f>HLOOKUP(INDICE!$F$2,Nombres!$C$3:$D$636,40,FALSE)</f>
        <v>  Personnel expenses</v>
      </c>
      <c r="B71" s="44">
        <v>-5.443491307820409</v>
      </c>
      <c r="C71" s="44">
        <v>-4.094520161326441</v>
      </c>
      <c r="D71" s="44">
        <v>-4.784425286294287</v>
      </c>
      <c r="E71" s="45">
        <v>-3.6486921776664305</v>
      </c>
      <c r="F71" s="44">
        <v>-5.428303890932369</v>
      </c>
      <c r="G71" s="44">
        <v>-5.403412883898762</v>
      </c>
      <c r="H71" s="44">
        <v>-5.645240819718945</v>
      </c>
      <c r="I71" s="44">
        <v>-6.1980424054499235</v>
      </c>
    </row>
    <row r="72" spans="1:9" ht="14.25">
      <c r="A72" s="46" t="str">
        <f>HLOOKUP(INDICE!$F$2,Nombres!$C$3:$D$636,41,FALSE)</f>
        <v>  General and administrative expenses</v>
      </c>
      <c r="B72" s="44">
        <v>-6.625872843703863</v>
      </c>
      <c r="C72" s="44">
        <v>-4.364334034736912</v>
      </c>
      <c r="D72" s="44">
        <v>-6.315778067732196</v>
      </c>
      <c r="E72" s="45">
        <v>-8.285723456162348</v>
      </c>
      <c r="F72" s="44">
        <v>-7.5043749940714095</v>
      </c>
      <c r="G72" s="44">
        <v>-6.38593632565626</v>
      </c>
      <c r="H72" s="44">
        <v>-2.238873618700852</v>
      </c>
      <c r="I72" s="44">
        <v>-5.069815061571478</v>
      </c>
    </row>
    <row r="73" spans="1:9" ht="14.25">
      <c r="A73" s="43" t="str">
        <f>HLOOKUP(INDICE!$F$2,Nombres!$C$3:$D$636,42,FALSE)</f>
        <v>  Depreciation</v>
      </c>
      <c r="B73" s="44">
        <v>-0.8106068577949956</v>
      </c>
      <c r="C73" s="44">
        <v>-0.8051600124358835</v>
      </c>
      <c r="D73" s="44">
        <v>-0.8327102620688993</v>
      </c>
      <c r="E73" s="45">
        <v>-0.924252931100517</v>
      </c>
      <c r="F73" s="44">
        <v>-1.0895485517878578</v>
      </c>
      <c r="G73" s="44">
        <v>-1.0719613731137403</v>
      </c>
      <c r="H73" s="44">
        <v>-1.0833857902664739</v>
      </c>
      <c r="I73" s="44">
        <v>-1.2391042848319278</v>
      </c>
    </row>
    <row r="74" spans="1:9" ht="14.25">
      <c r="A74" s="41" t="str">
        <f>HLOOKUP(INDICE!$F$2,Nombres!$C$3:$D$636,43,FALSE)</f>
        <v>Operating income</v>
      </c>
      <c r="B74" s="50">
        <f aca="true" t="shared" si="10" ref="B74:I74">+B68+B69</f>
        <v>26.211594014830872</v>
      </c>
      <c r="C74" s="50">
        <f t="shared" si="10"/>
        <v>24.105580575463943</v>
      </c>
      <c r="D74" s="50">
        <f t="shared" si="10"/>
        <v>15.492550054195517</v>
      </c>
      <c r="E74" s="279">
        <f t="shared" si="10"/>
        <v>19.15531054647181</v>
      </c>
      <c r="F74" s="50">
        <f t="shared" si="10"/>
        <v>13.9707144365733</v>
      </c>
      <c r="G74" s="50">
        <f t="shared" si="10"/>
        <v>18.271164152533593</v>
      </c>
      <c r="H74" s="50">
        <f t="shared" si="10"/>
        <v>25.322355268075427</v>
      </c>
      <c r="I74" s="50">
        <f t="shared" si="10"/>
        <v>26.558766142817674</v>
      </c>
    </row>
    <row r="75" spans="1:9" ht="14.25">
      <c r="A75" s="43" t="str">
        <f>HLOOKUP(INDICE!$F$2,Nombres!$C$3:$D$636,44,FALSE)</f>
        <v>Impaiment on financial assets not measured at fair value through profit or loss</v>
      </c>
      <c r="B75" s="44">
        <v>-18.115386834177702</v>
      </c>
      <c r="C75" s="44">
        <v>-23.290135295923967</v>
      </c>
      <c r="D75" s="44">
        <v>0.7923237437466808</v>
      </c>
      <c r="E75" s="45">
        <v>-8.802879700333442</v>
      </c>
      <c r="F75" s="44">
        <v>0.5054105681799167</v>
      </c>
      <c r="G75" s="44">
        <v>1.5188299428862497</v>
      </c>
      <c r="H75" s="44">
        <v>-5.441057737028792</v>
      </c>
      <c r="I75" s="44">
        <v>-6.592182774037376</v>
      </c>
    </row>
    <row r="76" spans="1:9" ht="14.25">
      <c r="A76" s="43" t="str">
        <f>HLOOKUP(INDICE!$F$2,Nombres!$C$3:$D$636,45,FALSE)</f>
        <v>Provisions or reversal of provisions and other results</v>
      </c>
      <c r="B76" s="44">
        <v>-0.25245177079746817</v>
      </c>
      <c r="C76" s="44">
        <v>-0.2023566815638163</v>
      </c>
      <c r="D76" s="44">
        <v>-0.13949186019364312</v>
      </c>
      <c r="E76" s="45">
        <v>-0.9949968840369205</v>
      </c>
      <c r="F76" s="44">
        <v>0.44223424715742665</v>
      </c>
      <c r="G76" s="44">
        <v>0.26924665835580064</v>
      </c>
      <c r="H76" s="44">
        <v>0.486075218249982</v>
      </c>
      <c r="I76" s="44">
        <v>-4.218556123763209</v>
      </c>
    </row>
    <row r="77" spans="1:9" ht="14.25">
      <c r="A77" s="41" t="str">
        <f>HLOOKUP(INDICE!$F$2,Nombres!$C$3:$D$636,46,FALSE)</f>
        <v>Profit/(loss) before tax</v>
      </c>
      <c r="B77" s="50">
        <f aca="true" t="shared" si="11" ref="B77:I77">+B74+B75+B76</f>
        <v>7.843755409855702</v>
      </c>
      <c r="C77" s="50">
        <f t="shared" si="11"/>
        <v>0.6130885979761593</v>
      </c>
      <c r="D77" s="50">
        <f t="shared" si="11"/>
        <v>16.145381937748553</v>
      </c>
      <c r="E77" s="279">
        <f t="shared" si="11"/>
        <v>9.357433962101448</v>
      </c>
      <c r="F77" s="50">
        <f t="shared" si="11"/>
        <v>14.918359251910642</v>
      </c>
      <c r="G77" s="50">
        <f t="shared" si="11"/>
        <v>20.059240753775644</v>
      </c>
      <c r="H77" s="50">
        <f t="shared" si="11"/>
        <v>20.367372749296617</v>
      </c>
      <c r="I77" s="50">
        <f t="shared" si="11"/>
        <v>15.74802724501709</v>
      </c>
    </row>
    <row r="78" spans="1:9" ht="14.25">
      <c r="A78" s="43" t="str">
        <f>HLOOKUP(INDICE!$F$2,Nombres!$C$3:$D$636,47,FALSE)</f>
        <v>Income tax</v>
      </c>
      <c r="B78" s="44">
        <v>-1.318468818578965</v>
      </c>
      <c r="C78" s="44">
        <v>0.036826578920520756</v>
      </c>
      <c r="D78" s="44">
        <v>-4.5760306045273715</v>
      </c>
      <c r="E78" s="45">
        <v>-1.8162184930288734</v>
      </c>
      <c r="F78" s="44">
        <v>-3.3998580144102823</v>
      </c>
      <c r="G78" s="44">
        <v>-4.999676751900089</v>
      </c>
      <c r="H78" s="44">
        <v>-4.912102212353685</v>
      </c>
      <c r="I78" s="44">
        <v>-2.3213630213359444</v>
      </c>
    </row>
    <row r="79" spans="1:9" ht="14.25">
      <c r="A79" s="41" t="str">
        <f>HLOOKUP(INDICE!$F$2,Nombres!$C$3:$D$636,48,FALSE)</f>
        <v>Profit/(loss) for the year</v>
      </c>
      <c r="B79" s="50">
        <f aca="true" t="shared" si="12" ref="B79:I79">+B77+B78</f>
        <v>6.525286591276737</v>
      </c>
      <c r="C79" s="50">
        <f t="shared" si="12"/>
        <v>0.6499151768966801</v>
      </c>
      <c r="D79" s="50">
        <f t="shared" si="12"/>
        <v>11.569351333221181</v>
      </c>
      <c r="E79" s="279">
        <f t="shared" si="12"/>
        <v>7.541215469072574</v>
      </c>
      <c r="F79" s="50">
        <f t="shared" si="12"/>
        <v>11.51850123750036</v>
      </c>
      <c r="G79" s="50">
        <f t="shared" si="12"/>
        <v>15.059564001875554</v>
      </c>
      <c r="H79" s="50">
        <f t="shared" si="12"/>
        <v>15.455270536942933</v>
      </c>
      <c r="I79" s="50">
        <f t="shared" si="12"/>
        <v>13.426664223681145</v>
      </c>
    </row>
    <row r="80" spans="1:9" ht="14.25">
      <c r="A80" s="43" t="str">
        <f>HLOOKUP(INDICE!$F$2,Nombres!$C$3:$D$636,49,FALSE)</f>
        <v>Non-controlling interests</v>
      </c>
      <c r="B80" s="44">
        <v>0</v>
      </c>
      <c r="C80" s="44">
        <v>0</v>
      </c>
      <c r="D80" s="44">
        <v>0</v>
      </c>
      <c r="E80" s="45">
        <v>0</v>
      </c>
      <c r="F80" s="44">
        <v>0</v>
      </c>
      <c r="G80" s="44">
        <v>0</v>
      </c>
      <c r="H80" s="44">
        <v>0</v>
      </c>
      <c r="I80" s="44">
        <v>0</v>
      </c>
    </row>
    <row r="81" spans="1:9" ht="14.25">
      <c r="A81" s="47" t="str">
        <f>HLOOKUP(INDICE!$F$2,Nombres!$C$3:$D$636,50,FALSE)</f>
        <v>Net attributable profit</v>
      </c>
      <c r="B81" s="51">
        <f aca="true" t="shared" si="13" ref="B81:I81">+B79+B80</f>
        <v>6.525286591276737</v>
      </c>
      <c r="C81" s="51">
        <f t="shared" si="13"/>
        <v>0.6499151768966801</v>
      </c>
      <c r="D81" s="51">
        <f t="shared" si="13"/>
        <v>11.569351333221181</v>
      </c>
      <c r="E81" s="80">
        <f t="shared" si="13"/>
        <v>7.541215469072574</v>
      </c>
      <c r="F81" s="51">
        <f t="shared" si="13"/>
        <v>11.51850123750036</v>
      </c>
      <c r="G81" s="51">
        <f t="shared" si="13"/>
        <v>15.059564001875554</v>
      </c>
      <c r="H81" s="51">
        <f t="shared" si="13"/>
        <v>15.455270536942933</v>
      </c>
      <c r="I81" s="51">
        <f t="shared" si="13"/>
        <v>13.426664223681145</v>
      </c>
    </row>
    <row r="82" spans="1:9" ht="14.25">
      <c r="A82" s="277"/>
      <c r="B82" s="278"/>
      <c r="C82" s="278"/>
      <c r="D82" s="278"/>
      <c r="E82" s="278"/>
      <c r="F82" s="278"/>
      <c r="G82" s="278"/>
      <c r="H82" s="278"/>
      <c r="I82" s="278"/>
    </row>
    <row r="83" spans="1:9" ht="14.25">
      <c r="A83" s="41"/>
      <c r="B83" s="41"/>
      <c r="C83" s="41"/>
      <c r="D83" s="41"/>
      <c r="E83" s="41"/>
      <c r="F83" s="50"/>
      <c r="G83" s="50"/>
      <c r="H83" s="50"/>
      <c r="I83" s="50"/>
    </row>
    <row r="84" spans="1:9" ht="16.5">
      <c r="A84" s="33" t="str">
        <f>HLOOKUP(INDICE!$F$2,Nombres!$C$3:$D$636,51,FALSE)</f>
        <v>Balance sheets</v>
      </c>
      <c r="B84" s="34"/>
      <c r="C84" s="34"/>
      <c r="D84" s="34"/>
      <c r="E84" s="34"/>
      <c r="F84" s="69"/>
      <c r="G84" s="69"/>
      <c r="H84" s="69"/>
      <c r="I84" s="69"/>
    </row>
    <row r="85" spans="1:9" ht="14.25">
      <c r="A85" s="35" t="str">
        <f>HLOOKUP(INDICE!$F$2,Nombres!$C$3:$D$636,73,FALSE)</f>
        <v>(Constant million euros)    </v>
      </c>
      <c r="B85" s="30"/>
      <c r="C85" s="52"/>
      <c r="D85" s="52"/>
      <c r="E85" s="52"/>
      <c r="F85" s="70"/>
      <c r="G85" s="44"/>
      <c r="H85" s="44"/>
      <c r="I85" s="44"/>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43" t="str">
        <f>HLOOKUP(INDICE!$F$2,Nombres!$C$3:$D$636,52,FALSE)</f>
        <v>Cash, cash balances at central banks and other demand deposits</v>
      </c>
      <c r="B87" s="44">
        <v>8.460902650028519</v>
      </c>
      <c r="C87" s="44">
        <v>10.174575826144816</v>
      </c>
      <c r="D87" s="44">
        <v>23.93038142138051</v>
      </c>
      <c r="E87" s="45">
        <v>27.717065757305065</v>
      </c>
      <c r="F87" s="44">
        <v>18.12003939800212</v>
      </c>
      <c r="G87" s="44">
        <v>29.044814436165538</v>
      </c>
      <c r="H87" s="44">
        <v>16.802537090043337</v>
      </c>
      <c r="I87" s="44">
        <v>30.214</v>
      </c>
    </row>
    <row r="88" spans="1:9" ht="14.25">
      <c r="A88" s="43" t="str">
        <f>HLOOKUP(INDICE!$F$2,Nombres!$C$3:$D$636,53,FALSE)</f>
        <v>Financial assets designated at fair value </v>
      </c>
      <c r="B88" s="58">
        <v>0</v>
      </c>
      <c r="C88" s="58">
        <v>0</v>
      </c>
      <c r="D88" s="58">
        <v>156.7892631828316</v>
      </c>
      <c r="E88" s="65">
        <v>0</v>
      </c>
      <c r="F88" s="44">
        <v>0</v>
      </c>
      <c r="G88" s="44">
        <v>2.542791301581285</v>
      </c>
      <c r="H88" s="44">
        <v>0</v>
      </c>
      <c r="I88" s="44">
        <v>0</v>
      </c>
    </row>
    <row r="89" spans="1:9" ht="14.25">
      <c r="A89" s="43" t="str">
        <f>HLOOKUP(INDICE!$F$2,Nombres!$C$3:$D$636,54,FALSE)</f>
        <v>Financial assets at amortized cost</v>
      </c>
      <c r="B89" s="44">
        <v>1662.9724861152217</v>
      </c>
      <c r="C89" s="44">
        <v>1590.4721494528592</v>
      </c>
      <c r="D89" s="44">
        <v>1540.5753051004554</v>
      </c>
      <c r="E89" s="45">
        <v>1618.0191635228482</v>
      </c>
      <c r="F89" s="44">
        <v>1384.6007069663067</v>
      </c>
      <c r="G89" s="44">
        <v>1364.0997569429046</v>
      </c>
      <c r="H89" s="44">
        <v>1402.828026718201</v>
      </c>
      <c r="I89" s="44">
        <v>1459.7740000000001</v>
      </c>
    </row>
    <row r="90" spans="1:9" ht="14.25">
      <c r="A90" s="43" t="str">
        <f>HLOOKUP(INDICE!$F$2,Nombres!$C$3:$D$636,55,FALSE)</f>
        <v>    of which loans and advances to customers</v>
      </c>
      <c r="B90" s="44">
        <v>1582.2624528979911</v>
      </c>
      <c r="C90" s="44">
        <v>1442.6044503596718</v>
      </c>
      <c r="D90" s="44">
        <v>1443.1564666876498</v>
      </c>
      <c r="E90" s="45">
        <v>1425.9411288837393</v>
      </c>
      <c r="F90" s="44">
        <v>1344.2844044027795</v>
      </c>
      <c r="G90" s="44">
        <v>1348.2538926141929</v>
      </c>
      <c r="H90" s="44">
        <v>1354.5679034021582</v>
      </c>
      <c r="I90" s="44">
        <v>1400.476</v>
      </c>
    </row>
    <row r="91" spans="1:9" ht="14.25">
      <c r="A91" s="43"/>
      <c r="B91" s="44"/>
      <c r="C91" s="44"/>
      <c r="D91" s="44"/>
      <c r="E91" s="45"/>
      <c r="F91" s="44"/>
      <c r="G91" s="44"/>
      <c r="H91" s="44"/>
      <c r="I91" s="44"/>
    </row>
    <row r="92" spans="1:9" ht="14.25">
      <c r="A92" s="43" t="str">
        <f>HLOOKUP(INDICE!$F$2,Nombres!$C$3:$D$636,56,FALSE)</f>
        <v>Tangible assets</v>
      </c>
      <c r="B92" s="44">
        <v>11.021464482946659</v>
      </c>
      <c r="C92" s="44">
        <v>10.434482346121465</v>
      </c>
      <c r="D92" s="44">
        <v>10.00051282811894</v>
      </c>
      <c r="E92" s="45">
        <v>9.402555190773892</v>
      </c>
      <c r="F92" s="44">
        <v>8.789497694618904</v>
      </c>
      <c r="G92" s="44">
        <v>8.321613343644788</v>
      </c>
      <c r="H92" s="44">
        <v>7.81771203575876</v>
      </c>
      <c r="I92" s="44">
        <v>7.380000000000001</v>
      </c>
    </row>
    <row r="93" spans="1:9" ht="14.25">
      <c r="A93" s="43" t="str">
        <f>HLOOKUP(INDICE!$F$2,Nombres!$C$3:$D$636,57,FALSE)</f>
        <v>Other assets</v>
      </c>
      <c r="B93" s="58">
        <f>+B94-B92-B89-B88-B87</f>
        <v>183.10052374043414</v>
      </c>
      <c r="C93" s="58">
        <f aca="true" t="shared" si="15" ref="C93:I93">+C94-C92-C89-C88-C87</f>
        <v>154.94250745313974</v>
      </c>
      <c r="D93" s="58">
        <f t="shared" si="15"/>
        <v>155.7562923372707</v>
      </c>
      <c r="E93" s="65">
        <f t="shared" si="15"/>
        <v>169.55877361339236</v>
      </c>
      <c r="F93" s="44">
        <f t="shared" si="15"/>
        <v>171.82768135058194</v>
      </c>
      <c r="G93" s="44">
        <f t="shared" si="15"/>
        <v>168.161255354898</v>
      </c>
      <c r="H93" s="44">
        <f t="shared" si="15"/>
        <v>177.84370938275228</v>
      </c>
      <c r="I93" s="44">
        <f t="shared" si="15"/>
        <v>207.45300014999947</v>
      </c>
    </row>
    <row r="94" spans="1:9" ht="14.25">
      <c r="A94" s="47" t="str">
        <f>HLOOKUP(INDICE!$F$2,Nombres!$C$3:$D$636,58,FALSE)</f>
        <v>Total assets / Liabilities and equity</v>
      </c>
      <c r="B94" s="47">
        <v>1865.555376988631</v>
      </c>
      <c r="C94" s="47">
        <v>1766.0237150782652</v>
      </c>
      <c r="D94" s="47">
        <v>1887.051754870057</v>
      </c>
      <c r="E94" s="47">
        <v>1824.6975580843196</v>
      </c>
      <c r="F94" s="51">
        <v>1583.3379254095096</v>
      </c>
      <c r="G94" s="51">
        <v>1572.170231379194</v>
      </c>
      <c r="H94" s="51">
        <v>1605.2919852267555</v>
      </c>
      <c r="I94" s="51">
        <v>1704.8210001499997</v>
      </c>
    </row>
    <row r="95" spans="1:9" ht="14.25">
      <c r="A95" s="43" t="str">
        <f>HLOOKUP(INDICE!$F$2,Nombres!$C$3:$D$636,59,FALSE)</f>
        <v>Financial liabilities held for trading and designated at fair value through profit or loss</v>
      </c>
      <c r="B95" s="58">
        <v>0</v>
      </c>
      <c r="C95" s="58">
        <v>0</v>
      </c>
      <c r="D95" s="58">
        <v>0</v>
      </c>
      <c r="E95" s="65">
        <v>0</v>
      </c>
      <c r="F95" s="44">
        <v>0</v>
      </c>
      <c r="G95" s="44">
        <v>0</v>
      </c>
      <c r="H95" s="44">
        <v>0</v>
      </c>
      <c r="I95" s="44">
        <v>0</v>
      </c>
    </row>
    <row r="96" spans="1:9" ht="14.25">
      <c r="A96" s="43" t="str">
        <f>HLOOKUP(INDICE!$F$2,Nombres!$C$3:$D$636,60,FALSE)</f>
        <v>Deposits from central banks and credit institutions</v>
      </c>
      <c r="B96" s="58">
        <v>562.0549524322669</v>
      </c>
      <c r="C96" s="58">
        <v>560.9690462838713</v>
      </c>
      <c r="D96" s="58">
        <v>566.1027554931695</v>
      </c>
      <c r="E96" s="65">
        <v>503.918961667423</v>
      </c>
      <c r="F96" s="44">
        <v>380.4705811482753</v>
      </c>
      <c r="G96" s="44">
        <v>386.0640388290902</v>
      </c>
      <c r="H96" s="44">
        <v>370.9843796337086</v>
      </c>
      <c r="I96" s="44">
        <v>475.307</v>
      </c>
    </row>
    <row r="97" spans="1:9" ht="14.25">
      <c r="A97" s="43" t="str">
        <f>HLOOKUP(INDICE!$F$2,Nombres!$C$3:$D$636,61,FALSE)</f>
        <v>Deposits from customers</v>
      </c>
      <c r="B97" s="58">
        <v>3.9532671144864073</v>
      </c>
      <c r="C97" s="58">
        <v>3.395028917195016</v>
      </c>
      <c r="D97" s="58">
        <v>4.394964742932562</v>
      </c>
      <c r="E97" s="65">
        <v>4.517530638647451</v>
      </c>
      <c r="F97" s="44">
        <v>4.7464723156935476</v>
      </c>
      <c r="G97" s="44">
        <v>6.563397375417786</v>
      </c>
      <c r="H97" s="44">
        <v>6.208068664375239</v>
      </c>
      <c r="I97" s="44">
        <v>7.503</v>
      </c>
    </row>
    <row r="98" spans="1:9" ht="14.25">
      <c r="A98" s="43" t="str">
        <f>HLOOKUP(INDICE!$F$2,Nombres!$C$3:$D$636,62,FALSE)</f>
        <v>Debt certificates</v>
      </c>
      <c r="B98" s="44">
        <v>945.391628602225</v>
      </c>
      <c r="C98" s="44">
        <v>894.5290393553993</v>
      </c>
      <c r="D98" s="44">
        <v>907.7321687150701</v>
      </c>
      <c r="E98" s="45">
        <v>897.3031739627869</v>
      </c>
      <c r="F98" s="44">
        <v>776.6565401215104</v>
      </c>
      <c r="G98" s="44">
        <v>782.3118530634374</v>
      </c>
      <c r="H98" s="44">
        <v>800.3341050125154</v>
      </c>
      <c r="I98" s="44">
        <v>769.0054783999999</v>
      </c>
    </row>
    <row r="99" spans="1:9" ht="14.25">
      <c r="A99" s="43"/>
      <c r="B99" s="44"/>
      <c r="C99" s="44"/>
      <c r="D99" s="44"/>
      <c r="E99" s="45"/>
      <c r="F99" s="44"/>
      <c r="G99" s="44"/>
      <c r="H99" s="44"/>
      <c r="I99" s="44"/>
    </row>
    <row r="100" spans="1:9" ht="14.25">
      <c r="A100" s="43" t="str">
        <f>HLOOKUP(INDICE!$F$2,Nombres!$C$3:$D$636,63,FALSE)</f>
        <v>Other liabilities</v>
      </c>
      <c r="B100" s="58">
        <f>+B94-B95-B96-B97-B98-B101</f>
        <v>130.84975034421123</v>
      </c>
      <c r="C100" s="58">
        <f aca="true" t="shared" si="16" ref="C100:I100">+C94-C95-C96-C97-C98-C101</f>
        <v>85.77957403485388</v>
      </c>
      <c r="D100" s="58">
        <f t="shared" si="16"/>
        <v>141.65097498503695</v>
      </c>
      <c r="E100" s="65">
        <f t="shared" si="16"/>
        <v>230.53380189452784</v>
      </c>
      <c r="F100" s="44">
        <f t="shared" si="16"/>
        <v>226.8857499049094</v>
      </c>
      <c r="G100" s="44">
        <f t="shared" si="16"/>
        <v>204.96070059080247</v>
      </c>
      <c r="H100" s="44">
        <f t="shared" si="16"/>
        <v>209.54367288709147</v>
      </c>
      <c r="I100" s="44">
        <f t="shared" si="16"/>
        <v>230.03388674999985</v>
      </c>
    </row>
    <row r="101" spans="1:9" ht="14.25">
      <c r="A101" s="43" t="str">
        <f>HLOOKUP(INDICE!$F$2,Nombres!$C$3:$D$636,282,FALSE)</f>
        <v>Regulatory capital allocated</v>
      </c>
      <c r="B101" s="58">
        <v>223.30577849544156</v>
      </c>
      <c r="C101" s="58">
        <v>221.35102648694559</v>
      </c>
      <c r="D101" s="58">
        <v>267.17089093384783</v>
      </c>
      <c r="E101" s="65">
        <v>188.42408992093434</v>
      </c>
      <c r="F101" s="44">
        <v>194.578581919121</v>
      </c>
      <c r="G101" s="44">
        <v>192.27024152044638</v>
      </c>
      <c r="H101" s="44">
        <v>218.22175902906474</v>
      </c>
      <c r="I101" s="44">
        <v>222.971635</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Relevant business indicators</v>
      </c>
      <c r="B104" s="34"/>
      <c r="C104" s="34"/>
      <c r="D104" s="34"/>
      <c r="E104" s="34"/>
      <c r="F104" s="69"/>
      <c r="G104" s="69"/>
      <c r="H104" s="69"/>
      <c r="I104" s="69"/>
    </row>
    <row r="105" spans="1:9" ht="14.25">
      <c r="A105" s="35" t="str">
        <f>HLOOKUP(INDICE!$F$2,Nombres!$C$3:$D$636,73,FALSE)</f>
        <v>(Constant million euros)    </v>
      </c>
      <c r="B105" s="30"/>
      <c r="C105" s="30"/>
      <c r="D105" s="30"/>
      <c r="E105" s="30"/>
      <c r="F105" s="70"/>
      <c r="G105" s="44"/>
      <c r="H105" s="44"/>
      <c r="I105" s="44"/>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43" t="str">
        <f>HLOOKUP(INDICE!$F$2,Nombres!$C$3:$D$636,66,FALSE)</f>
        <v>Loans and advances to customers (gross) (*)</v>
      </c>
      <c r="B107" s="44">
        <v>1583.0019338512527</v>
      </c>
      <c r="C107" s="44">
        <v>1458.804653079099</v>
      </c>
      <c r="D107" s="44">
        <v>1463.558780081447</v>
      </c>
      <c r="E107" s="45">
        <v>1423.0723054301293</v>
      </c>
      <c r="F107" s="44">
        <v>1400.4524888947294</v>
      </c>
      <c r="G107" s="44">
        <v>1399.4430946605735</v>
      </c>
      <c r="H107" s="44">
        <v>1405.9850674333134</v>
      </c>
      <c r="I107" s="44">
        <v>1454.9930000000002</v>
      </c>
    </row>
    <row r="108" spans="1:9" ht="14.25">
      <c r="A108" s="43" t="str">
        <f>HLOOKUP(INDICE!$F$2,Nombres!$C$3:$D$636,67,FALSE)</f>
        <v>Customer deposits under management (*)</v>
      </c>
      <c r="B108" s="44">
        <v>3.9532671144864073</v>
      </c>
      <c r="C108" s="44">
        <v>3.395028917195016</v>
      </c>
      <c r="D108" s="44">
        <v>4.3949647429325625</v>
      </c>
      <c r="E108" s="45">
        <v>4.517530638647451</v>
      </c>
      <c r="F108" s="44">
        <v>4.7464723156935476</v>
      </c>
      <c r="G108" s="44">
        <v>6.563397375417786</v>
      </c>
      <c r="H108" s="44">
        <v>6.208068664375239</v>
      </c>
      <c r="I108" s="44">
        <v>7.503</v>
      </c>
    </row>
    <row r="109" spans="1:9" ht="14.25">
      <c r="A109" s="43" t="str">
        <f>HLOOKUP(INDICE!$F$2,Nombres!$C$3:$D$636,68,FALSE)</f>
        <v>Mutual funds</v>
      </c>
      <c r="B109" s="44">
        <v>0</v>
      </c>
      <c r="C109" s="44">
        <v>0</v>
      </c>
      <c r="D109" s="44">
        <v>0</v>
      </c>
      <c r="E109" s="45">
        <v>0</v>
      </c>
      <c r="F109" s="44">
        <v>0</v>
      </c>
      <c r="G109" s="44">
        <v>0</v>
      </c>
      <c r="H109" s="44">
        <v>0</v>
      </c>
      <c r="I109" s="44">
        <v>0</v>
      </c>
    </row>
    <row r="110" spans="1:9" ht="14.25">
      <c r="A110" s="43" t="str">
        <f>HLOOKUP(INDICE!$F$2,Nombres!$C$3:$D$636,69,FALSE)</f>
        <v>Pension funds</v>
      </c>
      <c r="B110" s="44">
        <v>0</v>
      </c>
      <c r="C110" s="44">
        <v>0</v>
      </c>
      <c r="D110" s="44">
        <v>0</v>
      </c>
      <c r="E110" s="45">
        <v>0</v>
      </c>
      <c r="F110" s="44">
        <v>0</v>
      </c>
      <c r="G110" s="44">
        <v>0</v>
      </c>
      <c r="H110" s="44">
        <v>0</v>
      </c>
      <c r="I110" s="44">
        <v>0</v>
      </c>
    </row>
    <row r="111" spans="1:9" ht="14.25">
      <c r="A111" s="43" t="str">
        <f>HLOOKUP(INDICE!$F$2,Nombres!$C$3:$D$636,70,FALSE)</f>
        <v>Other off balance-sheet funds</v>
      </c>
      <c r="B111" s="44">
        <v>0</v>
      </c>
      <c r="C111" s="44">
        <v>0</v>
      </c>
      <c r="D111" s="44">
        <v>0</v>
      </c>
      <c r="E111" s="45">
        <v>0</v>
      </c>
      <c r="F111" s="44">
        <v>0</v>
      </c>
      <c r="G111" s="44">
        <v>0</v>
      </c>
      <c r="H111" s="44">
        <v>0</v>
      </c>
      <c r="I111" s="44">
        <v>0</v>
      </c>
    </row>
    <row r="112" spans="1:9" ht="14.25">
      <c r="A112" s="62" t="str">
        <f>HLOOKUP(INDICE!$F$2,Nombres!$C$3:$D$636,71,FALSE)</f>
        <v>(*) Excluding repos. </v>
      </c>
      <c r="B112" s="58"/>
      <c r="C112" s="58"/>
      <c r="D112" s="58"/>
      <c r="E112" s="58"/>
      <c r="F112" s="58"/>
      <c r="G112" s="58"/>
      <c r="H112" s="58"/>
      <c r="I112" s="58"/>
    </row>
    <row r="113" spans="1:9" ht="14.25">
      <c r="A113" s="62">
        <f>HLOOKUP(INDICE!$F$2,Nombres!$C$3:$D$636,72,FALSE)</f>
        <v>0</v>
      </c>
      <c r="B113" s="30"/>
      <c r="C113" s="30"/>
      <c r="D113" s="30"/>
      <c r="E113" s="30"/>
      <c r="F113" s="30"/>
      <c r="G113" s="30"/>
      <c r="H113" s="30"/>
      <c r="I113" s="30"/>
    </row>
    <row r="114" spans="1:9" ht="14.25">
      <c r="A114" s="62"/>
      <c r="B114" s="58"/>
      <c r="C114" s="44"/>
      <c r="D114" s="44"/>
      <c r="E114" s="44"/>
      <c r="F114" s="44"/>
      <c r="G114" s="30"/>
      <c r="H114" s="30"/>
      <c r="I114" s="30"/>
    </row>
    <row r="115" spans="1:9" ht="16.5">
      <c r="A115" s="33" t="str">
        <f>HLOOKUP(INDICE!$F$2,Nombres!$C$3:$D$636,31,FALSE)</f>
        <v>Income statement  </v>
      </c>
      <c r="B115" s="34"/>
      <c r="C115" s="34"/>
      <c r="D115" s="34"/>
      <c r="E115" s="34"/>
      <c r="F115" s="34"/>
      <c r="G115" s="34"/>
      <c r="H115" s="34"/>
      <c r="I115" s="34"/>
    </row>
    <row r="116" spans="1:9" ht="14.25">
      <c r="A116" s="35" t="str">
        <f>HLOOKUP(INDICE!$F$2,Nombres!$C$3:$D$636,81,FALSE)</f>
        <v>(Million Chilean pesos)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6">
        <f>+B$6</f>
        <v>2020</v>
      </c>
      <c r="C118" s="306"/>
      <c r="D118" s="306"/>
      <c r="E118" s="307"/>
      <c r="F118" s="306">
        <f>+F$6</f>
        <v>2021</v>
      </c>
      <c r="G118" s="306"/>
      <c r="H118" s="306"/>
      <c r="I118" s="306"/>
    </row>
    <row r="119" spans="1:9" ht="14.25">
      <c r="A119" s="38"/>
      <c r="B119" s="39" t="str">
        <f>+B$7</f>
        <v>1Q</v>
      </c>
      <c r="C119" s="39" t="str">
        <f aca="true" t="shared" si="18" ref="C119:I119">+C$7</f>
        <v>2Q</v>
      </c>
      <c r="D119" s="39" t="str">
        <f t="shared" si="18"/>
        <v>3Q</v>
      </c>
      <c r="E119" s="40" t="str">
        <f t="shared" si="18"/>
        <v>4Q</v>
      </c>
      <c r="F119" s="39" t="str">
        <f t="shared" si="18"/>
        <v>1Q</v>
      </c>
      <c r="G119" s="39" t="str">
        <f t="shared" si="18"/>
        <v>2Q</v>
      </c>
      <c r="H119" s="39" t="str">
        <f t="shared" si="18"/>
        <v>3Q</v>
      </c>
      <c r="I119" s="39" t="str">
        <f t="shared" si="18"/>
        <v>4Q</v>
      </c>
    </row>
    <row r="120" spans="1:9" ht="14.25">
      <c r="A120" s="41" t="str">
        <f>HLOOKUP(INDICE!$F$2,Nombres!$C$3:$D$636,33,FALSE)</f>
        <v>Net interest income</v>
      </c>
      <c r="B120" s="50">
        <v>33617.92847489838</v>
      </c>
      <c r="C120" s="50">
        <v>30867.516464607048</v>
      </c>
      <c r="D120" s="50">
        <v>26930.025389493356</v>
      </c>
      <c r="E120" s="279">
        <v>29065.499919659036</v>
      </c>
      <c r="F120" s="50">
        <v>29187.247061492388</v>
      </c>
      <c r="G120" s="50">
        <v>31582.71518158211</v>
      </c>
      <c r="H120" s="50">
        <v>31085.245824274218</v>
      </c>
      <c r="I120" s="50">
        <v>32803.978297593545</v>
      </c>
    </row>
    <row r="121" spans="1:9" ht="14.25">
      <c r="A121" s="43" t="str">
        <f>HLOOKUP(INDICE!$F$2,Nombres!$C$3:$D$636,34,FALSE)</f>
        <v>Net fees and commissions</v>
      </c>
      <c r="B121" s="44">
        <v>1131.4577212398638</v>
      </c>
      <c r="C121" s="44">
        <v>-885.2138676744896</v>
      </c>
      <c r="D121" s="44">
        <v>-2280.402549538465</v>
      </c>
      <c r="E121" s="45">
        <v>-123.25385386457992</v>
      </c>
      <c r="F121" s="44">
        <v>-3654.404935679096</v>
      </c>
      <c r="G121" s="44">
        <v>-3944.660920771166</v>
      </c>
      <c r="H121" s="44">
        <v>-915.6171720115558</v>
      </c>
      <c r="I121" s="44">
        <v>1936.662686834828</v>
      </c>
    </row>
    <row r="122" spans="1:9" ht="14.25">
      <c r="A122" s="43" t="str">
        <f>HLOOKUP(INDICE!$F$2,Nombres!$C$3:$D$636,35,FALSE)</f>
        <v>Net trading income</v>
      </c>
      <c r="B122" s="44">
        <v>306.32579933411034</v>
      </c>
      <c r="C122" s="44">
        <v>59.010536137426726</v>
      </c>
      <c r="D122" s="44">
        <v>-3.92843246524194</v>
      </c>
      <c r="E122" s="45">
        <v>57.61236619616653</v>
      </c>
      <c r="F122" s="44">
        <v>34.90358104755584</v>
      </c>
      <c r="G122" s="44">
        <v>-29.696363695031685</v>
      </c>
      <c r="H122" s="44">
        <v>456.07092889623596</v>
      </c>
      <c r="I122" s="44">
        <v>403.2821907222768</v>
      </c>
    </row>
    <row r="123" spans="1:9" ht="14.25">
      <c r="A123" s="43" t="str">
        <f>HLOOKUP(INDICE!$F$2,Nombres!$C$3:$D$636,36,FALSE)</f>
        <v>Other operating income and expenses</v>
      </c>
      <c r="B123" s="44">
        <v>39.84006060703747</v>
      </c>
      <c r="C123" s="44">
        <v>-82.82080595663008</v>
      </c>
      <c r="D123" s="44">
        <v>-23.712982387229957</v>
      </c>
      <c r="E123" s="45">
        <v>-258.4082052650874</v>
      </c>
      <c r="F123" s="44">
        <v>-436.294763094448</v>
      </c>
      <c r="G123" s="44">
        <v>341.69698119025895</v>
      </c>
      <c r="H123" s="44">
        <v>158.98268568269657</v>
      </c>
      <c r="I123" s="44">
        <v>-71.56712880007389</v>
      </c>
    </row>
    <row r="124" spans="1:9" ht="14.25">
      <c r="A124" s="41" t="str">
        <f>HLOOKUP(INDICE!$F$2,Nombres!$C$3:$D$636,37,FALSE)</f>
        <v>Gross income</v>
      </c>
      <c r="B124" s="50">
        <f aca="true" t="shared" si="19" ref="B124:I124">+SUM(B120:B123)</f>
        <v>35095.55205607939</v>
      </c>
      <c r="C124" s="50">
        <f t="shared" si="19"/>
        <v>29958.492327113352</v>
      </c>
      <c r="D124" s="50">
        <f t="shared" si="19"/>
        <v>24621.981425102418</v>
      </c>
      <c r="E124" s="279">
        <f t="shared" si="19"/>
        <v>28741.450226725538</v>
      </c>
      <c r="F124" s="50">
        <f t="shared" si="19"/>
        <v>25131.4509437664</v>
      </c>
      <c r="G124" s="50">
        <f t="shared" si="19"/>
        <v>27950.05487830617</v>
      </c>
      <c r="H124" s="50">
        <f t="shared" si="19"/>
        <v>30784.68226684159</v>
      </c>
      <c r="I124" s="50">
        <f t="shared" si="19"/>
        <v>35072.35604635057</v>
      </c>
    </row>
    <row r="125" spans="1:9" ht="14.25">
      <c r="A125" s="43" t="str">
        <f>HLOOKUP(INDICE!$F$2,Nombres!$C$3:$D$636,38,FALSE)</f>
        <v>Operating expenses</v>
      </c>
      <c r="B125" s="44">
        <v>-11563.356257522588</v>
      </c>
      <c r="C125" s="44">
        <v>-8317.029331053554</v>
      </c>
      <c r="D125" s="44">
        <v>-10713.108844213602</v>
      </c>
      <c r="E125" s="45">
        <v>-11544.231388882812</v>
      </c>
      <c r="F125" s="44">
        <v>-12588.849094327203</v>
      </c>
      <c r="G125" s="44">
        <v>-11546.603334622294</v>
      </c>
      <c r="H125" s="44">
        <v>-8050.825565421449</v>
      </c>
      <c r="I125" s="44">
        <v>-11228.476704741623</v>
      </c>
    </row>
    <row r="126" spans="1:9" ht="14.25">
      <c r="A126" s="43" t="str">
        <f>HLOOKUP(INDICE!$F$2,Nombres!$C$3:$D$636,39,FALSE)</f>
        <v>  Administration expenses</v>
      </c>
      <c r="B126" s="44">
        <v>-10835.611150434037</v>
      </c>
      <c r="C126" s="44">
        <v>-7594.174282593356</v>
      </c>
      <c r="D126" s="44">
        <v>-9965.519784220322</v>
      </c>
      <c r="E126" s="45">
        <v>-10714.457322882052</v>
      </c>
      <c r="F126" s="44">
        <v>-11610.676235469451</v>
      </c>
      <c r="G126" s="44">
        <v>-10584.21986010604</v>
      </c>
      <c r="H126" s="44">
        <v>-7078.185499063799</v>
      </c>
      <c r="I126" s="44">
        <v>-10116.035979885393</v>
      </c>
    </row>
    <row r="127" spans="1:9" ht="14.25">
      <c r="A127" s="46" t="str">
        <f>HLOOKUP(INDICE!$F$2,Nombres!$C$3:$D$636,40,FALSE)</f>
        <v>  Personnel expenses</v>
      </c>
      <c r="B127" s="44">
        <v>-4887.047434463264</v>
      </c>
      <c r="C127" s="44">
        <v>-3675.970644248279</v>
      </c>
      <c r="D127" s="44">
        <v>-4295.3523756296345</v>
      </c>
      <c r="E127" s="45">
        <v>-3275.7160318036085</v>
      </c>
      <c r="F127" s="44">
        <v>-4873.412503764985</v>
      </c>
      <c r="G127" s="44">
        <v>-4851.06590207389</v>
      </c>
      <c r="H127" s="44">
        <v>-5068.173733519071</v>
      </c>
      <c r="I127" s="44">
        <v>-5564.466906143884</v>
      </c>
    </row>
    <row r="128" spans="1:9" ht="14.25">
      <c r="A128" s="46" t="str">
        <f>HLOOKUP(INDICE!$F$2,Nombres!$C$3:$D$636,41,FALSE)</f>
        <v>  General and administrative expenses</v>
      </c>
      <c r="B128" s="44">
        <v>-5948.563715970773</v>
      </c>
      <c r="C128" s="44">
        <v>-3918.2036383450777</v>
      </c>
      <c r="D128" s="44">
        <v>-5670.167408590687</v>
      </c>
      <c r="E128" s="45">
        <v>-7438.741291078444</v>
      </c>
      <c r="F128" s="44">
        <v>-6737.263731704466</v>
      </c>
      <c r="G128" s="44">
        <v>-5733.153958032151</v>
      </c>
      <c r="H128" s="44">
        <v>-2010.011765544728</v>
      </c>
      <c r="I128" s="44">
        <v>-4551.569073741511</v>
      </c>
    </row>
    <row r="129" spans="1:9" ht="14.25">
      <c r="A129" s="43" t="str">
        <f>HLOOKUP(INDICE!$F$2,Nombres!$C$3:$D$636,42,FALSE)</f>
        <v>  Depreciation</v>
      </c>
      <c r="B129" s="44">
        <v>-727.7451070885513</v>
      </c>
      <c r="C129" s="44">
        <v>-722.855048460199</v>
      </c>
      <c r="D129" s="44">
        <v>-747.5890599932793</v>
      </c>
      <c r="E129" s="45">
        <v>-829.7740660007596</v>
      </c>
      <c r="F129" s="44">
        <v>-978.1728588577524</v>
      </c>
      <c r="G129" s="44">
        <v>-962.3834745162521</v>
      </c>
      <c r="H129" s="44">
        <v>-972.6400663576488</v>
      </c>
      <c r="I129" s="44">
        <v>-1112.4407248562275</v>
      </c>
    </row>
    <row r="130" spans="1:9" ht="14.25">
      <c r="A130" s="41" t="str">
        <f>HLOOKUP(INDICE!$F$2,Nombres!$C$3:$D$636,43,FALSE)</f>
        <v>Operating income</v>
      </c>
      <c r="B130" s="50">
        <f aca="true" t="shared" si="20" ref="B130:I130">+B124+B125</f>
        <v>23532.1957985568</v>
      </c>
      <c r="C130" s="50">
        <f t="shared" si="20"/>
        <v>21641.462996059796</v>
      </c>
      <c r="D130" s="50">
        <f t="shared" si="20"/>
        <v>13908.872580888816</v>
      </c>
      <c r="E130" s="279">
        <f t="shared" si="20"/>
        <v>17197.218837842724</v>
      </c>
      <c r="F130" s="50">
        <f t="shared" si="20"/>
        <v>12542.601849439196</v>
      </c>
      <c r="G130" s="50">
        <f t="shared" si="20"/>
        <v>16403.451543683877</v>
      </c>
      <c r="H130" s="50">
        <f t="shared" si="20"/>
        <v>22733.856701420144</v>
      </c>
      <c r="I130" s="50">
        <f t="shared" si="20"/>
        <v>23843.879341608947</v>
      </c>
    </row>
    <row r="131" spans="1:9" ht="14.25">
      <c r="A131" s="43" t="str">
        <f>HLOOKUP(INDICE!$F$2,Nombres!$C$3:$D$636,44,FALSE)</f>
        <v>Impaiment on financial assets not measured at fair value through profit or loss</v>
      </c>
      <c r="B131" s="44">
        <v>-16263.598074472859</v>
      </c>
      <c r="C131" s="44">
        <v>-20909.37405975604</v>
      </c>
      <c r="D131" s="44">
        <v>711.3309271898011</v>
      </c>
      <c r="E131" s="45">
        <v>-7903.032855696552</v>
      </c>
      <c r="F131" s="44">
        <v>453.746553618226</v>
      </c>
      <c r="G131" s="44">
        <v>1363.5723024127078</v>
      </c>
      <c r="H131" s="44">
        <v>-4884.862627834353</v>
      </c>
      <c r="I131" s="44">
        <v>-5918.317508303654</v>
      </c>
    </row>
    <row r="132" spans="1:9" ht="14.25">
      <c r="A132" s="43" t="str">
        <f>HLOOKUP(INDICE!$F$2,Nombres!$C$3:$D$636,45,FALSE)</f>
        <v>Provisions or reversal of provisions and other results</v>
      </c>
      <c r="B132" s="44">
        <v>-226.64567812003543</v>
      </c>
      <c r="C132" s="44">
        <v>-181.67140270109428</v>
      </c>
      <c r="D132" s="44">
        <v>-125.2327410734506</v>
      </c>
      <c r="E132" s="45">
        <v>-893.2864396138025</v>
      </c>
      <c r="F132" s="44">
        <v>397.02823441594774</v>
      </c>
      <c r="G132" s="44">
        <v>241.72376082701632</v>
      </c>
      <c r="H132" s="44">
        <v>436.38769935978667</v>
      </c>
      <c r="I132" s="44">
        <v>-3787.327418371704</v>
      </c>
    </row>
    <row r="133" spans="1:9" ht="14.25">
      <c r="A133" s="41" t="str">
        <f>HLOOKUP(INDICE!$F$2,Nombres!$C$3:$D$636,46,FALSE)</f>
        <v>Profit/(loss) before tax</v>
      </c>
      <c r="B133" s="50">
        <f aca="true" t="shared" si="21" ref="B133:I133">+B130+B131+B132</f>
        <v>7041.952045963906</v>
      </c>
      <c r="C133" s="50">
        <f t="shared" si="21"/>
        <v>550.4175336026625</v>
      </c>
      <c r="D133" s="50">
        <f t="shared" si="21"/>
        <v>14494.970767005167</v>
      </c>
      <c r="E133" s="279">
        <f t="shared" si="21"/>
        <v>8400.899542532368</v>
      </c>
      <c r="F133" s="50">
        <f t="shared" si="21"/>
        <v>13393.37663747337</v>
      </c>
      <c r="G133" s="50">
        <f t="shared" si="21"/>
        <v>18008.7476069236</v>
      </c>
      <c r="H133" s="50">
        <f t="shared" si="21"/>
        <v>18285.381772945577</v>
      </c>
      <c r="I133" s="50">
        <f t="shared" si="21"/>
        <v>14138.234414933588</v>
      </c>
    </row>
    <row r="134" spans="1:9" ht="14.25">
      <c r="A134" s="43" t="str">
        <f>HLOOKUP(INDICE!$F$2,Nombres!$C$3:$D$636,47,FALSE)</f>
        <v>Income tax</v>
      </c>
      <c r="B134" s="44">
        <v>-1183.6924673690917</v>
      </c>
      <c r="C134" s="44">
        <v>33.06209707270621</v>
      </c>
      <c r="D134" s="44">
        <v>-4108.2601884111755</v>
      </c>
      <c r="E134" s="45">
        <v>-1630.5612381579149</v>
      </c>
      <c r="F134" s="44">
        <v>-3052.318162608758</v>
      </c>
      <c r="G134" s="44">
        <v>-4488.600433404985</v>
      </c>
      <c r="H134" s="44">
        <v>-4409.977927257194</v>
      </c>
      <c r="I134" s="44">
        <v>-2084.068946997204</v>
      </c>
    </row>
    <row r="135" spans="1:9" ht="14.25">
      <c r="A135" s="41" t="str">
        <f>HLOOKUP(INDICE!$F$2,Nombres!$C$3:$D$636,48,FALSE)</f>
        <v>Profit/(loss) for the year</v>
      </c>
      <c r="B135" s="50">
        <f aca="true" t="shared" si="22" ref="B135:I135">+B133+B134</f>
        <v>5858.259578594814</v>
      </c>
      <c r="C135" s="50">
        <f t="shared" si="22"/>
        <v>583.4796306753688</v>
      </c>
      <c r="D135" s="50">
        <f t="shared" si="22"/>
        <v>10386.710578593991</v>
      </c>
      <c r="E135" s="279">
        <f t="shared" si="22"/>
        <v>6770.338304374453</v>
      </c>
      <c r="F135" s="50">
        <f t="shared" si="22"/>
        <v>10341.05847486461</v>
      </c>
      <c r="G135" s="50">
        <f t="shared" si="22"/>
        <v>13520.147173518615</v>
      </c>
      <c r="H135" s="50">
        <f t="shared" si="22"/>
        <v>13875.403845688383</v>
      </c>
      <c r="I135" s="50">
        <f t="shared" si="22"/>
        <v>12054.165467936384</v>
      </c>
    </row>
    <row r="136" spans="1:9" ht="14.25">
      <c r="A136" s="43" t="str">
        <f>HLOOKUP(INDICE!$F$2,Nombres!$C$3:$D$636,49,FALSE)</f>
        <v>Non-controlling interests</v>
      </c>
      <c r="B136" s="44">
        <v>0</v>
      </c>
      <c r="C136" s="44">
        <v>0</v>
      </c>
      <c r="D136" s="44">
        <v>0</v>
      </c>
      <c r="E136" s="45">
        <v>0</v>
      </c>
      <c r="F136" s="44">
        <v>0</v>
      </c>
      <c r="G136" s="44">
        <v>0</v>
      </c>
      <c r="H136" s="44">
        <v>0</v>
      </c>
      <c r="I136" s="44">
        <v>0</v>
      </c>
    </row>
    <row r="137" spans="1:9" ht="14.25">
      <c r="A137" s="47" t="str">
        <f>HLOOKUP(INDICE!$F$2,Nombres!$C$3:$D$636,50,FALSE)</f>
        <v>Net attributable profit</v>
      </c>
      <c r="B137" s="51">
        <f aca="true" t="shared" si="23" ref="B137:I137">+B135+B136</f>
        <v>5858.259578594814</v>
      </c>
      <c r="C137" s="51">
        <f t="shared" si="23"/>
        <v>583.4796306753688</v>
      </c>
      <c r="D137" s="51">
        <f t="shared" si="23"/>
        <v>10386.710578593991</v>
      </c>
      <c r="E137" s="80">
        <f t="shared" si="23"/>
        <v>6770.338304374453</v>
      </c>
      <c r="F137" s="51">
        <f t="shared" si="23"/>
        <v>10341.05847486461</v>
      </c>
      <c r="G137" s="51">
        <f t="shared" si="23"/>
        <v>13520.147173518615</v>
      </c>
      <c r="H137" s="51">
        <f t="shared" si="23"/>
        <v>13875.403845688383</v>
      </c>
      <c r="I137" s="51">
        <f t="shared" si="23"/>
        <v>12054.165467936384</v>
      </c>
    </row>
    <row r="138" spans="1:9" ht="14.25">
      <c r="A138" s="277"/>
      <c r="B138" s="278"/>
      <c r="C138" s="278"/>
      <c r="D138" s="278"/>
      <c r="E138" s="278"/>
      <c r="F138" s="278"/>
      <c r="G138" s="278"/>
      <c r="H138" s="278"/>
      <c r="I138" s="278"/>
    </row>
    <row r="139" spans="1:9" ht="14.25">
      <c r="A139" s="41"/>
      <c r="B139" s="41"/>
      <c r="C139" s="41"/>
      <c r="D139" s="41"/>
      <c r="E139" s="41"/>
      <c r="F139" s="50"/>
      <c r="G139" s="50"/>
      <c r="H139" s="50"/>
      <c r="I139" s="50"/>
    </row>
    <row r="140" spans="1:9" ht="16.5">
      <c r="A140" s="33" t="str">
        <f>HLOOKUP(INDICE!$F$2,Nombres!$C$3:$D$636,51,FALSE)</f>
        <v>Balance sheets</v>
      </c>
      <c r="B140" s="34"/>
      <c r="C140" s="34"/>
      <c r="D140" s="34"/>
      <c r="E140" s="34"/>
      <c r="F140" s="69"/>
      <c r="G140" s="69"/>
      <c r="H140" s="69"/>
      <c r="I140" s="69"/>
    </row>
    <row r="141" spans="1:9" ht="14.25">
      <c r="A141" s="35" t="str">
        <f>HLOOKUP(INDICE!$F$2,Nombres!$C$3:$D$636,81,FALSE)</f>
        <v>(Million Chilean pesos)</v>
      </c>
      <c r="B141" s="30"/>
      <c r="C141" s="52"/>
      <c r="D141" s="52"/>
      <c r="E141" s="52"/>
      <c r="F141" s="70"/>
      <c r="G141" s="44"/>
      <c r="H141" s="44"/>
      <c r="I141" s="44"/>
    </row>
    <row r="142" spans="1:9" ht="14.25">
      <c r="A142" s="30"/>
      <c r="B142" s="53">
        <f aca="true" t="shared" si="24" ref="B142:I142">+B$30</f>
        <v>43921</v>
      </c>
      <c r="C142" s="53">
        <f t="shared" si="24"/>
        <v>44012</v>
      </c>
      <c r="D142" s="53">
        <f t="shared" si="24"/>
        <v>44104</v>
      </c>
      <c r="E142" s="68">
        <f t="shared" si="24"/>
        <v>44196</v>
      </c>
      <c r="F142" s="53">
        <f t="shared" si="24"/>
        <v>44286</v>
      </c>
      <c r="G142" s="53">
        <f t="shared" si="24"/>
        <v>44377</v>
      </c>
      <c r="H142" s="53">
        <f t="shared" si="24"/>
        <v>44469</v>
      </c>
      <c r="I142" s="53">
        <f t="shared" si="24"/>
        <v>44561</v>
      </c>
    </row>
    <row r="143" spans="1:9" ht="14.25">
      <c r="A143" s="43" t="str">
        <f>HLOOKUP(INDICE!$F$2,Nombres!$C$3:$D$636,52,FALSE)</f>
        <v>Cash, cash balances at central banks and other demand deposits</v>
      </c>
      <c r="B143" s="44">
        <v>8094.510825980325</v>
      </c>
      <c r="C143" s="44">
        <v>9733.974917464544</v>
      </c>
      <c r="D143" s="44">
        <v>22894.097650981723</v>
      </c>
      <c r="E143" s="45">
        <v>26516.80300755595</v>
      </c>
      <c r="F143" s="44">
        <v>17335.367293680392</v>
      </c>
      <c r="G143" s="44">
        <v>27787.05471706841</v>
      </c>
      <c r="H143" s="44">
        <v>16074.918245139399</v>
      </c>
      <c r="I143" s="44">
        <v>28905.60974547381</v>
      </c>
    </row>
    <row r="144" spans="1:9" ht="14.25">
      <c r="A144" s="43" t="str">
        <f>HLOOKUP(INDICE!$F$2,Nombres!$C$3:$D$636,53,FALSE)</f>
        <v>Financial assets designated at fair value </v>
      </c>
      <c r="B144" s="58">
        <v>0</v>
      </c>
      <c r="C144" s="58">
        <v>0</v>
      </c>
      <c r="D144" s="58">
        <v>149999.64433187645</v>
      </c>
      <c r="E144" s="65">
        <v>0</v>
      </c>
      <c r="F144" s="44">
        <v>0</v>
      </c>
      <c r="G144" s="44">
        <v>2432.6779978716495</v>
      </c>
      <c r="H144" s="44">
        <v>0</v>
      </c>
      <c r="I144" s="44">
        <v>0</v>
      </c>
    </row>
    <row r="145" spans="1:9" ht="14.25">
      <c r="A145" s="43" t="str">
        <f>HLOOKUP(INDICE!$F$2,Nombres!$C$3:$D$636,54,FALSE)</f>
        <v>Financial assets at amortized cost</v>
      </c>
      <c r="B145" s="44">
        <v>1590958.9495302497</v>
      </c>
      <c r="C145" s="44">
        <v>1521598.1751217728</v>
      </c>
      <c r="D145" s="44">
        <v>1473862.0689994046</v>
      </c>
      <c r="E145" s="45">
        <v>1547952.290378282</v>
      </c>
      <c r="F145" s="44">
        <v>1324641.8113747004</v>
      </c>
      <c r="G145" s="44">
        <v>1305028.6366613912</v>
      </c>
      <c r="H145" s="44">
        <v>1342079.813342471</v>
      </c>
      <c r="I145" s="44">
        <v>1396559.792168838</v>
      </c>
    </row>
    <row r="146" spans="1:9" ht="14.25">
      <c r="A146" s="43" t="str">
        <f>HLOOKUP(INDICE!$F$2,Nombres!$C$3:$D$636,55,FALSE)</f>
        <v>    of which loans and advances to customers</v>
      </c>
      <c r="B146" s="44">
        <v>1513743.9921356146</v>
      </c>
      <c r="C146" s="44">
        <v>1380133.7545237443</v>
      </c>
      <c r="D146" s="44">
        <v>1380661.8662782179</v>
      </c>
      <c r="E146" s="45">
        <v>1364192.0232850248</v>
      </c>
      <c r="F146" s="44">
        <v>1286071.3702453645</v>
      </c>
      <c r="G146" s="44">
        <v>1289868.9633190508</v>
      </c>
      <c r="H146" s="44">
        <v>1295909.5515154384</v>
      </c>
      <c r="I146" s="44">
        <v>1339829.6390382661</v>
      </c>
    </row>
    <row r="147" spans="1:9" ht="14.25">
      <c r="A147" s="43"/>
      <c r="B147" s="44"/>
      <c r="C147" s="44"/>
      <c r="D147" s="44"/>
      <c r="E147" s="45"/>
      <c r="F147" s="44"/>
      <c r="G147" s="44"/>
      <c r="H147" s="44"/>
      <c r="I147" s="44"/>
    </row>
    <row r="148" spans="1:9" ht="14.25">
      <c r="A148" s="43" t="str">
        <f>HLOOKUP(INDICE!$F$2,Nombres!$C$3:$D$636,56,FALSE)</f>
        <v>Tangible assets</v>
      </c>
      <c r="B148" s="44">
        <v>10544.189818218587</v>
      </c>
      <c r="C148" s="44">
        <v>9982.626417985803</v>
      </c>
      <c r="D148" s="44">
        <v>9567.449561931908</v>
      </c>
      <c r="E148" s="45">
        <v>8995.385945415674</v>
      </c>
      <c r="F148" s="44">
        <v>8408.87635597391</v>
      </c>
      <c r="G148" s="44">
        <v>7961.253318465731</v>
      </c>
      <c r="H148" s="44">
        <v>7479.173006160597</v>
      </c>
      <c r="I148" s="44">
        <v>7060.415698735576</v>
      </c>
    </row>
    <row r="149" spans="1:9" ht="14.25">
      <c r="A149" s="43" t="str">
        <f>HLOOKUP(INDICE!$F$2,Nombres!$C$3:$D$636,57,FALSE)</f>
        <v>Other assets</v>
      </c>
      <c r="B149" s="58">
        <f>+B150-B148-B145-B144-B143</f>
        <v>175171.51927691966</v>
      </c>
      <c r="C149" s="58">
        <f aca="true" t="shared" si="25" ref="C149:I149">+C150-C148-C145-C144-C143</f>
        <v>148232.86070780538</v>
      </c>
      <c r="D149" s="58">
        <f t="shared" si="25"/>
        <v>149011.40536516462</v>
      </c>
      <c r="E149" s="65">
        <f t="shared" si="25"/>
        <v>162216.18253094115</v>
      </c>
      <c r="F149" s="44">
        <f t="shared" si="25"/>
        <v>164386.83724728733</v>
      </c>
      <c r="G149" s="44">
        <f t="shared" si="25"/>
        <v>160879.1825510571</v>
      </c>
      <c r="H149" s="44">
        <f t="shared" si="25"/>
        <v>170142.3465646821</v>
      </c>
      <c r="I149" s="44">
        <f t="shared" si="25"/>
        <v>198469.43347003454</v>
      </c>
    </row>
    <row r="150" spans="1:9" ht="14.25">
      <c r="A150" s="47" t="str">
        <f>HLOOKUP(INDICE!$F$2,Nombres!$C$3:$D$636,58,FALSE)</f>
        <v>Total assets / Liabilities and equity</v>
      </c>
      <c r="B150" s="47">
        <v>1784769.1694513683</v>
      </c>
      <c r="C150" s="47">
        <v>1689547.6371650286</v>
      </c>
      <c r="D150" s="47">
        <v>1805334.6659093592</v>
      </c>
      <c r="E150" s="47">
        <v>1745680.6618621948</v>
      </c>
      <c r="F150" s="51">
        <v>1514772.892271642</v>
      </c>
      <c r="G150" s="51">
        <v>1504088.8052458542</v>
      </c>
      <c r="H150" s="51">
        <v>1535776.251158453</v>
      </c>
      <c r="I150" s="51">
        <v>1630995.2510830818</v>
      </c>
    </row>
    <row r="151" spans="1:9" ht="14.25">
      <c r="A151" s="43" t="str">
        <f>HLOOKUP(INDICE!$F$2,Nombres!$C$3:$D$636,59,FALSE)</f>
        <v>Financial liabilities held for trading and designated at fair value through profit or loss</v>
      </c>
      <c r="B151" s="58">
        <v>0</v>
      </c>
      <c r="C151" s="58">
        <v>0</v>
      </c>
      <c r="D151" s="58">
        <v>0</v>
      </c>
      <c r="E151" s="65">
        <v>0</v>
      </c>
      <c r="F151" s="44">
        <v>0</v>
      </c>
      <c r="G151" s="44">
        <v>0</v>
      </c>
      <c r="H151" s="44">
        <v>0</v>
      </c>
      <c r="I151" s="44">
        <v>0</v>
      </c>
    </row>
    <row r="152" spans="1:9" ht="14.25">
      <c r="A152" s="43" t="str">
        <f>HLOOKUP(INDICE!$F$2,Nombres!$C$3:$D$636,60,FALSE)</f>
        <v>Deposits from central banks and credit institutions</v>
      </c>
      <c r="B152" s="58">
        <v>537715.6652716604</v>
      </c>
      <c r="C152" s="58">
        <v>536676.7833180717</v>
      </c>
      <c r="D152" s="58">
        <v>541588.1818403038</v>
      </c>
      <c r="E152" s="65">
        <v>482097.2016053121</v>
      </c>
      <c r="F152" s="44">
        <v>363994.6428247061</v>
      </c>
      <c r="G152" s="44">
        <v>369345.88082197413</v>
      </c>
      <c r="H152" s="44">
        <v>354919.23278475815</v>
      </c>
      <c r="I152" s="44">
        <v>454724.2553548659</v>
      </c>
    </row>
    <row r="153" spans="1:9" ht="14.25">
      <c r="A153" s="43" t="str">
        <f>HLOOKUP(INDICE!$F$2,Nombres!$C$3:$D$636,61,FALSE)</f>
        <v>Deposits from customers</v>
      </c>
      <c r="B153" s="58">
        <v>3782.07441685839</v>
      </c>
      <c r="C153" s="58">
        <v>3248.0102255589336</v>
      </c>
      <c r="D153" s="58">
        <v>4204.644724443147</v>
      </c>
      <c r="E153" s="65">
        <v>4321.903013634879</v>
      </c>
      <c r="F153" s="44">
        <v>4540.930576061861</v>
      </c>
      <c r="G153" s="44">
        <v>6279.175320655773</v>
      </c>
      <c r="H153" s="44">
        <v>5939.233801732159</v>
      </c>
      <c r="I153" s="44">
        <v>7178.089293714502</v>
      </c>
    </row>
    <row r="154" spans="1:9" ht="14.25">
      <c r="A154" s="43" t="str">
        <f>HLOOKUP(INDICE!$F$2,Nombres!$C$3:$D$636,62,FALSE)</f>
        <v>Debt certificates</v>
      </c>
      <c r="B154" s="44">
        <v>904452.2894358187</v>
      </c>
      <c r="C154" s="44">
        <v>855792.2591381727</v>
      </c>
      <c r="D154" s="44">
        <v>868423.6387863376</v>
      </c>
      <c r="E154" s="45">
        <v>858446.2623268454</v>
      </c>
      <c r="F154" s="44">
        <v>743024.1230893725</v>
      </c>
      <c r="G154" s="44">
        <v>748434.5377609772</v>
      </c>
      <c r="H154" s="44">
        <v>765676.3522037738</v>
      </c>
      <c r="I154" s="44">
        <v>735704.3837546099</v>
      </c>
    </row>
    <row r="155" spans="1:9" ht="14.25">
      <c r="A155" s="43"/>
      <c r="B155" s="44"/>
      <c r="C155" s="44"/>
      <c r="D155" s="44"/>
      <c r="E155" s="45"/>
      <c r="F155" s="44"/>
      <c r="G155" s="44"/>
      <c r="H155" s="44"/>
      <c r="I155" s="44"/>
    </row>
    <row r="156" spans="1:9" ht="15.75" customHeight="1">
      <c r="A156" s="43" t="str">
        <f>HLOOKUP(INDICE!$F$2,Nombres!$C$3:$D$636,63,FALSE)</f>
        <v>Other liabilities</v>
      </c>
      <c r="B156" s="58">
        <f>+B150-B151-B152-B153-B154-B157</f>
        <v>125183.4189032387</v>
      </c>
      <c r="C156" s="58">
        <f aca="true" t="shared" si="26" ref="C156:I156">+C150-C151-C152-C153-C154-C157</f>
        <v>82064.96628001874</v>
      </c>
      <c r="D156" s="58">
        <f t="shared" si="26"/>
        <v>135516.9061687748</v>
      </c>
      <c r="E156" s="65">
        <f t="shared" si="26"/>
        <v>220550.74173242826</v>
      </c>
      <c r="F156" s="44">
        <f t="shared" si="26"/>
        <v>217060.66537235957</v>
      </c>
      <c r="G156" s="44">
        <f t="shared" si="26"/>
        <v>196085.06071478894</v>
      </c>
      <c r="H156" s="44">
        <f t="shared" si="26"/>
        <v>200469.5714935955</v>
      </c>
      <c r="I156" s="44">
        <f t="shared" si="26"/>
        <v>220072.4749662412</v>
      </c>
    </row>
    <row r="157" spans="1:9" ht="15.75" customHeight="1">
      <c r="A157" s="43" t="str">
        <f>HLOOKUP(INDICE!$F$2,Nombres!$C$3:$D$636,282,FALSE)</f>
        <v>Regulatory capital allocated</v>
      </c>
      <c r="B157" s="58">
        <v>213635.72142379198</v>
      </c>
      <c r="C157" s="58">
        <v>211765.61820320663</v>
      </c>
      <c r="D157" s="58">
        <v>255601.29438949996</v>
      </c>
      <c r="E157" s="65">
        <v>180264.55318397406</v>
      </c>
      <c r="F157" s="44">
        <v>186152.53040914203</v>
      </c>
      <c r="G157" s="44">
        <v>183944.15062745803</v>
      </c>
      <c r="H157" s="44">
        <v>208771.8608745936</v>
      </c>
      <c r="I157" s="44">
        <v>213316.04771365024</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Relevant business indicators</v>
      </c>
      <c r="B160" s="34"/>
      <c r="C160" s="34"/>
      <c r="D160" s="34"/>
      <c r="E160" s="34"/>
      <c r="F160" s="69"/>
      <c r="G160" s="69"/>
      <c r="H160" s="69"/>
      <c r="I160" s="69"/>
    </row>
    <row r="161" spans="1:9" ht="14.25">
      <c r="A161" s="35" t="str">
        <f>HLOOKUP(INDICE!$F$2,Nombres!$C$3:$D$636,81,FALSE)</f>
        <v>(Million Chilean pesos)</v>
      </c>
      <c r="B161" s="30"/>
      <c r="C161" s="30"/>
      <c r="D161" s="30"/>
      <c r="E161" s="30"/>
      <c r="F161" s="70"/>
      <c r="G161" s="44"/>
      <c r="H161" s="44"/>
      <c r="I161" s="44"/>
    </row>
    <row r="162" spans="1:9" ht="14.25">
      <c r="A162" s="30"/>
      <c r="B162" s="53">
        <f aca="true" t="shared" si="27" ref="B162:I162">+B$30</f>
        <v>43921</v>
      </c>
      <c r="C162" s="53">
        <f t="shared" si="27"/>
        <v>44012</v>
      </c>
      <c r="D162" s="53">
        <f t="shared" si="27"/>
        <v>44104</v>
      </c>
      <c r="E162" s="68">
        <f t="shared" si="27"/>
        <v>44196</v>
      </c>
      <c r="F162" s="53">
        <f t="shared" si="27"/>
        <v>44286</v>
      </c>
      <c r="G162" s="53">
        <f t="shared" si="27"/>
        <v>44377</v>
      </c>
      <c r="H162" s="53">
        <f t="shared" si="27"/>
        <v>44469</v>
      </c>
      <c r="I162" s="53">
        <f t="shared" si="27"/>
        <v>44561</v>
      </c>
    </row>
    <row r="163" spans="1:9" ht="14.25">
      <c r="A163" s="43" t="str">
        <f>HLOOKUP(INDICE!$F$2,Nombres!$C$3:$D$636,66,FALSE)</f>
        <v>Loans and advances to customers (gross) (*)</v>
      </c>
      <c r="B163" s="44">
        <v>1514451.4505273928</v>
      </c>
      <c r="C163" s="44">
        <v>1395632.421949617</v>
      </c>
      <c r="D163" s="44">
        <v>1400180.6757329723</v>
      </c>
      <c r="E163" s="45">
        <v>1361447.43166595</v>
      </c>
      <c r="F163" s="44">
        <v>1339807.1460603876</v>
      </c>
      <c r="G163" s="44">
        <v>1338841.4627410038</v>
      </c>
      <c r="H163" s="44">
        <v>1345100.1412322442</v>
      </c>
      <c r="I163" s="44">
        <v>1391985.8290989662</v>
      </c>
    </row>
    <row r="164" spans="1:9" ht="14.25">
      <c r="A164" s="43" t="str">
        <f>HLOOKUP(INDICE!$F$2,Nombres!$C$3:$D$636,67,FALSE)</f>
        <v>Customer deposits under management (*)</v>
      </c>
      <c r="B164" s="44">
        <v>3782.07441685839</v>
      </c>
      <c r="C164" s="44">
        <v>3248.010225558934</v>
      </c>
      <c r="D164" s="44">
        <v>4204.644724443147</v>
      </c>
      <c r="E164" s="45">
        <v>4321.903013634879</v>
      </c>
      <c r="F164" s="44">
        <v>4540.93057606186</v>
      </c>
      <c r="G164" s="44">
        <v>6279.175320655774</v>
      </c>
      <c r="H164" s="44">
        <v>5939.233801732159</v>
      </c>
      <c r="I164" s="44">
        <v>7178.089293714502</v>
      </c>
    </row>
    <row r="165" spans="1:9" ht="14.25">
      <c r="A165" s="43" t="str">
        <f>HLOOKUP(INDICE!$F$2,Nombres!$C$3:$D$636,68,FALSE)</f>
        <v>Mutual funds</v>
      </c>
      <c r="B165" s="44">
        <v>0</v>
      </c>
      <c r="C165" s="44">
        <v>0</v>
      </c>
      <c r="D165" s="44">
        <v>0</v>
      </c>
      <c r="E165" s="45">
        <v>0</v>
      </c>
      <c r="F165" s="44">
        <v>0</v>
      </c>
      <c r="G165" s="44">
        <v>0</v>
      </c>
      <c r="H165" s="44">
        <v>0</v>
      </c>
      <c r="I165" s="44">
        <v>0</v>
      </c>
    </row>
    <row r="166" spans="1:9" ht="14.25">
      <c r="A166" s="43" t="str">
        <f>HLOOKUP(INDICE!$F$2,Nombres!$C$3:$D$636,69,FALSE)</f>
        <v>Pension funds</v>
      </c>
      <c r="B166" s="44">
        <v>0</v>
      </c>
      <c r="C166" s="44">
        <v>0</v>
      </c>
      <c r="D166" s="44">
        <v>0</v>
      </c>
      <c r="E166" s="45">
        <v>0</v>
      </c>
      <c r="F166" s="44">
        <v>0</v>
      </c>
      <c r="G166" s="44">
        <v>0</v>
      </c>
      <c r="H166" s="44">
        <v>0</v>
      </c>
      <c r="I166" s="44">
        <v>0</v>
      </c>
    </row>
    <row r="167" spans="1:9" ht="14.25">
      <c r="A167" s="43" t="str">
        <f>HLOOKUP(INDICE!$F$2,Nombres!$C$3:$D$636,70,FALSE)</f>
        <v>Other off balance-sheet funds</v>
      </c>
      <c r="B167" s="44">
        <v>0</v>
      </c>
      <c r="C167" s="44">
        <v>0</v>
      </c>
      <c r="D167" s="44">
        <v>0</v>
      </c>
      <c r="E167" s="45">
        <v>0</v>
      </c>
      <c r="F167" s="44">
        <v>0</v>
      </c>
      <c r="G167" s="44">
        <v>0</v>
      </c>
      <c r="H167" s="44">
        <v>0</v>
      </c>
      <c r="I167" s="44">
        <v>0</v>
      </c>
    </row>
    <row r="168" spans="1:9" ht="14.25">
      <c r="A168" s="62" t="str">
        <f>HLOOKUP(INDICE!$F$2,Nombres!$C$3:$D$636,71,FALSE)</f>
        <v>(*) Excluding repos. </v>
      </c>
      <c r="B168" s="44"/>
      <c r="C168" s="58"/>
      <c r="D168" s="58"/>
      <c r="E168" s="58"/>
      <c r="F168" s="44"/>
      <c r="G168" s="44"/>
      <c r="H168" s="44"/>
      <c r="I168" s="44"/>
    </row>
    <row r="169" spans="1:9" ht="14.25">
      <c r="A169" s="62">
        <f>HLOOKUP(INDICE!$F$2,Nombres!$C$3:$D$636,72,FALSE)</f>
        <v>0</v>
      </c>
      <c r="B169" s="30"/>
      <c r="C169" s="30"/>
      <c r="D169" s="30"/>
      <c r="E169" s="30"/>
      <c r="F169" s="30"/>
      <c r="G169" s="30"/>
      <c r="H169" s="30"/>
      <c r="I169" s="30"/>
    </row>
    <row r="170" spans="1:9" ht="14.25">
      <c r="A170" s="30"/>
      <c r="B170" s="30"/>
      <c r="C170" s="30"/>
      <c r="D170" s="30"/>
      <c r="E170" s="30"/>
      <c r="F170" s="30"/>
      <c r="G170" s="30"/>
      <c r="H170" s="30"/>
      <c r="I170" s="30"/>
    </row>
    <row r="171" spans="1:9" ht="14.25">
      <c r="A171" s="30"/>
      <c r="B171" s="30"/>
      <c r="C171" s="30"/>
      <c r="D171" s="30"/>
      <c r="E171" s="30"/>
      <c r="F171" s="30"/>
      <c r="G171" s="30"/>
      <c r="H171" s="30"/>
      <c r="I171" s="30"/>
    </row>
    <row r="172" spans="1:9" ht="14.25">
      <c r="A172" s="73"/>
      <c r="B172" s="74"/>
      <c r="C172" s="75"/>
      <c r="D172" s="75"/>
      <c r="E172" s="75"/>
      <c r="F172" s="74"/>
      <c r="G172" s="74"/>
      <c r="H172" s="74"/>
      <c r="I172" s="74"/>
    </row>
    <row r="173" spans="1:10" ht="14.25">
      <c r="A173" s="73"/>
      <c r="B173" s="74"/>
      <c r="C173" s="75"/>
      <c r="D173" s="75"/>
      <c r="E173" s="75"/>
      <c r="F173" s="74"/>
      <c r="G173" s="74"/>
      <c r="H173" s="74"/>
      <c r="I173" s="74"/>
      <c r="J173" s="74"/>
    </row>
    <row r="174" spans="1:10" ht="14.25">
      <c r="A174" s="74"/>
      <c r="B174" s="74"/>
      <c r="C174" s="74"/>
      <c r="D174" s="74"/>
      <c r="E174" s="74"/>
      <c r="F174" s="74"/>
      <c r="G174" s="74"/>
      <c r="H174" s="74"/>
      <c r="I174" s="74"/>
      <c r="J174" s="74"/>
    </row>
    <row r="175" spans="1:10" ht="14.25">
      <c r="A175" s="74"/>
      <c r="B175" s="74"/>
      <c r="C175" s="74"/>
      <c r="D175" s="74"/>
      <c r="E175" s="74"/>
      <c r="F175" s="74"/>
      <c r="G175" s="74"/>
      <c r="H175" s="74"/>
      <c r="I175" s="74"/>
      <c r="J175" s="74"/>
    </row>
    <row r="176" spans="1:15" ht="14.25">
      <c r="A176" s="74"/>
      <c r="B176" s="74"/>
      <c r="C176" s="74"/>
      <c r="D176" s="74"/>
      <c r="E176" s="74"/>
      <c r="F176" s="74"/>
      <c r="G176" s="74"/>
      <c r="H176" s="74"/>
      <c r="I176" s="74"/>
      <c r="J176" s="74"/>
      <c r="K176" s="74"/>
      <c r="L176" s="74"/>
      <c r="M176" s="74"/>
      <c r="N176" s="74"/>
      <c r="O176" s="74"/>
    </row>
    <row r="177" spans="1:15" ht="14.25">
      <c r="A177" s="74"/>
      <c r="B177" s="74"/>
      <c r="C177" s="74"/>
      <c r="D177" s="74"/>
      <c r="E177" s="74"/>
      <c r="F177" s="74"/>
      <c r="G177" s="74"/>
      <c r="H177" s="74"/>
      <c r="I177" s="74"/>
      <c r="J177" s="74"/>
      <c r="K177" s="74"/>
      <c r="L177" s="74"/>
      <c r="M177" s="74"/>
      <c r="N177" s="74"/>
      <c r="O177" s="74"/>
    </row>
    <row r="178" spans="1:15" ht="14.25">
      <c r="A178" s="74"/>
      <c r="B178" s="74"/>
      <c r="C178" s="74"/>
      <c r="D178" s="74"/>
      <c r="E178" s="74"/>
      <c r="F178" s="74"/>
      <c r="G178" s="74"/>
      <c r="H178" s="74"/>
      <c r="I178" s="74"/>
      <c r="J178" s="74"/>
      <c r="K178" s="74"/>
      <c r="L178" s="74"/>
      <c r="M178" s="74"/>
      <c r="N178" s="74"/>
      <c r="O178" s="74"/>
    </row>
    <row r="179" spans="1:15" ht="14.25">
      <c r="A179" s="74"/>
      <c r="B179" s="74"/>
      <c r="C179" s="74"/>
      <c r="D179" s="74"/>
      <c r="E179" s="74"/>
      <c r="F179" s="74"/>
      <c r="G179" s="74"/>
      <c r="H179" s="74"/>
      <c r="I179" s="74"/>
      <c r="J179" s="74"/>
      <c r="K179" s="74"/>
      <c r="L179" s="74"/>
      <c r="M179" s="74"/>
      <c r="N179" s="74"/>
      <c r="O179" s="74"/>
    </row>
    <row r="180" spans="1:15" ht="14.25">
      <c r="A180" s="74"/>
      <c r="B180" s="74"/>
      <c r="C180" s="74"/>
      <c r="D180" s="74"/>
      <c r="E180" s="74"/>
      <c r="F180" s="74"/>
      <c r="G180" s="74"/>
      <c r="H180" s="74"/>
      <c r="I180" s="74"/>
      <c r="J180" s="74"/>
      <c r="K180" s="74"/>
      <c r="L180" s="74"/>
      <c r="M180" s="74"/>
      <c r="N180" s="74"/>
      <c r="O180" s="74"/>
    </row>
    <row r="181" spans="11:15" ht="14.25">
      <c r="K181" s="74"/>
      <c r="L181" s="74"/>
      <c r="M181" s="74"/>
      <c r="N181" s="74"/>
      <c r="O181" s="74"/>
    </row>
    <row r="182" spans="11:15" ht="14.25">
      <c r="K182" s="74"/>
      <c r="L182" s="74"/>
      <c r="M182" s="74"/>
      <c r="N182" s="74"/>
      <c r="O182" s="74"/>
    </row>
    <row r="183" spans="11:15" ht="14.25">
      <c r="K183" s="74"/>
      <c r="L183" s="74"/>
      <c r="M183" s="74"/>
      <c r="N183" s="74"/>
      <c r="O183" s="74"/>
    </row>
    <row r="997" ht="14.25">
      <c r="A997" s="31" t="s">
        <v>396</v>
      </c>
    </row>
  </sheetData>
  <sheetProtection/>
  <mergeCells count="6">
    <mergeCell ref="B6:E6"/>
    <mergeCell ref="F6:I6"/>
    <mergeCell ref="B62:E62"/>
    <mergeCell ref="F62:I62"/>
    <mergeCell ref="B118:E118"/>
    <mergeCell ref="F118:I118"/>
  </mergeCells>
  <conditionalFormatting sqref="G26:I26">
    <cfRule type="cellIs" priority="18" dxfId="114" operator="notBetween">
      <formula>0.5</formula>
      <formula>-0.5</formula>
    </cfRule>
  </conditionalFormatting>
  <conditionalFormatting sqref="B26">
    <cfRule type="cellIs" priority="17" dxfId="114" operator="notBetween">
      <formula>0.5</formula>
      <formula>-0.5</formula>
    </cfRule>
  </conditionalFormatting>
  <conditionalFormatting sqref="C26">
    <cfRule type="cellIs" priority="16" dxfId="114" operator="notBetween">
      <formula>0.5</formula>
      <formula>-0.5</formula>
    </cfRule>
  </conditionalFormatting>
  <conditionalFormatting sqref="D26">
    <cfRule type="cellIs" priority="15" dxfId="114" operator="notBetween">
      <formula>0.5</formula>
      <formula>-0.5</formula>
    </cfRule>
  </conditionalFormatting>
  <conditionalFormatting sqref="E26">
    <cfRule type="cellIs" priority="14" dxfId="114" operator="notBetween">
      <formula>0.5</formula>
      <formula>-0.5</formula>
    </cfRule>
  </conditionalFormatting>
  <conditionalFormatting sqref="F26:I26">
    <cfRule type="cellIs" priority="13" dxfId="114" operator="notBetween">
      <formula>0.5</formula>
      <formula>-0.5</formula>
    </cfRule>
  </conditionalFormatting>
  <conditionalFormatting sqref="G82:I82">
    <cfRule type="cellIs" priority="12" dxfId="114" operator="notBetween">
      <formula>0.5</formula>
      <formula>-0.5</formula>
    </cfRule>
  </conditionalFormatting>
  <conditionalFormatting sqref="B82">
    <cfRule type="cellIs" priority="11" dxfId="114" operator="notBetween">
      <formula>0.5</formula>
      <formula>-0.5</formula>
    </cfRule>
  </conditionalFormatting>
  <conditionalFormatting sqref="C82">
    <cfRule type="cellIs" priority="10" dxfId="114" operator="notBetween">
      <formula>0.5</formula>
      <formula>-0.5</formula>
    </cfRule>
  </conditionalFormatting>
  <conditionalFormatting sqref="D82">
    <cfRule type="cellIs" priority="9" dxfId="114" operator="notBetween">
      <formula>0.5</formula>
      <formula>-0.5</formula>
    </cfRule>
  </conditionalFormatting>
  <conditionalFormatting sqref="E82">
    <cfRule type="cellIs" priority="8" dxfId="114" operator="notBetween">
      <formula>0.5</formula>
      <formula>-0.5</formula>
    </cfRule>
  </conditionalFormatting>
  <conditionalFormatting sqref="F82:I82">
    <cfRule type="cellIs" priority="7" dxfId="114" operator="notBetween">
      <formula>0.5</formula>
      <formula>-0.5</formula>
    </cfRule>
  </conditionalFormatting>
  <conditionalFormatting sqref="G138:I138">
    <cfRule type="cellIs" priority="6" dxfId="114" operator="notBetween">
      <formula>0.5</formula>
      <formula>-0.5</formula>
    </cfRule>
  </conditionalFormatting>
  <conditionalFormatting sqref="B138">
    <cfRule type="cellIs" priority="5" dxfId="114" operator="notBetween">
      <formula>0.5</formula>
      <formula>-0.5</formula>
    </cfRule>
  </conditionalFormatting>
  <conditionalFormatting sqref="C138">
    <cfRule type="cellIs" priority="4" dxfId="114" operator="notBetween">
      <formula>0.5</formula>
      <formula>-0.5</formula>
    </cfRule>
  </conditionalFormatting>
  <conditionalFormatting sqref="D138">
    <cfRule type="cellIs" priority="3" dxfId="114" operator="notBetween">
      <formula>0.5</formula>
      <formula>-0.5</formula>
    </cfRule>
  </conditionalFormatting>
  <conditionalFormatting sqref="E138">
    <cfRule type="cellIs" priority="2" dxfId="114" operator="notBetween">
      <formula>0.5</formula>
      <formula>-0.5</formula>
    </cfRule>
  </conditionalFormatting>
  <conditionalFormatting sqref="F138:I138">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 sqref="A1"/>
    </sheetView>
  </sheetViews>
  <sheetFormatPr defaultColWidth="11.421875" defaultRowHeight="15"/>
  <cols>
    <col min="1" max="1" width="62.00390625" style="31" customWidth="1"/>
    <col min="2" max="16384" width="11.421875" style="31" customWidth="1"/>
  </cols>
  <sheetData>
    <row r="1" spans="1:9" ht="16.5">
      <c r="A1" s="29" t="str">
        <f>HLOOKUP(INDICE!$F$2,Nombres!$C$3:$D$636,16,FALSE)</f>
        <v>Colombia</v>
      </c>
      <c r="B1" s="30"/>
      <c r="C1" s="30"/>
      <c r="D1" s="30"/>
      <c r="E1" s="30"/>
      <c r="F1" s="30"/>
      <c r="G1" s="30"/>
      <c r="H1" s="30"/>
      <c r="I1" s="30"/>
    </row>
    <row r="2" spans="1:9" ht="19.5">
      <c r="A2" s="32"/>
      <c r="B2" s="30"/>
      <c r="C2" s="30"/>
      <c r="D2" s="30"/>
      <c r="E2" s="30"/>
      <c r="F2" s="30"/>
      <c r="G2" s="30"/>
      <c r="H2" s="30"/>
      <c r="I2" s="30"/>
    </row>
    <row r="3" spans="1:9" ht="16.5">
      <c r="A3" s="33" t="str">
        <f>HLOOKUP(INDICE!$F$2,Nombres!$C$3:$D$636,31,FALSE)</f>
        <v>Income statement  </v>
      </c>
      <c r="B3" s="34"/>
      <c r="C3" s="34"/>
      <c r="D3" s="34"/>
      <c r="E3" s="34"/>
      <c r="F3" s="34"/>
      <c r="G3" s="34"/>
      <c r="H3" s="34"/>
      <c r="I3" s="34"/>
    </row>
    <row r="4" spans="1:9" ht="14.25">
      <c r="A4" s="35"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4.25">
      <c r="A8" s="41" t="str">
        <f>HLOOKUP(INDICE!$F$2,Nombres!$C$3:$D$636,33,FALSE)</f>
        <v>Net interest income</v>
      </c>
      <c r="B8" s="41">
        <v>209.53199999999998</v>
      </c>
      <c r="C8" s="41">
        <v>193.10299999999995</v>
      </c>
      <c r="D8" s="41">
        <v>184.44100000000006</v>
      </c>
      <c r="E8" s="42">
        <v>193.66700000000003</v>
      </c>
      <c r="F8" s="50">
        <v>200.88199999999998</v>
      </c>
      <c r="G8" s="50">
        <v>187.75100000000003</v>
      </c>
      <c r="H8" s="50">
        <v>186.068</v>
      </c>
      <c r="I8" s="50">
        <v>194.73200000000008</v>
      </c>
    </row>
    <row r="9" spans="1:9" ht="14.25">
      <c r="A9" s="43" t="str">
        <f>HLOOKUP(INDICE!$F$2,Nombres!$C$3:$D$636,34,FALSE)</f>
        <v>Net fees and commissions</v>
      </c>
      <c r="B9" s="44">
        <v>17.594351990000003</v>
      </c>
      <c r="C9" s="44">
        <v>11.686391200000003</v>
      </c>
      <c r="D9" s="44">
        <v>21.649565540000005</v>
      </c>
      <c r="E9" s="45">
        <v>19.253311119999992</v>
      </c>
      <c r="F9" s="44">
        <v>21.442577080000007</v>
      </c>
      <c r="G9" s="44">
        <v>21.786242820000002</v>
      </c>
      <c r="H9" s="44">
        <v>19.65197192</v>
      </c>
      <c r="I9" s="44">
        <v>19.837399600000012</v>
      </c>
    </row>
    <row r="10" spans="1:9" ht="14.25">
      <c r="A10" s="43" t="str">
        <f>HLOOKUP(INDICE!$F$2,Nombres!$C$3:$D$636,35,FALSE)</f>
        <v>Net trading income</v>
      </c>
      <c r="B10" s="44">
        <v>4.7974516400000065</v>
      </c>
      <c r="C10" s="44">
        <v>24.985644229999995</v>
      </c>
      <c r="D10" s="44">
        <v>27.707858250000008</v>
      </c>
      <c r="E10" s="45">
        <v>16.148772960000013</v>
      </c>
      <c r="F10" s="44">
        <v>7.323841200000001</v>
      </c>
      <c r="G10" s="44">
        <v>21.407726229999998</v>
      </c>
      <c r="H10" s="44">
        <v>18.564150070000004</v>
      </c>
      <c r="I10" s="44">
        <v>23.17207716</v>
      </c>
    </row>
    <row r="11" spans="1:9" ht="14.25">
      <c r="A11" s="43" t="str">
        <f>HLOOKUP(INDICE!$F$2,Nombres!$C$3:$D$636,36,FALSE)</f>
        <v>Other operating income and expenses</v>
      </c>
      <c r="B11" s="44">
        <v>-1.4140000000000015</v>
      </c>
      <c r="C11" s="44">
        <v>-1.8650000000000029</v>
      </c>
      <c r="D11" s="44">
        <v>-6.628000000000001</v>
      </c>
      <c r="E11" s="45">
        <v>-2.049999999999984</v>
      </c>
      <c r="F11" s="44">
        <v>-4.484</v>
      </c>
      <c r="G11" s="44">
        <v>-9.119</v>
      </c>
      <c r="H11" s="44">
        <v>-9.748999999999999</v>
      </c>
      <c r="I11" s="44">
        <v>-8.159000000000017</v>
      </c>
    </row>
    <row r="12" spans="1:9" ht="14.25">
      <c r="A12" s="41" t="str">
        <f>HLOOKUP(INDICE!$F$2,Nombres!$C$3:$D$636,37,FALSE)</f>
        <v>Gross income</v>
      </c>
      <c r="B12" s="41">
        <f>+SUM(B8:B11)</f>
        <v>230.50980363000002</v>
      </c>
      <c r="C12" s="41">
        <f aca="true" t="shared" si="0" ref="C12:I12">+SUM(C8:C11)</f>
        <v>227.91003542999994</v>
      </c>
      <c r="D12" s="41">
        <f t="shared" si="0"/>
        <v>227.17042379000006</v>
      </c>
      <c r="E12" s="42">
        <f t="shared" si="0"/>
        <v>227.01908408000003</v>
      </c>
      <c r="F12" s="50">
        <f t="shared" si="0"/>
        <v>225.16441827999998</v>
      </c>
      <c r="G12" s="50">
        <f t="shared" si="0"/>
        <v>221.82596905000005</v>
      </c>
      <c r="H12" s="50">
        <f t="shared" si="0"/>
        <v>214.53512199000002</v>
      </c>
      <c r="I12" s="50">
        <f t="shared" si="0"/>
        <v>229.5824767600001</v>
      </c>
    </row>
    <row r="13" spans="1:9" ht="14.25">
      <c r="A13" s="43" t="str">
        <f>HLOOKUP(INDICE!$F$2,Nombres!$C$3:$D$636,38,FALSE)</f>
        <v>Operating expenses</v>
      </c>
      <c r="B13" s="44">
        <v>-90.68152578</v>
      </c>
      <c r="C13" s="44">
        <v>-72.55752534999999</v>
      </c>
      <c r="D13" s="44">
        <v>-76.05266968000001</v>
      </c>
      <c r="E13" s="45">
        <v>-82.28224011999998</v>
      </c>
      <c r="F13" s="44">
        <v>-80.53327744</v>
      </c>
      <c r="G13" s="44">
        <v>-77.38861746</v>
      </c>
      <c r="H13" s="44">
        <v>-80.64310043</v>
      </c>
      <c r="I13" s="44">
        <v>-83.96221944000001</v>
      </c>
    </row>
    <row r="14" spans="1:9" ht="14.25">
      <c r="A14" s="43" t="str">
        <f>HLOOKUP(INDICE!$F$2,Nombres!$C$3:$D$636,39,FALSE)</f>
        <v>  Administration expenses</v>
      </c>
      <c r="B14" s="44">
        <v>-83.10552578000001</v>
      </c>
      <c r="C14" s="44">
        <v>-65.39852535</v>
      </c>
      <c r="D14" s="44">
        <v>-69.11366968</v>
      </c>
      <c r="E14" s="45">
        <v>-75.31924011999998</v>
      </c>
      <c r="F14" s="44">
        <v>-73.43127744</v>
      </c>
      <c r="G14" s="44">
        <v>-70.58161745999999</v>
      </c>
      <c r="H14" s="44">
        <v>-74.05010043</v>
      </c>
      <c r="I14" s="44">
        <v>-77.19521944000002</v>
      </c>
    </row>
    <row r="15" spans="1:9" ht="14.25">
      <c r="A15" s="46" t="str">
        <f>HLOOKUP(INDICE!$F$2,Nombres!$C$3:$D$636,40,FALSE)</f>
        <v>  Personnel expenses</v>
      </c>
      <c r="B15" s="44">
        <v>-42.254000000000005</v>
      </c>
      <c r="C15" s="44">
        <v>-32.894999999999996</v>
      </c>
      <c r="D15" s="44">
        <v>-34.292</v>
      </c>
      <c r="E15" s="45">
        <v>-36.596999999999994</v>
      </c>
      <c r="F15" s="44">
        <v>-37.051</v>
      </c>
      <c r="G15" s="44">
        <v>-34.51000001</v>
      </c>
      <c r="H15" s="44">
        <v>-37.00099999</v>
      </c>
      <c r="I15" s="44">
        <v>-35.537</v>
      </c>
    </row>
    <row r="16" spans="1:9" ht="14.25">
      <c r="A16" s="46" t="str">
        <f>HLOOKUP(INDICE!$F$2,Nombres!$C$3:$D$636,41,FALSE)</f>
        <v>  General and administrative expenses</v>
      </c>
      <c r="B16" s="44">
        <v>-40.85152578</v>
      </c>
      <c r="C16" s="44">
        <v>-32.503525350000004</v>
      </c>
      <c r="D16" s="44">
        <v>-34.82166968</v>
      </c>
      <c r="E16" s="45">
        <v>-38.722240119999995</v>
      </c>
      <c r="F16" s="44">
        <v>-36.38027744000001</v>
      </c>
      <c r="G16" s="44">
        <v>-36.07161745</v>
      </c>
      <c r="H16" s="44">
        <v>-37.04910044</v>
      </c>
      <c r="I16" s="44">
        <v>-41.65821944000002</v>
      </c>
    </row>
    <row r="17" spans="1:9" ht="14.25">
      <c r="A17" s="43" t="str">
        <f>HLOOKUP(INDICE!$F$2,Nombres!$C$3:$D$636,42,FALSE)</f>
        <v>  Depreciation</v>
      </c>
      <c r="B17" s="44">
        <v>-7.5760000000000005</v>
      </c>
      <c r="C17" s="44">
        <v>-7.158999999999999</v>
      </c>
      <c r="D17" s="44">
        <v>-6.939</v>
      </c>
      <c r="E17" s="45">
        <v>-6.963</v>
      </c>
      <c r="F17" s="44">
        <v>-7.102</v>
      </c>
      <c r="G17" s="44">
        <v>-6.807</v>
      </c>
      <c r="H17" s="44">
        <v>-6.593</v>
      </c>
      <c r="I17" s="44">
        <v>-6.767</v>
      </c>
    </row>
    <row r="18" spans="1:9" ht="14.25">
      <c r="A18" s="41" t="str">
        <f>HLOOKUP(INDICE!$F$2,Nombres!$C$3:$D$636,43,FALSE)</f>
        <v>Operating income</v>
      </c>
      <c r="B18" s="41">
        <f>+B12+B13</f>
        <v>139.82827785</v>
      </c>
      <c r="C18" s="41">
        <f aca="true" t="shared" si="1" ref="C18:I18">+C12+C13</f>
        <v>155.35251007999994</v>
      </c>
      <c r="D18" s="41">
        <f t="shared" si="1"/>
        <v>151.11775411000005</v>
      </c>
      <c r="E18" s="42">
        <f t="shared" si="1"/>
        <v>144.73684396000004</v>
      </c>
      <c r="F18" s="50">
        <f t="shared" si="1"/>
        <v>144.63114083999997</v>
      </c>
      <c r="G18" s="50">
        <f t="shared" si="1"/>
        <v>144.43735159000005</v>
      </c>
      <c r="H18" s="50">
        <f t="shared" si="1"/>
        <v>133.89202156000002</v>
      </c>
      <c r="I18" s="50">
        <f t="shared" si="1"/>
        <v>145.6202573200001</v>
      </c>
    </row>
    <row r="19" spans="1:9" ht="14.25">
      <c r="A19" s="43" t="str">
        <f>HLOOKUP(INDICE!$F$2,Nombres!$C$3:$D$636,44,FALSE)</f>
        <v>Impaiment on financial assets not measured at fair value through profit or loss</v>
      </c>
      <c r="B19" s="44">
        <v>-129.68</v>
      </c>
      <c r="C19" s="44">
        <v>-85.786</v>
      </c>
      <c r="D19" s="44">
        <v>-63.172</v>
      </c>
      <c r="E19" s="45">
        <v>-48.616999999999976</v>
      </c>
      <c r="F19" s="44">
        <v>-68.209</v>
      </c>
      <c r="G19" s="44">
        <v>-66.84700000000001</v>
      </c>
      <c r="H19" s="44">
        <v>-49.621</v>
      </c>
      <c r="I19" s="44">
        <v>-41.258999999999986</v>
      </c>
    </row>
    <row r="20" spans="1:9" ht="14.25">
      <c r="A20" s="43" t="str">
        <f>HLOOKUP(INDICE!$F$2,Nombres!$C$3:$D$636,45,FALSE)</f>
        <v>Provisions or reversal of provisions and other results</v>
      </c>
      <c r="B20" s="44">
        <v>-2.51</v>
      </c>
      <c r="C20" s="44">
        <v>-9.828</v>
      </c>
      <c r="D20" s="44">
        <v>-4.501</v>
      </c>
      <c r="E20" s="45">
        <v>-0.2080000000000003</v>
      </c>
      <c r="F20" s="44">
        <v>-7.4769999999999985</v>
      </c>
      <c r="G20" s="44">
        <v>3.812</v>
      </c>
      <c r="H20" s="44">
        <v>2.474</v>
      </c>
      <c r="I20" s="44">
        <v>-3.8530000000000006</v>
      </c>
    </row>
    <row r="21" spans="1:9" ht="14.25">
      <c r="A21" s="41" t="str">
        <f>HLOOKUP(INDICE!$F$2,Nombres!$C$3:$D$636,46,FALSE)</f>
        <v>Profit/(loss) before tax</v>
      </c>
      <c r="B21" s="41">
        <f>+B18+B19+B20</f>
        <v>7.63827785</v>
      </c>
      <c r="C21" s="41">
        <f aca="true" t="shared" si="2" ref="C21:I21">+C18+C19+C20</f>
        <v>59.73851007999994</v>
      </c>
      <c r="D21" s="41">
        <f t="shared" si="2"/>
        <v>83.44475411000005</v>
      </c>
      <c r="E21" s="42">
        <f t="shared" si="2"/>
        <v>95.91184396000007</v>
      </c>
      <c r="F21" s="50">
        <f t="shared" si="2"/>
        <v>68.94514083999997</v>
      </c>
      <c r="G21" s="50">
        <f t="shared" si="2"/>
        <v>81.40235159000004</v>
      </c>
      <c r="H21" s="50">
        <f t="shared" si="2"/>
        <v>86.74502156000001</v>
      </c>
      <c r="I21" s="50">
        <f t="shared" si="2"/>
        <v>100.50825732000011</v>
      </c>
    </row>
    <row r="22" spans="1:9" ht="14.25">
      <c r="A22" s="43" t="str">
        <f>HLOOKUP(INDICE!$F$2,Nombres!$C$3:$D$636,47,FALSE)</f>
        <v>Income tax</v>
      </c>
      <c r="B22" s="44">
        <v>0.4505506300000022</v>
      </c>
      <c r="C22" s="44">
        <v>-18.38248883</v>
      </c>
      <c r="D22" s="44">
        <v>-26.776504420000002</v>
      </c>
      <c r="E22" s="45">
        <v>-31.1591284</v>
      </c>
      <c r="F22" s="44">
        <v>-18.82366536</v>
      </c>
      <c r="G22" s="44">
        <v>-21.50669638</v>
      </c>
      <c r="H22" s="44">
        <v>-31.07773986</v>
      </c>
      <c r="I22" s="44">
        <v>-28.857605430000007</v>
      </c>
    </row>
    <row r="23" spans="1:9" ht="14.25">
      <c r="A23" s="41" t="str">
        <f>HLOOKUP(INDICE!$F$2,Nombres!$C$3:$D$636,48,FALSE)</f>
        <v>Profit/(loss) for the year</v>
      </c>
      <c r="B23" s="41">
        <f>+B21+B22</f>
        <v>8.088828480000002</v>
      </c>
      <c r="C23" s="41">
        <f aca="true" t="shared" si="3" ref="C23:I23">+C21+C22</f>
        <v>41.35602124999994</v>
      </c>
      <c r="D23" s="41">
        <f t="shared" si="3"/>
        <v>56.668249690000046</v>
      </c>
      <c r="E23" s="42">
        <f t="shared" si="3"/>
        <v>64.75271556000007</v>
      </c>
      <c r="F23" s="50">
        <f t="shared" si="3"/>
        <v>50.121475479999965</v>
      </c>
      <c r="G23" s="50">
        <f t="shared" si="3"/>
        <v>59.89565521000004</v>
      </c>
      <c r="H23" s="50">
        <f t="shared" si="3"/>
        <v>55.66728170000001</v>
      </c>
      <c r="I23" s="50">
        <f t="shared" si="3"/>
        <v>71.6506518900001</v>
      </c>
    </row>
    <row r="24" spans="1:9" ht="14.25">
      <c r="A24" s="43" t="str">
        <f>HLOOKUP(INDICE!$F$2,Nombres!$C$3:$D$636,49,FALSE)</f>
        <v>Non-controlling interests</v>
      </c>
      <c r="B24" s="44">
        <v>0.10030966000000019</v>
      </c>
      <c r="C24" s="44">
        <v>-1.5098544499999997</v>
      </c>
      <c r="D24" s="44">
        <v>-2.0975925699999998</v>
      </c>
      <c r="E24" s="45">
        <v>-2.4652730000000003</v>
      </c>
      <c r="F24" s="44">
        <v>-1.9025127199999998</v>
      </c>
      <c r="G24" s="44">
        <v>-2.2688781899999997</v>
      </c>
      <c r="H24" s="44">
        <v>-2.0351615499999998</v>
      </c>
      <c r="I24" s="44">
        <v>-2.7948472599999996</v>
      </c>
    </row>
    <row r="25" spans="1:9" ht="14.25">
      <c r="A25" s="47" t="str">
        <f>HLOOKUP(INDICE!$F$2,Nombres!$C$3:$D$636,50,FALSE)</f>
        <v>Net attributable profit</v>
      </c>
      <c r="B25" s="47">
        <f>+B23+B24</f>
        <v>8.189138140000003</v>
      </c>
      <c r="C25" s="47">
        <f aca="true" t="shared" si="4" ref="C25:I25">+C23+C24</f>
        <v>39.84616679999994</v>
      </c>
      <c r="D25" s="47">
        <f t="shared" si="4"/>
        <v>54.57065712000005</v>
      </c>
      <c r="E25" s="47">
        <f t="shared" si="4"/>
        <v>62.287442560000066</v>
      </c>
      <c r="F25" s="51">
        <f t="shared" si="4"/>
        <v>48.21896275999997</v>
      </c>
      <c r="G25" s="51">
        <f t="shared" si="4"/>
        <v>57.626777020000034</v>
      </c>
      <c r="H25" s="51">
        <f t="shared" si="4"/>
        <v>53.63212015000001</v>
      </c>
      <c r="I25" s="51">
        <f t="shared" si="4"/>
        <v>68.85580463000011</v>
      </c>
    </row>
    <row r="26" spans="1:9" ht="14.25">
      <c r="A26" s="62"/>
      <c r="B26" s="63">
        <v>2.6645352591003757E-14</v>
      </c>
      <c r="C26" s="63">
        <v>0</v>
      </c>
      <c r="D26" s="63">
        <v>0</v>
      </c>
      <c r="E26" s="63">
        <v>0</v>
      </c>
      <c r="F26" s="63">
        <v>0</v>
      </c>
      <c r="G26" s="63">
        <v>0</v>
      </c>
      <c r="H26" s="63">
        <v>0</v>
      </c>
      <c r="I26" s="63">
        <v>0</v>
      </c>
    </row>
    <row r="27" spans="1:9" ht="14.25">
      <c r="A27" s="41"/>
      <c r="B27" s="41"/>
      <c r="C27" s="41"/>
      <c r="D27" s="41"/>
      <c r="E27" s="41"/>
      <c r="F27" s="41"/>
      <c r="G27" s="41"/>
      <c r="H27" s="41"/>
      <c r="I27" s="41"/>
    </row>
    <row r="28" spans="1:9" ht="16.5">
      <c r="A28" s="33" t="str">
        <f>HLOOKUP(INDICE!$F$2,Nombres!$C$3:$D$636,51,FALSE)</f>
        <v>Balance sheets</v>
      </c>
      <c r="B28" s="34"/>
      <c r="C28" s="34"/>
      <c r="D28" s="34"/>
      <c r="E28" s="34"/>
      <c r="F28" s="34"/>
      <c r="G28" s="34"/>
      <c r="H28" s="34"/>
      <c r="I28" s="34"/>
    </row>
    <row r="29" spans="1:9" ht="14.25">
      <c r="A29" s="35" t="str">
        <f>HLOOKUP(INDICE!$F$2,Nombres!$C$3:$D$636,32,FALSE)</f>
        <v>(Million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4.25">
      <c r="A31" s="43" t="str">
        <f>HLOOKUP(INDICE!$F$2,Nombres!$C$3:$D$636,52,FALSE)</f>
        <v>Cash, cash balances at central banks and other demand deposits</v>
      </c>
      <c r="B31" s="44">
        <v>1290.745</v>
      </c>
      <c r="C31" s="44">
        <v>2220.7889999999998</v>
      </c>
      <c r="D31" s="44">
        <v>1261.66</v>
      </c>
      <c r="E31" s="45">
        <v>1372.551</v>
      </c>
      <c r="F31" s="44">
        <v>850.8539999999999</v>
      </c>
      <c r="G31" s="44">
        <v>1637.203</v>
      </c>
      <c r="H31" s="44">
        <v>1604.7279999999998</v>
      </c>
      <c r="I31" s="44">
        <v>2291.037</v>
      </c>
    </row>
    <row r="32" spans="1:9" ht="14.25">
      <c r="A32" s="43" t="str">
        <f>HLOOKUP(INDICE!$F$2,Nombres!$C$3:$D$636,53,FALSE)</f>
        <v>Financial assets designated at fair value </v>
      </c>
      <c r="B32" s="58">
        <v>3441.6409999999996</v>
      </c>
      <c r="C32" s="58">
        <v>3078.967</v>
      </c>
      <c r="D32" s="58">
        <v>2668.4839999999995</v>
      </c>
      <c r="E32" s="65">
        <v>2334.08</v>
      </c>
      <c r="F32" s="44">
        <v>2339.992</v>
      </c>
      <c r="G32" s="44">
        <v>1797.245</v>
      </c>
      <c r="H32" s="44">
        <v>1874.4669999999996</v>
      </c>
      <c r="I32" s="44">
        <v>2070.1910000000007</v>
      </c>
    </row>
    <row r="33" spans="1:9" ht="14.25">
      <c r="A33" s="43" t="str">
        <f>HLOOKUP(INDICE!$F$2,Nombres!$C$3:$D$636,54,FALSE)</f>
        <v>Financial assets at amortized cost</v>
      </c>
      <c r="B33" s="44">
        <v>11589.315</v>
      </c>
      <c r="C33" s="44">
        <v>12626.788999999999</v>
      </c>
      <c r="D33" s="44">
        <v>11589.310999999998</v>
      </c>
      <c r="E33" s="45">
        <v>12459.14</v>
      </c>
      <c r="F33" s="44">
        <v>12129.947000000002</v>
      </c>
      <c r="G33" s="44">
        <v>12130.293</v>
      </c>
      <c r="H33" s="44">
        <v>12569.425</v>
      </c>
      <c r="I33" s="44">
        <v>13134.494000000002</v>
      </c>
    </row>
    <row r="34" spans="1:9" ht="14.25">
      <c r="A34" s="43" t="str">
        <f>HLOOKUP(INDICE!$F$2,Nombres!$C$3:$D$636,55,FALSE)</f>
        <v>    of which loans and advances to customers</v>
      </c>
      <c r="B34" s="44">
        <v>11068.159000000001</v>
      </c>
      <c r="C34" s="44">
        <v>11838.746000000001</v>
      </c>
      <c r="D34" s="44">
        <v>10816.897</v>
      </c>
      <c r="E34" s="45">
        <v>11608.973000000002</v>
      </c>
      <c r="F34" s="44">
        <v>11305.914999999997</v>
      </c>
      <c r="G34" s="44">
        <v>11350.898000000003</v>
      </c>
      <c r="H34" s="44">
        <v>11754.867000000002</v>
      </c>
      <c r="I34" s="44">
        <v>12328.554999999998</v>
      </c>
    </row>
    <row r="35" spans="1:9" ht="14.25">
      <c r="A35" s="43"/>
      <c r="B35" s="44"/>
      <c r="C35" s="44"/>
      <c r="D35" s="44"/>
      <c r="E35" s="45"/>
      <c r="F35" s="44"/>
      <c r="G35" s="44"/>
      <c r="H35" s="44"/>
      <c r="I35" s="44"/>
    </row>
    <row r="36" spans="1:9" ht="14.25">
      <c r="A36" s="43" t="str">
        <f>HLOOKUP(INDICE!$F$2,Nombres!$C$3:$D$636,56,FALSE)</f>
        <v>Tangible assets</v>
      </c>
      <c r="B36" s="44">
        <v>115.47800000000001</v>
      </c>
      <c r="C36" s="44">
        <v>121.30800000000002</v>
      </c>
      <c r="D36" s="44">
        <v>109.39600000000002</v>
      </c>
      <c r="E36" s="45">
        <v>114.90700000000001</v>
      </c>
      <c r="F36" s="44">
        <v>106.25500000000001</v>
      </c>
      <c r="G36" s="44">
        <v>101.18100000000003</v>
      </c>
      <c r="H36" s="44">
        <v>100.869</v>
      </c>
      <c r="I36" s="44">
        <v>99.553</v>
      </c>
    </row>
    <row r="37" spans="1:9" ht="14.25">
      <c r="A37" s="43" t="str">
        <f>HLOOKUP(INDICE!$F$2,Nombres!$C$3:$D$636,57,FALSE)</f>
        <v>Other assets</v>
      </c>
      <c r="B37" s="58">
        <f>+B38-B36-B33-B32-B31</f>
        <v>662.8920000000007</v>
      </c>
      <c r="C37" s="58">
        <f aca="true" t="shared" si="5" ref="C37:I37">+C38-C36-C33-C32-C31</f>
        <v>477.54300000000103</v>
      </c>
      <c r="D37" s="58">
        <f t="shared" si="5"/>
        <v>475.19198299000413</v>
      </c>
      <c r="E37" s="65">
        <f t="shared" si="5"/>
        <v>540.8469999999993</v>
      </c>
      <c r="F37" s="44">
        <f t="shared" si="5"/>
        <v>665.5359999999977</v>
      </c>
      <c r="G37" s="44">
        <f t="shared" si="5"/>
        <v>725.470000009997</v>
      </c>
      <c r="H37" s="44">
        <f t="shared" si="5"/>
        <v>716.0520000000035</v>
      </c>
      <c r="I37" s="44">
        <f t="shared" si="5"/>
        <v>614.4510000199975</v>
      </c>
    </row>
    <row r="38" spans="1:9" ht="14.25">
      <c r="A38" s="47" t="str">
        <f>HLOOKUP(INDICE!$F$2,Nombres!$C$3:$D$636,58,FALSE)</f>
        <v>Total assets / Liabilities and equity</v>
      </c>
      <c r="B38" s="47">
        <v>17100.071</v>
      </c>
      <c r="C38" s="47">
        <v>18525.396</v>
      </c>
      <c r="D38" s="47">
        <v>16104.042982990002</v>
      </c>
      <c r="E38" s="47">
        <v>16821.524999999998</v>
      </c>
      <c r="F38" s="51">
        <v>16092.583999999999</v>
      </c>
      <c r="G38" s="51">
        <v>16391.392000009997</v>
      </c>
      <c r="H38" s="51">
        <v>16865.541</v>
      </c>
      <c r="I38" s="51">
        <v>18209.72600002</v>
      </c>
    </row>
    <row r="39" spans="1:9" ht="14.25">
      <c r="A39" s="43" t="str">
        <f>HLOOKUP(INDICE!$F$2,Nombres!$C$3:$D$636,59,FALSE)</f>
        <v>Financial liabilities held for trading and designated at fair value through profit or loss</v>
      </c>
      <c r="B39" s="58">
        <v>1737.4940000000001</v>
      </c>
      <c r="C39" s="58">
        <v>1646.095</v>
      </c>
      <c r="D39" s="58">
        <v>1378.6170000000002</v>
      </c>
      <c r="E39" s="65">
        <v>1101.988</v>
      </c>
      <c r="F39" s="44">
        <v>953.83</v>
      </c>
      <c r="G39" s="44">
        <v>801.3800000000001</v>
      </c>
      <c r="H39" s="44">
        <v>1070.816</v>
      </c>
      <c r="I39" s="44">
        <v>1526.2820000000002</v>
      </c>
    </row>
    <row r="40" spans="1:9" ht="15.75" customHeight="1">
      <c r="A40" s="43" t="str">
        <f>HLOOKUP(INDICE!$F$2,Nombres!$C$3:$D$636,60,FALSE)</f>
        <v>Deposits from central banks and credit institutions</v>
      </c>
      <c r="B40" s="58">
        <v>541.9019999999999</v>
      </c>
      <c r="C40" s="58">
        <v>446.334</v>
      </c>
      <c r="D40" s="58">
        <v>603.055</v>
      </c>
      <c r="E40" s="65">
        <v>535.3389999999999</v>
      </c>
      <c r="F40" s="44">
        <v>395.64700000999994</v>
      </c>
      <c r="G40" s="44">
        <v>439.034</v>
      </c>
      <c r="H40" s="44">
        <v>509.10799998999994</v>
      </c>
      <c r="I40" s="44">
        <v>707.2239999999999</v>
      </c>
    </row>
    <row r="41" spans="1:9" ht="14.25">
      <c r="A41" s="43" t="str">
        <f>HLOOKUP(INDICE!$F$2,Nombres!$C$3:$D$636,61,FALSE)</f>
        <v>Deposits from customers</v>
      </c>
      <c r="B41" s="58">
        <v>12007.403</v>
      </c>
      <c r="C41" s="58">
        <v>13573.682999999999</v>
      </c>
      <c r="D41" s="58">
        <v>11346.935</v>
      </c>
      <c r="E41" s="65">
        <v>12130.376</v>
      </c>
      <c r="F41" s="44">
        <v>11750.15199999</v>
      </c>
      <c r="G41" s="44">
        <v>12172.918</v>
      </c>
      <c r="H41" s="44">
        <v>12192.843000009998</v>
      </c>
      <c r="I41" s="44">
        <v>12808.773000000001</v>
      </c>
    </row>
    <row r="42" spans="1:9" ht="14.25">
      <c r="A42" s="43" t="str">
        <f>HLOOKUP(INDICE!$F$2,Nombres!$C$3:$D$636,62,FALSE)</f>
        <v>Debt certificates</v>
      </c>
      <c r="B42" s="44">
        <v>699.0469594599999</v>
      </c>
      <c r="C42" s="44">
        <v>770.01702496</v>
      </c>
      <c r="D42" s="44">
        <v>738.85479696</v>
      </c>
      <c r="E42" s="45">
        <v>708.9437681899999</v>
      </c>
      <c r="F42" s="44">
        <v>786.25855903</v>
      </c>
      <c r="G42" s="44">
        <v>781.3103575099999</v>
      </c>
      <c r="H42" s="44">
        <v>812.9652056699999</v>
      </c>
      <c r="I42" s="44">
        <v>825.57491559</v>
      </c>
    </row>
    <row r="43" spans="1:9" ht="14.25">
      <c r="A43" s="43"/>
      <c r="B43" s="44"/>
      <c r="C43" s="44"/>
      <c r="D43" s="44"/>
      <c r="E43" s="45"/>
      <c r="F43" s="44"/>
      <c r="G43" s="44"/>
      <c r="H43" s="44"/>
      <c r="I43" s="44"/>
    </row>
    <row r="44" spans="1:9" ht="14.25">
      <c r="A44" s="43" t="str">
        <f>HLOOKUP(INDICE!$F$2,Nombres!$C$3:$D$636,63,FALSE)</f>
        <v>Other liabilities</v>
      </c>
      <c r="B44" s="58">
        <f>+B38-B39-B40-B41-B42-B45</f>
        <v>580.7363698899992</v>
      </c>
      <c r="C44" s="58">
        <f aca="true" t="shared" si="6" ref="C44:I44">+C38-C39-C40-C41-C42-C45</f>
        <v>508.8389396400014</v>
      </c>
      <c r="D44" s="58">
        <f t="shared" si="6"/>
        <v>621.2121822300023</v>
      </c>
      <c r="E44" s="65">
        <f t="shared" si="6"/>
        <v>857.0931387199985</v>
      </c>
      <c r="F44" s="44">
        <f t="shared" si="6"/>
        <v>725.8774128500002</v>
      </c>
      <c r="G44" s="44">
        <f t="shared" si="6"/>
        <v>740.6406263799968</v>
      </c>
      <c r="H44" s="44">
        <f t="shared" si="6"/>
        <v>768.2742589400032</v>
      </c>
      <c r="I44" s="44">
        <f t="shared" si="6"/>
        <v>732.3913223999996</v>
      </c>
    </row>
    <row r="45" spans="1:9" ht="14.25">
      <c r="A45" s="43" t="str">
        <f>HLOOKUP(INDICE!$F$2,Nombres!$C$3:$D$636,282,FALSE)</f>
        <v>Regulatory capital allocated</v>
      </c>
      <c r="B45" s="58">
        <v>1533.48867065</v>
      </c>
      <c r="C45" s="58">
        <v>1580.4280354</v>
      </c>
      <c r="D45" s="58">
        <v>1415.3690038</v>
      </c>
      <c r="E45" s="65">
        <v>1487.78509309</v>
      </c>
      <c r="F45" s="44">
        <v>1480.8190281199998</v>
      </c>
      <c r="G45" s="44">
        <v>1456.10901612</v>
      </c>
      <c r="H45" s="44">
        <v>1511.5345353900002</v>
      </c>
      <c r="I45" s="44">
        <v>1609.48076203</v>
      </c>
    </row>
    <row r="46" spans="1:9" ht="14.25">
      <c r="A46" s="62"/>
      <c r="B46" s="58"/>
      <c r="C46" s="58"/>
      <c r="D46" s="58"/>
      <c r="E46" s="58"/>
      <c r="F46" s="44"/>
      <c r="G46" s="44"/>
      <c r="H46" s="44"/>
      <c r="I46" s="44"/>
    </row>
    <row r="47" spans="1:9" ht="14.25">
      <c r="A47" s="43"/>
      <c r="B47" s="58"/>
      <c r="C47" s="58"/>
      <c r="D47" s="58"/>
      <c r="E47" s="58"/>
      <c r="F47" s="44"/>
      <c r="G47" s="44"/>
      <c r="H47" s="44"/>
      <c r="I47" s="44"/>
    </row>
    <row r="48" spans="1:9" ht="16.5">
      <c r="A48" s="33" t="str">
        <f>HLOOKUP(INDICE!$F$2,Nombres!$C$3:$D$636,65,FALSE)</f>
        <v>Relevant business indicators</v>
      </c>
      <c r="B48" s="34"/>
      <c r="C48" s="34"/>
      <c r="D48" s="34"/>
      <c r="E48" s="34"/>
      <c r="F48" s="69"/>
      <c r="G48" s="69"/>
      <c r="H48" s="69"/>
      <c r="I48" s="69"/>
    </row>
    <row r="49" spans="1:9" ht="14.25">
      <c r="A49" s="35" t="str">
        <f>HLOOKUP(INDICE!$F$2,Nombres!$C$3:$D$636,32,FALSE)</f>
        <v>(Million euros)</v>
      </c>
      <c r="B49" s="30"/>
      <c r="C49" s="30"/>
      <c r="D49" s="30"/>
      <c r="E49" s="30"/>
      <c r="F49" s="70"/>
      <c r="G49" s="44"/>
      <c r="H49" s="44"/>
      <c r="I49" s="44"/>
    </row>
    <row r="50" spans="1:9" ht="14.2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row>
    <row r="51" spans="1:9" ht="14.25">
      <c r="A51" s="43" t="str">
        <f>HLOOKUP(INDICE!$F$2,Nombres!$C$3:$D$636,66,FALSE)</f>
        <v>Loans and advances to customers (gross) (*)</v>
      </c>
      <c r="B51" s="44">
        <v>11721.79893463</v>
      </c>
      <c r="C51" s="44">
        <v>12571.85612573</v>
      </c>
      <c r="D51" s="44">
        <v>11516.265511460002</v>
      </c>
      <c r="E51" s="45">
        <v>12358.36728401</v>
      </c>
      <c r="F51" s="44">
        <v>12036.97017208</v>
      </c>
      <c r="G51" s="44">
        <v>12081.27330734</v>
      </c>
      <c r="H51" s="44">
        <v>12486.544080319998</v>
      </c>
      <c r="I51" s="44">
        <v>13032.426773160003</v>
      </c>
    </row>
    <row r="52" spans="1:9" ht="14.25">
      <c r="A52" s="43" t="str">
        <f>HLOOKUP(INDICE!$F$2,Nombres!$C$3:$D$636,67,FALSE)</f>
        <v>Customer deposits under management (*)</v>
      </c>
      <c r="B52" s="44">
        <v>12015.3979488</v>
      </c>
      <c r="C52" s="44">
        <v>13582.158241539999</v>
      </c>
      <c r="D52" s="44">
        <v>11346.93488211</v>
      </c>
      <c r="E52" s="45">
        <v>12129.34187195</v>
      </c>
      <c r="F52" s="44">
        <v>11749.71156344</v>
      </c>
      <c r="G52" s="44">
        <v>12156.99369217</v>
      </c>
      <c r="H52" s="44">
        <v>12170.234346829999</v>
      </c>
      <c r="I52" s="44">
        <v>12813.57684951</v>
      </c>
    </row>
    <row r="53" spans="1:9" ht="14.25">
      <c r="A53" s="43" t="str">
        <f>HLOOKUP(INDICE!$F$2,Nombres!$C$3:$D$636,68,FALSE)</f>
        <v>Mutual funds</v>
      </c>
      <c r="B53" s="44">
        <v>688.7781286700001</v>
      </c>
      <c r="C53" s="44">
        <v>1140.1636230000001</v>
      </c>
      <c r="D53" s="44">
        <v>1506.0115078100002</v>
      </c>
      <c r="E53" s="45">
        <v>1566.60486917</v>
      </c>
      <c r="F53" s="44">
        <v>1130.8140225599998</v>
      </c>
      <c r="G53" s="44">
        <v>981.5469995999999</v>
      </c>
      <c r="H53" s="44">
        <v>1049.1010830399998</v>
      </c>
      <c r="I53" s="44">
        <v>998.4839126599998</v>
      </c>
    </row>
    <row r="54" spans="1:9" ht="14.25">
      <c r="A54" s="43" t="str">
        <f>HLOOKUP(INDICE!$F$2,Nombres!$C$3:$D$636,69,FALSE)</f>
        <v>Pension funds</v>
      </c>
      <c r="B54" s="44">
        <v>0</v>
      </c>
      <c r="C54" s="44">
        <v>0</v>
      </c>
      <c r="D54" s="44">
        <v>0</v>
      </c>
      <c r="E54" s="45">
        <v>0</v>
      </c>
      <c r="F54" s="44">
        <v>0</v>
      </c>
      <c r="G54" s="44">
        <v>0</v>
      </c>
      <c r="H54" s="44">
        <v>0</v>
      </c>
      <c r="I54" s="44">
        <v>0</v>
      </c>
    </row>
    <row r="55" spans="1:9" ht="14.25">
      <c r="A55" s="43" t="str">
        <f>HLOOKUP(INDICE!$F$2,Nombres!$C$3:$D$636,70,FALSE)</f>
        <v>Other off balance-sheet funds</v>
      </c>
      <c r="B55" s="44">
        <v>0</v>
      </c>
      <c r="C55" s="44">
        <v>0</v>
      </c>
      <c r="D55" s="44">
        <v>0</v>
      </c>
      <c r="E55" s="45">
        <v>0</v>
      </c>
      <c r="F55" s="44">
        <v>0</v>
      </c>
      <c r="G55" s="44">
        <v>0</v>
      </c>
      <c r="H55" s="44">
        <v>0</v>
      </c>
      <c r="I55" s="44">
        <v>0</v>
      </c>
    </row>
    <row r="56" spans="1:9" ht="14.25">
      <c r="A56" s="62" t="str">
        <f>HLOOKUP(INDICE!$F$2,Nombres!$C$3:$D$636,71,FALSE)</f>
        <v>(*) Excluding repos. </v>
      </c>
      <c r="B56" s="58"/>
      <c r="C56" s="58"/>
      <c r="D56" s="58"/>
      <c r="E56" s="58"/>
      <c r="F56" s="58"/>
      <c r="G56" s="58"/>
      <c r="H56" s="58"/>
      <c r="I56" s="58"/>
    </row>
    <row r="57" spans="1:9" ht="14.25">
      <c r="A57" s="62">
        <f>HLOOKUP(INDICE!$F$2,Nombres!$C$3:$D$636,72,FALSE)</f>
        <v>0</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Income statement  </v>
      </c>
      <c r="B59" s="34"/>
      <c r="C59" s="34"/>
      <c r="D59" s="34"/>
      <c r="E59" s="34"/>
      <c r="F59" s="34"/>
      <c r="G59" s="34"/>
      <c r="H59" s="34"/>
      <c r="I59" s="34"/>
    </row>
    <row r="60" spans="1:9" ht="14.25">
      <c r="A60" s="35" t="str">
        <f>HLOOKUP(INDICE!$F$2,Nombres!$C$3:$D$636,73,FALSE)</f>
        <v>(Constant million euros)    </v>
      </c>
      <c r="B60" s="30"/>
      <c r="C60" s="36"/>
      <c r="D60" s="36"/>
      <c r="E60" s="36"/>
      <c r="F60" s="30"/>
      <c r="G60" s="30"/>
      <c r="H60" s="30"/>
      <c r="I60" s="3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39" t="str">
        <f>+B$7</f>
        <v>1Q</v>
      </c>
      <c r="C63" s="39" t="str">
        <f aca="true" t="shared" si="8" ref="C63:I63">+C$7</f>
        <v>2Q</v>
      </c>
      <c r="D63" s="39" t="str">
        <f t="shared" si="8"/>
        <v>3Q</v>
      </c>
      <c r="E63" s="40" t="str">
        <f t="shared" si="8"/>
        <v>4Q</v>
      </c>
      <c r="F63" s="39" t="str">
        <f t="shared" si="8"/>
        <v>1Q</v>
      </c>
      <c r="G63" s="39" t="str">
        <f t="shared" si="8"/>
        <v>2Q</v>
      </c>
      <c r="H63" s="39" t="str">
        <f t="shared" si="8"/>
        <v>3Q</v>
      </c>
      <c r="I63" s="39" t="str">
        <f t="shared" si="8"/>
        <v>4Q</v>
      </c>
    </row>
    <row r="64" spans="1:9" ht="14.25">
      <c r="A64" s="41" t="str">
        <f>HLOOKUP(INDICE!$F$2,Nombres!$C$3:$D$636,33,FALSE)</f>
        <v>Net interest income</v>
      </c>
      <c r="B64" s="41">
        <v>184.59459106134153</v>
      </c>
      <c r="C64" s="41">
        <v>185.2031048134805</v>
      </c>
      <c r="D64" s="41">
        <v>182.7097622727424</v>
      </c>
      <c r="E64" s="42">
        <v>191.1063649771321</v>
      </c>
      <c r="F64" s="50">
        <v>194.38529129489206</v>
      </c>
      <c r="G64" s="50">
        <v>189.0575063189717</v>
      </c>
      <c r="H64" s="50">
        <v>190.87957680006997</v>
      </c>
      <c r="I64" s="50">
        <v>195.11062558606636</v>
      </c>
    </row>
    <row r="65" spans="1:9" ht="14.25">
      <c r="A65" s="43" t="str">
        <f>HLOOKUP(INDICE!$F$2,Nombres!$C$3:$D$636,34,FALSE)</f>
        <v>Net fees and commissions</v>
      </c>
      <c r="B65" s="44">
        <v>15.500363718111561</v>
      </c>
      <c r="C65" s="44">
        <v>11.392358884653692</v>
      </c>
      <c r="D65" s="44">
        <v>21.038678815591158</v>
      </c>
      <c r="E65" s="45">
        <v>18.914551574355446</v>
      </c>
      <c r="F65" s="44">
        <v>20.749104408602946</v>
      </c>
      <c r="G65" s="44">
        <v>21.902393637115935</v>
      </c>
      <c r="H65" s="44">
        <v>20.187866533585243</v>
      </c>
      <c r="I65" s="44">
        <v>19.878826840695872</v>
      </c>
    </row>
    <row r="66" spans="1:9" ht="14.25">
      <c r="A66" s="43" t="str">
        <f>HLOOKUP(INDICE!$F$2,Nombres!$C$3:$D$636,35,FALSE)</f>
        <v>Net trading income</v>
      </c>
      <c r="B66" s="44">
        <v>4.226483895645357</v>
      </c>
      <c r="C66" s="44">
        <v>23.12762150687784</v>
      </c>
      <c r="D66" s="44">
        <v>26.751633764670572</v>
      </c>
      <c r="E66" s="45">
        <v>16.031961699567823</v>
      </c>
      <c r="F66" s="44">
        <v>7.086981437159786</v>
      </c>
      <c r="G66" s="44">
        <v>21.260875268757026</v>
      </c>
      <c r="H66" s="44">
        <v>18.91670134115573</v>
      </c>
      <c r="I66" s="44">
        <v>23.20323661292745</v>
      </c>
    </row>
    <row r="67" spans="1:9" ht="14.25">
      <c r="A67" s="43" t="str">
        <f>HLOOKUP(INDICE!$F$2,Nombres!$C$3:$D$636,36,FALSE)</f>
        <v>Other operating income and expenses</v>
      </c>
      <c r="B67" s="44">
        <v>-1.2457130737106379</v>
      </c>
      <c r="C67" s="44">
        <v>-1.7658647691831586</v>
      </c>
      <c r="D67" s="44">
        <v>-6.312072566708924</v>
      </c>
      <c r="E67" s="45">
        <v>-2.064720005632479</v>
      </c>
      <c r="F67" s="44">
        <v>-4.338983314414912</v>
      </c>
      <c r="G67" s="44">
        <v>-9.082348317076466</v>
      </c>
      <c r="H67" s="44">
        <v>-9.91528356025907</v>
      </c>
      <c r="I67" s="44">
        <v>-8.174384808249561</v>
      </c>
    </row>
    <row r="68" spans="1:9" ht="14.25">
      <c r="A68" s="41" t="str">
        <f>HLOOKUP(INDICE!$F$2,Nombres!$C$3:$D$636,37,FALSE)</f>
        <v>Gross income</v>
      </c>
      <c r="B68" s="41">
        <f>+SUM(B64:B67)</f>
        <v>203.0757256013878</v>
      </c>
      <c r="C68" s="41">
        <f aca="true" t="shared" si="9" ref="C68:I68">+SUM(C64:C67)</f>
        <v>217.95722043582887</v>
      </c>
      <c r="D68" s="41">
        <f t="shared" si="9"/>
        <v>224.18800228629522</v>
      </c>
      <c r="E68" s="42">
        <f t="shared" si="9"/>
        <v>223.9881582454229</v>
      </c>
      <c r="F68" s="50">
        <f t="shared" si="9"/>
        <v>217.88239382623985</v>
      </c>
      <c r="G68" s="50">
        <f t="shared" si="9"/>
        <v>223.13842690776818</v>
      </c>
      <c r="H68" s="50">
        <f t="shared" si="9"/>
        <v>220.06886111455185</v>
      </c>
      <c r="I68" s="50">
        <f t="shared" si="9"/>
        <v>230.0183042314401</v>
      </c>
    </row>
    <row r="69" spans="1:9" ht="14.25">
      <c r="A69" s="43" t="str">
        <f>HLOOKUP(INDICE!$F$2,Nombres!$C$3:$D$636,38,FALSE)</f>
        <v>Operating expenses</v>
      </c>
      <c r="B69" s="44">
        <v>-79.88908218399864</v>
      </c>
      <c r="C69" s="44">
        <v>-70.03684324391067</v>
      </c>
      <c r="D69" s="44">
        <v>-75.27568462000568</v>
      </c>
      <c r="E69" s="45">
        <v>-81.07951255518113</v>
      </c>
      <c r="F69" s="44">
        <v>-77.92875715149572</v>
      </c>
      <c r="G69" s="44">
        <v>-77.88408731857905</v>
      </c>
      <c r="H69" s="44">
        <v>-82.59497902418505</v>
      </c>
      <c r="I69" s="44">
        <v>-84.11939127574018</v>
      </c>
    </row>
    <row r="70" spans="1:9" ht="14.25">
      <c r="A70" s="43" t="str">
        <f>HLOOKUP(INDICE!$F$2,Nombres!$C$3:$D$636,39,FALSE)</f>
        <v>  Administration expenses</v>
      </c>
      <c r="B70" s="44">
        <v>-73.21473830391957</v>
      </c>
      <c r="C70" s="44">
        <v>-63.177914932760686</v>
      </c>
      <c r="D70" s="44">
        <v>-68.41117756648563</v>
      </c>
      <c r="E70" s="45">
        <v>-74.2021589420987</v>
      </c>
      <c r="F70" s="44">
        <v>-71.05644236581894</v>
      </c>
      <c r="G70" s="44">
        <v>-71.03315710959188</v>
      </c>
      <c r="H70" s="44">
        <v>-75.8297311847762</v>
      </c>
      <c r="I70" s="44">
        <v>-77.338884109813</v>
      </c>
    </row>
    <row r="71" spans="1:9" ht="14.25">
      <c r="A71" s="46" t="str">
        <f>HLOOKUP(INDICE!$F$2,Nombres!$C$3:$D$636,40,FALSE)</f>
        <v>  Personnel expenses</v>
      </c>
      <c r="B71" s="44">
        <v>-37.225148668012174</v>
      </c>
      <c r="C71" s="44">
        <v>-31.79499872925086</v>
      </c>
      <c r="D71" s="44">
        <v>-33.97668559731961</v>
      </c>
      <c r="E71" s="45">
        <v>-36.09615343178868</v>
      </c>
      <c r="F71" s="44">
        <v>-35.852736570559074</v>
      </c>
      <c r="G71" s="44">
        <v>-34.75256468764631</v>
      </c>
      <c r="H71" s="44">
        <v>-37.88517572221657</v>
      </c>
      <c r="I71" s="44">
        <v>-35.60852301957805</v>
      </c>
    </row>
    <row r="72" spans="1:9" ht="14.25">
      <c r="A72" s="46" t="str">
        <f>HLOOKUP(INDICE!$F$2,Nombres!$C$3:$D$636,41,FALSE)</f>
        <v>  General and administrative expenses</v>
      </c>
      <c r="B72" s="44">
        <v>-35.98958963590742</v>
      </c>
      <c r="C72" s="44">
        <v>-31.382916203509826</v>
      </c>
      <c r="D72" s="44">
        <v>-34.43449196916602</v>
      </c>
      <c r="E72" s="45">
        <v>-38.106005510310034</v>
      </c>
      <c r="F72" s="44">
        <v>-35.203705795259864</v>
      </c>
      <c r="G72" s="44">
        <v>-36.28059242194557</v>
      </c>
      <c r="H72" s="44">
        <v>-37.944555462559634</v>
      </c>
      <c r="I72" s="44">
        <v>-41.73036109023494</v>
      </c>
    </row>
    <row r="73" spans="1:9" ht="14.25">
      <c r="A73" s="43" t="str">
        <f>HLOOKUP(INDICE!$F$2,Nombres!$C$3:$D$636,42,FALSE)</f>
        <v>  Depreciation</v>
      </c>
      <c r="B73" s="44">
        <v>-6.67434388007905</v>
      </c>
      <c r="C73" s="44">
        <v>-6.8589283111499855</v>
      </c>
      <c r="D73" s="44">
        <v>-6.864507053520043</v>
      </c>
      <c r="E73" s="45">
        <v>-6.877353613082413</v>
      </c>
      <c r="F73" s="44">
        <v>-6.872314785676783</v>
      </c>
      <c r="G73" s="44">
        <v>-6.850930208987156</v>
      </c>
      <c r="H73" s="44">
        <v>-6.765247839408855</v>
      </c>
      <c r="I73" s="44">
        <v>-6.7805071659272045</v>
      </c>
    </row>
    <row r="74" spans="1:9" ht="14.25">
      <c r="A74" s="41" t="str">
        <f>HLOOKUP(INDICE!$F$2,Nombres!$C$3:$D$636,43,FALSE)</f>
        <v>Operating income</v>
      </c>
      <c r="B74" s="41">
        <f>+B68+B69</f>
        <v>123.18664341738916</v>
      </c>
      <c r="C74" s="41">
        <f aca="true" t="shared" si="10" ref="C74:I74">+C68+C69</f>
        <v>147.9203771919182</v>
      </c>
      <c r="D74" s="41">
        <f t="shared" si="10"/>
        <v>148.91231766628954</v>
      </c>
      <c r="E74" s="42">
        <f t="shared" si="10"/>
        <v>142.90864569024177</v>
      </c>
      <c r="F74" s="50">
        <f t="shared" si="10"/>
        <v>139.95363667474413</v>
      </c>
      <c r="G74" s="50">
        <f t="shared" si="10"/>
        <v>145.25433958918913</v>
      </c>
      <c r="H74" s="50">
        <f t="shared" si="10"/>
        <v>137.4738820903668</v>
      </c>
      <c r="I74" s="50">
        <f t="shared" si="10"/>
        <v>145.89891295569993</v>
      </c>
    </row>
    <row r="75" spans="1:9" ht="14.25">
      <c r="A75" s="43" t="str">
        <f>HLOOKUP(INDICE!$F$2,Nombres!$C$3:$D$636,44,FALSE)</f>
        <v>Impaiment on financial assets not measured at fair value through profit or loss</v>
      </c>
      <c r="B75" s="44">
        <v>-114.24616081951577</v>
      </c>
      <c r="C75" s="44">
        <v>-83.64729190904586</v>
      </c>
      <c r="D75" s="44">
        <v>-64.33762659220955</v>
      </c>
      <c r="E75" s="45">
        <v>-49.46091367394358</v>
      </c>
      <c r="F75" s="44">
        <v>-66.00305818307912</v>
      </c>
      <c r="G75" s="44">
        <v>-67.24926592356647</v>
      </c>
      <c r="H75" s="44">
        <v>-51.303006647332666</v>
      </c>
      <c r="I75" s="44">
        <v>-41.380669246021775</v>
      </c>
    </row>
    <row r="76" spans="1:9" ht="14.25">
      <c r="A76" s="43" t="str">
        <f>HLOOKUP(INDICE!$F$2,Nombres!$C$3:$D$636,45,FALSE)</f>
        <v>Provisions or reversal of provisions and other results</v>
      </c>
      <c r="B76" s="44">
        <v>-2.2112728536164754</v>
      </c>
      <c r="C76" s="44">
        <v>-9.120489093813713</v>
      </c>
      <c r="D76" s="44">
        <v>-4.515714508338461</v>
      </c>
      <c r="E76" s="45">
        <v>-0.388832858316397</v>
      </c>
      <c r="F76" s="44">
        <v>-7.2351869406512686</v>
      </c>
      <c r="G76" s="44">
        <v>3.61913309742434</v>
      </c>
      <c r="H76" s="44">
        <v>2.4258385000711042</v>
      </c>
      <c r="I76" s="44">
        <v>-3.8537846568441783</v>
      </c>
    </row>
    <row r="77" spans="1:9" ht="14.25">
      <c r="A77" s="41" t="str">
        <f>HLOOKUP(INDICE!$F$2,Nombres!$C$3:$D$636,46,FALSE)</f>
        <v>Profit/(loss) before tax</v>
      </c>
      <c r="B77" s="41">
        <f>+B74+B75+B76</f>
        <v>6.729209744256923</v>
      </c>
      <c r="C77" s="41">
        <f aca="true" t="shared" si="11" ref="C77:I77">+C74+C75+C76</f>
        <v>55.15259618905861</v>
      </c>
      <c r="D77" s="41">
        <f t="shared" si="11"/>
        <v>80.05897656574153</v>
      </c>
      <c r="E77" s="42">
        <f t="shared" si="11"/>
        <v>93.0588991579818</v>
      </c>
      <c r="F77" s="50">
        <f t="shared" si="11"/>
        <v>66.71539155101374</v>
      </c>
      <c r="G77" s="50">
        <f t="shared" si="11"/>
        <v>81.624206763047</v>
      </c>
      <c r="H77" s="50">
        <f t="shared" si="11"/>
        <v>88.59671394310524</v>
      </c>
      <c r="I77" s="50">
        <f t="shared" si="11"/>
        <v>100.66445905283398</v>
      </c>
    </row>
    <row r="78" spans="1:9" ht="14.25">
      <c r="A78" s="43" t="str">
        <f>HLOOKUP(INDICE!$F$2,Nombres!$C$3:$D$636,47,FALSE)</f>
        <v>Income tax</v>
      </c>
      <c r="B78" s="44">
        <v>0.3969284371708426</v>
      </c>
      <c r="C78" s="44">
        <v>-16.866409304282996</v>
      </c>
      <c r="D78" s="44">
        <v>-25.60641388878389</v>
      </c>
      <c r="E78" s="45">
        <v>-30.183702239999697</v>
      </c>
      <c r="F78" s="44">
        <v>-18.214890703204716</v>
      </c>
      <c r="G78" s="44">
        <v>-21.57685815591104</v>
      </c>
      <c r="H78" s="44">
        <v>-31.56930752203447</v>
      </c>
      <c r="I78" s="44">
        <v>-28.90465064884977</v>
      </c>
    </row>
    <row r="79" spans="1:9" ht="14.25">
      <c r="A79" s="41" t="str">
        <f>HLOOKUP(INDICE!$F$2,Nombres!$C$3:$D$636,48,FALSE)</f>
        <v>Profit/(loss) for the year</v>
      </c>
      <c r="B79" s="41">
        <f>+B77+B78</f>
        <v>7.126138181427765</v>
      </c>
      <c r="C79" s="41">
        <f aca="true" t="shared" si="12" ref="C79:I79">+C77+C78</f>
        <v>38.28618688477562</v>
      </c>
      <c r="D79" s="41">
        <f t="shared" si="12"/>
        <v>54.45256267695764</v>
      </c>
      <c r="E79" s="42">
        <f t="shared" si="12"/>
        <v>62.8751969179821</v>
      </c>
      <c r="F79" s="50">
        <f t="shared" si="12"/>
        <v>48.50050084780902</v>
      </c>
      <c r="G79" s="50">
        <f t="shared" si="12"/>
        <v>60.04734860713596</v>
      </c>
      <c r="H79" s="50">
        <f t="shared" si="12"/>
        <v>57.02740642107077</v>
      </c>
      <c r="I79" s="50">
        <f t="shared" si="12"/>
        <v>71.75980840398421</v>
      </c>
    </row>
    <row r="80" spans="1:9" ht="14.25">
      <c r="A80" s="43" t="str">
        <f>HLOOKUP(INDICE!$F$2,Nombres!$C$3:$D$636,49,FALSE)</f>
        <v>Non-controlling interests</v>
      </c>
      <c r="B80" s="44">
        <v>0.088371325941633</v>
      </c>
      <c r="C80" s="44">
        <v>-1.382959266817016</v>
      </c>
      <c r="D80" s="44">
        <v>-2.006040168854804</v>
      </c>
      <c r="E80" s="45">
        <v>-2.387757058076819</v>
      </c>
      <c r="F80" s="44">
        <v>-1.8409837081940519</v>
      </c>
      <c r="G80" s="44">
        <v>-2.2746981831312887</v>
      </c>
      <c r="H80" s="44">
        <v>-2.086781556192311</v>
      </c>
      <c r="I80" s="44">
        <v>-2.7989362724823486</v>
      </c>
    </row>
    <row r="81" spans="1:9" ht="14.25">
      <c r="A81" s="47" t="str">
        <f>HLOOKUP(INDICE!$F$2,Nombres!$C$3:$D$636,50,FALSE)</f>
        <v>Net attributable profit</v>
      </c>
      <c r="B81" s="47">
        <f>+B79+B80</f>
        <v>7.2145095073693986</v>
      </c>
      <c r="C81" s="47">
        <f aca="true" t="shared" si="13" ref="C81:I81">+C79+C80</f>
        <v>36.9032276179586</v>
      </c>
      <c r="D81" s="47">
        <f t="shared" si="13"/>
        <v>52.44652250810284</v>
      </c>
      <c r="E81" s="47">
        <f t="shared" si="13"/>
        <v>60.48743985990528</v>
      </c>
      <c r="F81" s="51">
        <f t="shared" si="13"/>
        <v>46.65951713961497</v>
      </c>
      <c r="G81" s="51">
        <f t="shared" si="13"/>
        <v>57.77265042400467</v>
      </c>
      <c r="H81" s="51">
        <f t="shared" si="13"/>
        <v>54.94062486487846</v>
      </c>
      <c r="I81" s="51">
        <f t="shared" si="13"/>
        <v>68.96087213150186</v>
      </c>
    </row>
    <row r="82" spans="1:9" ht="14.25">
      <c r="A82" s="62"/>
      <c r="B82" s="63">
        <v>0</v>
      </c>
      <c r="C82" s="63">
        <v>0</v>
      </c>
      <c r="D82" s="63">
        <v>0</v>
      </c>
      <c r="E82" s="63">
        <v>0</v>
      </c>
      <c r="F82" s="63">
        <v>0</v>
      </c>
      <c r="G82" s="63">
        <v>0</v>
      </c>
      <c r="H82" s="63">
        <v>0</v>
      </c>
      <c r="I82" s="63">
        <v>0</v>
      </c>
    </row>
    <row r="83" spans="1:9" ht="14.25">
      <c r="A83" s="41"/>
      <c r="B83" s="41"/>
      <c r="C83" s="41"/>
      <c r="D83" s="41"/>
      <c r="E83" s="41"/>
      <c r="F83" s="50"/>
      <c r="G83" s="50"/>
      <c r="H83" s="50"/>
      <c r="I83" s="50"/>
    </row>
    <row r="84" spans="1:9" ht="16.5">
      <c r="A84" s="33" t="str">
        <f>HLOOKUP(INDICE!$F$2,Nombres!$C$3:$D$636,51,FALSE)</f>
        <v>Balance sheets</v>
      </c>
      <c r="B84" s="34"/>
      <c r="C84" s="34"/>
      <c r="D84" s="34"/>
      <c r="E84" s="34"/>
      <c r="F84" s="69"/>
      <c r="G84" s="69"/>
      <c r="H84" s="69"/>
      <c r="I84" s="69"/>
    </row>
    <row r="85" spans="1:9" ht="14.25">
      <c r="A85" s="35" t="str">
        <f>HLOOKUP(INDICE!$F$2,Nombres!$C$3:$D$636,73,FALSE)</f>
        <v>(Constant million euros)    </v>
      </c>
      <c r="B85" s="30"/>
      <c r="C85" s="52"/>
      <c r="D85" s="52"/>
      <c r="E85" s="52"/>
      <c r="F85" s="70"/>
      <c r="G85" s="44"/>
      <c r="H85" s="44"/>
      <c r="I85" s="44"/>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43" t="str">
        <f>HLOOKUP(INDICE!$F$2,Nombres!$C$3:$D$636,52,FALSE)</f>
        <v>Cash, cash balances at central banks and other demand deposits</v>
      </c>
      <c r="B87" s="44">
        <v>1274.8131540171844</v>
      </c>
      <c r="C87" s="44">
        <v>2073.1154934144806</v>
      </c>
      <c r="D87" s="44">
        <v>1270.7260108282192</v>
      </c>
      <c r="E87" s="45">
        <v>1282.132187990641</v>
      </c>
      <c r="F87" s="44">
        <v>826.7883439328502</v>
      </c>
      <c r="G87" s="44">
        <v>1620.99632760584</v>
      </c>
      <c r="H87" s="44">
        <v>1580.212245430212</v>
      </c>
      <c r="I87" s="44">
        <v>2291.037</v>
      </c>
    </row>
    <row r="88" spans="1:9" ht="14.25">
      <c r="A88" s="43" t="str">
        <f>HLOOKUP(INDICE!$F$2,Nombres!$C$3:$D$636,53,FALSE)</f>
        <v>Financial assets designated at fair value </v>
      </c>
      <c r="B88" s="58">
        <v>3399.1603439911505</v>
      </c>
      <c r="C88" s="58">
        <v>2874.228119561067</v>
      </c>
      <c r="D88" s="58">
        <v>2687.6591381821804</v>
      </c>
      <c r="E88" s="65">
        <v>2180.3190536054362</v>
      </c>
      <c r="F88" s="44">
        <v>2273.807387044215</v>
      </c>
      <c r="G88" s="44">
        <v>1779.4540718578933</v>
      </c>
      <c r="H88" s="44">
        <v>1845.8303881123989</v>
      </c>
      <c r="I88" s="44">
        <v>2070.1910000000007</v>
      </c>
    </row>
    <row r="89" spans="1:9" ht="14.25">
      <c r="A89" s="43" t="str">
        <f>HLOOKUP(INDICE!$F$2,Nombres!$C$3:$D$636,54,FALSE)</f>
        <v>Financial assets at amortized cost</v>
      </c>
      <c r="B89" s="44">
        <v>11446.26646475382</v>
      </c>
      <c r="C89" s="44">
        <v>11787.158486454833</v>
      </c>
      <c r="D89" s="44">
        <v>11672.589235830255</v>
      </c>
      <c r="E89" s="45">
        <v>11638.375862668649</v>
      </c>
      <c r="F89" s="44">
        <v>11786.862131603357</v>
      </c>
      <c r="G89" s="44">
        <v>12010.215230354956</v>
      </c>
      <c r="H89" s="44">
        <v>12377.399349308194</v>
      </c>
      <c r="I89" s="44">
        <v>13134.494000000002</v>
      </c>
    </row>
    <row r="90" spans="1:9" ht="14.25">
      <c r="A90" s="43" t="str">
        <f>HLOOKUP(INDICE!$F$2,Nombres!$C$3:$D$636,55,FALSE)</f>
        <v>    of which loans and advances to customers</v>
      </c>
      <c r="B90" s="44">
        <v>10931.5431661201</v>
      </c>
      <c r="C90" s="44">
        <v>11051.517165835525</v>
      </c>
      <c r="D90" s="44">
        <v>10894.624838981763</v>
      </c>
      <c r="E90" s="45">
        <v>10844.2148618261</v>
      </c>
      <c r="F90" s="44">
        <v>10986.13715102188</v>
      </c>
      <c r="G90" s="44">
        <v>11238.535461411</v>
      </c>
      <c r="H90" s="44">
        <v>11575.285516800042</v>
      </c>
      <c r="I90" s="44">
        <v>12328.554999999998</v>
      </c>
    </row>
    <row r="91" spans="1:9" ht="14.25">
      <c r="A91" s="43"/>
      <c r="B91" s="44"/>
      <c r="C91" s="44"/>
      <c r="D91" s="44"/>
      <c r="E91" s="45"/>
      <c r="F91" s="44"/>
      <c r="G91" s="44"/>
      <c r="H91" s="44"/>
      <c r="I91" s="44"/>
    </row>
    <row r="92" spans="1:9" ht="14.25">
      <c r="A92" s="43" t="str">
        <f>HLOOKUP(INDICE!$F$2,Nombres!$C$3:$D$636,56,FALSE)</f>
        <v>Tangible assets</v>
      </c>
      <c r="B92" s="44">
        <v>114.0526389020267</v>
      </c>
      <c r="C92" s="44">
        <v>113.24150753408982</v>
      </c>
      <c r="D92" s="44">
        <v>110.18209555709453</v>
      </c>
      <c r="E92" s="45">
        <v>107.33733269324097</v>
      </c>
      <c r="F92" s="44">
        <v>103.24967090074793</v>
      </c>
      <c r="G92" s="44">
        <v>100.17940928735567</v>
      </c>
      <c r="H92" s="44">
        <v>99.32800386377008</v>
      </c>
      <c r="I92" s="44">
        <v>99.553</v>
      </c>
    </row>
    <row r="93" spans="1:9" ht="14.25">
      <c r="A93" s="43" t="str">
        <f>HLOOKUP(INDICE!$F$2,Nombres!$C$3:$D$636,57,FALSE)</f>
        <v>Other assets</v>
      </c>
      <c r="B93" s="58">
        <f>+B94-B92-B89-B88-B87</f>
        <v>654.709831370842</v>
      </c>
      <c r="C93" s="58">
        <f aca="true" t="shared" si="15" ref="C93:I93">+C94-C92-C89-C88-C87</f>
        <v>445.78831760767616</v>
      </c>
      <c r="D93" s="58">
        <f t="shared" si="15"/>
        <v>478.6066078994602</v>
      </c>
      <c r="E93" s="65">
        <f t="shared" si="15"/>
        <v>505.21790991968646</v>
      </c>
      <c r="F93" s="44">
        <f t="shared" si="15"/>
        <v>646.7119003585708</v>
      </c>
      <c r="G93" s="44">
        <f t="shared" si="15"/>
        <v>718.2885725254757</v>
      </c>
      <c r="H93" s="44">
        <f t="shared" si="15"/>
        <v>705.1127286149367</v>
      </c>
      <c r="I93" s="44">
        <f t="shared" si="15"/>
        <v>614.4510000199975</v>
      </c>
    </row>
    <row r="94" spans="1:9" ht="14.25">
      <c r="A94" s="47" t="str">
        <f>HLOOKUP(INDICE!$F$2,Nombres!$C$3:$D$636,58,FALSE)</f>
        <v>Total assets / Liabilities and equity</v>
      </c>
      <c r="B94" s="47">
        <v>16889.002433035024</v>
      </c>
      <c r="C94" s="47">
        <v>17293.531924572148</v>
      </c>
      <c r="D94" s="47">
        <v>16219.76308829721</v>
      </c>
      <c r="E94" s="47">
        <v>15713.382346877654</v>
      </c>
      <c r="F94" s="51">
        <v>15637.419433839741</v>
      </c>
      <c r="G94" s="51">
        <v>16229.13361163152</v>
      </c>
      <c r="H94" s="51">
        <v>16607.882715329513</v>
      </c>
      <c r="I94" s="51">
        <v>18209.72600002</v>
      </c>
    </row>
    <row r="95" spans="1:9" ht="14.25">
      <c r="A95" s="43" t="str">
        <f>HLOOKUP(INDICE!$F$2,Nombres!$C$3:$D$636,59,FALSE)</f>
        <v>Financial liabilities held for trading and designated at fair value through profit or loss</v>
      </c>
      <c r="B95" s="58">
        <v>1716.0478686540982</v>
      </c>
      <c r="C95" s="58">
        <v>1536.6363252574242</v>
      </c>
      <c r="D95" s="58">
        <v>1388.523438065697</v>
      </c>
      <c r="E95" s="65">
        <v>1029.3929227980823</v>
      </c>
      <c r="F95" s="44">
        <v>926.8517584608765</v>
      </c>
      <c r="G95" s="44">
        <v>793.4471394303383</v>
      </c>
      <c r="H95" s="44">
        <v>1054.456927156875</v>
      </c>
      <c r="I95" s="44">
        <v>1526.2820000000002</v>
      </c>
    </row>
    <row r="96" spans="1:9" ht="14.25">
      <c r="A96" s="43" t="str">
        <f>HLOOKUP(INDICE!$F$2,Nombres!$C$3:$D$636,60,FALSE)</f>
        <v>Deposits from central banks and credit institutions</v>
      </c>
      <c r="B96" s="58">
        <v>535.2132278554016</v>
      </c>
      <c r="C96" s="58">
        <v>416.65459016487335</v>
      </c>
      <c r="D96" s="58">
        <v>607.3884203826798</v>
      </c>
      <c r="E96" s="65">
        <v>500.0727575053471</v>
      </c>
      <c r="F96" s="44">
        <v>384.4564730497457</v>
      </c>
      <c r="G96" s="44">
        <v>434.68800246157775</v>
      </c>
      <c r="H96" s="44">
        <v>501.33025399362526</v>
      </c>
      <c r="I96" s="44">
        <v>707.2239999999999</v>
      </c>
    </row>
    <row r="97" spans="1:9" ht="14.25">
      <c r="A97" s="43" t="str">
        <f>HLOOKUP(INDICE!$F$2,Nombres!$C$3:$D$636,61,FALSE)</f>
        <v>Deposits from customers</v>
      </c>
      <c r="B97" s="58">
        <v>11859.193946120577</v>
      </c>
      <c r="C97" s="58">
        <v>12671.087856611657</v>
      </c>
      <c r="D97" s="58">
        <v>11428.471575287396</v>
      </c>
      <c r="E97" s="65">
        <v>11331.269673789286</v>
      </c>
      <c r="F97" s="44">
        <v>11417.809298694017</v>
      </c>
      <c r="G97" s="44">
        <v>12052.418285482636</v>
      </c>
      <c r="H97" s="44">
        <v>12006.570468779659</v>
      </c>
      <c r="I97" s="44">
        <v>12808.773000000001</v>
      </c>
    </row>
    <row r="98" spans="1:9" ht="14.25">
      <c r="A98" s="43" t="str">
        <f>HLOOKUP(INDICE!$F$2,Nombres!$C$3:$D$636,62,FALSE)</f>
        <v>Debt certificates</v>
      </c>
      <c r="B98" s="44">
        <v>690.4185251117187</v>
      </c>
      <c r="C98" s="44">
        <v>718.814000176289</v>
      </c>
      <c r="D98" s="44">
        <v>744.1640447682219</v>
      </c>
      <c r="E98" s="45">
        <v>662.2410567416252</v>
      </c>
      <c r="F98" s="44">
        <v>764.0199281233241</v>
      </c>
      <c r="G98" s="44">
        <v>773.576166330086</v>
      </c>
      <c r="H98" s="44">
        <v>800.5453716196296</v>
      </c>
      <c r="I98" s="44">
        <v>825.57491559</v>
      </c>
    </row>
    <row r="99" spans="1:9" ht="14.25">
      <c r="A99" s="43"/>
      <c r="B99" s="44"/>
      <c r="C99" s="44"/>
      <c r="D99" s="44"/>
      <c r="E99" s="45"/>
      <c r="F99" s="44"/>
      <c r="G99" s="44"/>
      <c r="H99" s="44"/>
      <c r="I99" s="44"/>
    </row>
    <row r="100" spans="1:9" ht="14.25">
      <c r="A100" s="43" t="str">
        <f>HLOOKUP(INDICE!$F$2,Nombres!$C$3:$D$636,63,FALSE)</f>
        <v>Other liabilities</v>
      </c>
      <c r="B100" s="58">
        <f>+B94-B95-B96-B97-B98-B101</f>
        <v>573.5682596887546</v>
      </c>
      <c r="C100" s="58">
        <f aca="true" t="shared" si="16" ref="C100:I100">+C94-C95-C96-C97-C98-C101</f>
        <v>475.00320355526355</v>
      </c>
      <c r="D100" s="58">
        <f t="shared" si="16"/>
        <v>625.6760761243304</v>
      </c>
      <c r="E100" s="65">
        <f t="shared" si="16"/>
        <v>800.6308700069017</v>
      </c>
      <c r="F100" s="44">
        <f t="shared" si="16"/>
        <v>705.3466094870689</v>
      </c>
      <c r="G100" s="44">
        <f t="shared" si="16"/>
        <v>733.3090248659882</v>
      </c>
      <c r="H100" s="44">
        <f t="shared" si="16"/>
        <v>756.5371775315239</v>
      </c>
      <c r="I100" s="44">
        <f t="shared" si="16"/>
        <v>732.3913223999996</v>
      </c>
    </row>
    <row r="101" spans="1:9" ht="14.25">
      <c r="A101" s="43" t="str">
        <f>HLOOKUP(INDICE!$F$2,Nombres!$C$3:$D$636,282,FALSE)</f>
        <v>Regulatory capital allocated</v>
      </c>
      <c r="B101" s="58">
        <v>1514.5606056044735</v>
      </c>
      <c r="C101" s="58">
        <v>1475.3359488066399</v>
      </c>
      <c r="D101" s="58">
        <v>1425.5395336688844</v>
      </c>
      <c r="E101" s="65">
        <v>1389.7750660364104</v>
      </c>
      <c r="F101" s="44">
        <v>1438.9353660247086</v>
      </c>
      <c r="G101" s="44">
        <v>1441.694993060893</v>
      </c>
      <c r="H101" s="44">
        <v>1488.4425162482016</v>
      </c>
      <c r="I101" s="44">
        <v>1609.48076203</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Relevant business indicators</v>
      </c>
      <c r="B104" s="34"/>
      <c r="C104" s="34"/>
      <c r="D104" s="34"/>
      <c r="E104" s="34"/>
      <c r="F104" s="69"/>
      <c r="G104" s="69"/>
      <c r="H104" s="69"/>
      <c r="I104" s="69"/>
    </row>
    <row r="105" spans="1:9" ht="14.25">
      <c r="A105" s="35" t="str">
        <f>HLOOKUP(INDICE!$F$2,Nombres!$C$3:$D$636,73,FALSE)</f>
        <v>(Constant million euros)    </v>
      </c>
      <c r="B105" s="30"/>
      <c r="C105" s="30"/>
      <c r="D105" s="30"/>
      <c r="E105" s="30"/>
      <c r="F105" s="70"/>
      <c r="G105" s="44"/>
      <c r="H105" s="44"/>
      <c r="I105" s="44"/>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43" t="str">
        <f>HLOOKUP(INDICE!$F$2,Nombres!$C$3:$D$636,66,FALSE)</f>
        <v>Loans and advances to customers (gross) (*)</v>
      </c>
      <c r="B107" s="44">
        <v>11577.115131657256</v>
      </c>
      <c r="C107" s="44">
        <v>11735.878426644142</v>
      </c>
      <c r="D107" s="44">
        <v>11599.018858500838</v>
      </c>
      <c r="E107" s="45">
        <v>11544.24169727733</v>
      </c>
      <c r="F107" s="44">
        <v>11696.515071379037</v>
      </c>
      <c r="G107" s="44">
        <v>11961.68078362952</v>
      </c>
      <c r="H107" s="44">
        <v>12295.78461821928</v>
      </c>
      <c r="I107" s="44">
        <v>13032.426773160003</v>
      </c>
    </row>
    <row r="108" spans="1:9" ht="14.25">
      <c r="A108" s="43" t="str">
        <f>HLOOKUP(INDICE!$F$2,Nombres!$C$3:$D$636,67,FALSE)</f>
        <v>Customer deposits under management (*)</v>
      </c>
      <c r="B108" s="44">
        <v>11867.090212149835</v>
      </c>
      <c r="C108" s="44">
        <v>12678.999528790782</v>
      </c>
      <c r="D108" s="44">
        <v>11428.471456550267</v>
      </c>
      <c r="E108" s="45">
        <v>11330.303670442661</v>
      </c>
      <c r="F108" s="44">
        <v>11417.381319503955</v>
      </c>
      <c r="G108" s="44">
        <v>12036.651612374844</v>
      </c>
      <c r="H108" s="44">
        <v>11984.307212571925</v>
      </c>
      <c r="I108" s="44">
        <v>12813.57684951</v>
      </c>
    </row>
    <row r="109" spans="1:9" ht="14.25">
      <c r="A109" s="43" t="str">
        <f>HLOOKUP(INDICE!$F$2,Nombres!$C$3:$D$636,68,FALSE)</f>
        <v>Mutual funds</v>
      </c>
      <c r="B109" s="44">
        <v>680.2764439357557</v>
      </c>
      <c r="C109" s="44">
        <v>1064.34734315997</v>
      </c>
      <c r="D109" s="44">
        <v>1516.8333747450129</v>
      </c>
      <c r="E109" s="45">
        <v>1463.4024736608872</v>
      </c>
      <c r="F109" s="44">
        <v>1098.8299438075478</v>
      </c>
      <c r="G109" s="44">
        <v>971.8306659126151</v>
      </c>
      <c r="H109" s="44">
        <v>1033.0737533799534</v>
      </c>
      <c r="I109" s="44">
        <v>998.4839126599998</v>
      </c>
    </row>
    <row r="110" spans="1:9" ht="14.25">
      <c r="A110" s="43" t="str">
        <f>HLOOKUP(INDICE!$F$2,Nombres!$C$3:$D$636,69,FALSE)</f>
        <v>Pension funds</v>
      </c>
      <c r="B110" s="44">
        <v>0</v>
      </c>
      <c r="C110" s="44">
        <v>0</v>
      </c>
      <c r="D110" s="44">
        <v>0</v>
      </c>
      <c r="E110" s="45">
        <v>0</v>
      </c>
      <c r="F110" s="44">
        <v>0</v>
      </c>
      <c r="G110" s="44">
        <v>0</v>
      </c>
      <c r="H110" s="44">
        <v>0</v>
      </c>
      <c r="I110" s="44">
        <v>0</v>
      </c>
    </row>
    <row r="111" spans="1:9" ht="14.25">
      <c r="A111" s="43" t="str">
        <f>HLOOKUP(INDICE!$F$2,Nombres!$C$3:$D$636,70,FALSE)</f>
        <v>Other off balance-sheet funds</v>
      </c>
      <c r="B111" s="44">
        <v>0</v>
      </c>
      <c r="C111" s="44">
        <v>0</v>
      </c>
      <c r="D111" s="44">
        <v>0</v>
      </c>
      <c r="E111" s="45">
        <v>0</v>
      </c>
      <c r="F111" s="44">
        <v>0</v>
      </c>
      <c r="G111" s="44">
        <v>0</v>
      </c>
      <c r="H111" s="44">
        <v>0</v>
      </c>
      <c r="I111" s="44">
        <v>0</v>
      </c>
    </row>
    <row r="112" spans="1:9" ht="14.25">
      <c r="A112" s="62" t="str">
        <f>HLOOKUP(INDICE!$F$2,Nombres!$C$3:$D$636,71,FALSE)</f>
        <v>(*) Excluding repos. </v>
      </c>
      <c r="B112" s="58"/>
      <c r="C112" s="58"/>
      <c r="D112" s="58"/>
      <c r="E112" s="58"/>
      <c r="F112" s="58"/>
      <c r="G112" s="58"/>
      <c r="H112" s="58"/>
      <c r="I112" s="58"/>
    </row>
    <row r="113" spans="1:9" ht="14.25">
      <c r="A113" s="62">
        <f>HLOOKUP(INDICE!$F$2,Nombres!$C$3:$D$636,72,FALSE)</f>
        <v>0</v>
      </c>
      <c r="B113" s="30"/>
      <c r="C113" s="30"/>
      <c r="D113" s="30"/>
      <c r="E113" s="30"/>
      <c r="F113" s="30"/>
      <c r="G113" s="30"/>
      <c r="H113" s="30"/>
      <c r="I113" s="30"/>
    </row>
    <row r="114" spans="1:9" ht="14.25">
      <c r="A114" s="62"/>
      <c r="B114" s="58"/>
      <c r="C114" s="44"/>
      <c r="D114" s="44"/>
      <c r="E114" s="44"/>
      <c r="F114" s="44"/>
      <c r="G114" s="30"/>
      <c r="H114" s="30"/>
      <c r="I114" s="30"/>
    </row>
    <row r="115" spans="1:9" ht="16.5">
      <c r="A115" s="33" t="str">
        <f>HLOOKUP(INDICE!$F$2,Nombres!$C$3:$D$636,31,FALSE)</f>
        <v>Income statement  </v>
      </c>
      <c r="B115" s="34"/>
      <c r="C115" s="34"/>
      <c r="D115" s="34"/>
      <c r="E115" s="34"/>
      <c r="F115" s="34"/>
      <c r="G115" s="34"/>
      <c r="H115" s="34"/>
      <c r="I115" s="34"/>
    </row>
    <row r="116" spans="1:9" ht="14.25">
      <c r="A116" s="35" t="str">
        <f>HLOOKUP(INDICE!$F$2,Nombres!$C$3:$D$636,75,FALSE)</f>
        <v>(Million Colombian pesos)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6">
        <f>+B$6</f>
        <v>2020</v>
      </c>
      <c r="C118" s="306"/>
      <c r="D118" s="306"/>
      <c r="E118" s="307"/>
      <c r="F118" s="306">
        <f>+F$6</f>
        <v>2021</v>
      </c>
      <c r="G118" s="306"/>
      <c r="H118" s="306"/>
      <c r="I118" s="306"/>
    </row>
    <row r="119" spans="1:9" ht="14.25">
      <c r="A119" s="38"/>
      <c r="B119" s="39" t="str">
        <f>+B$7</f>
        <v>1Q</v>
      </c>
      <c r="C119" s="39" t="str">
        <f aca="true" t="shared" si="18" ref="C119:I119">+C$7</f>
        <v>2Q</v>
      </c>
      <c r="D119" s="39" t="str">
        <f t="shared" si="18"/>
        <v>3Q</v>
      </c>
      <c r="E119" s="40" t="str">
        <f t="shared" si="18"/>
        <v>4Q</v>
      </c>
      <c r="F119" s="39" t="str">
        <f t="shared" si="18"/>
        <v>1Q</v>
      </c>
      <c r="G119" s="39" t="str">
        <f t="shared" si="18"/>
        <v>2Q</v>
      </c>
      <c r="H119" s="39" t="str">
        <f t="shared" si="18"/>
        <v>3Q</v>
      </c>
      <c r="I119" s="39" t="str">
        <f t="shared" si="18"/>
        <v>4Q</v>
      </c>
    </row>
    <row r="120" spans="1:9" ht="14.25">
      <c r="A120" s="41" t="str">
        <f>HLOOKUP(INDICE!$F$2,Nombres!$C$3:$D$636,33,FALSE)</f>
        <v>Net interest income</v>
      </c>
      <c r="B120" s="41">
        <v>817266.9058985682</v>
      </c>
      <c r="C120" s="41">
        <v>819961.015994362</v>
      </c>
      <c r="D120" s="41">
        <v>808922.088299362</v>
      </c>
      <c r="E120" s="42">
        <v>846096.880219433</v>
      </c>
      <c r="F120" s="50">
        <v>860613.8709447717</v>
      </c>
      <c r="G120" s="50">
        <v>837025.8431616803</v>
      </c>
      <c r="H120" s="50">
        <v>845092.8070735396</v>
      </c>
      <c r="I120" s="50">
        <v>863825.1877470778</v>
      </c>
    </row>
    <row r="121" spans="1:9" ht="14.25">
      <c r="A121" s="43" t="str">
        <f>HLOOKUP(INDICE!$F$2,Nombres!$C$3:$D$636,34,FALSE)</f>
        <v>Net fees and commissions</v>
      </c>
      <c r="B121" s="44">
        <v>68625.70687130185</v>
      </c>
      <c r="C121" s="44">
        <v>50438.08620293231</v>
      </c>
      <c r="D121" s="44">
        <v>93145.82751830594</v>
      </c>
      <c r="E121" s="45">
        <v>83741.54926617283</v>
      </c>
      <c r="F121" s="44">
        <v>91863.777062407</v>
      </c>
      <c r="G121" s="44">
        <v>96969.80489330775</v>
      </c>
      <c r="H121" s="44">
        <v>89378.97434445318</v>
      </c>
      <c r="I121" s="44">
        <v>88010.74403957048</v>
      </c>
    </row>
    <row r="122" spans="1:9" ht="14.25">
      <c r="A122" s="43" t="str">
        <f>HLOOKUP(INDICE!$F$2,Nombres!$C$3:$D$636,35,FALSE)</f>
        <v>Net trading income</v>
      </c>
      <c r="B122" s="44">
        <v>18712.170255716606</v>
      </c>
      <c r="C122" s="44">
        <v>102394.3310637862</v>
      </c>
      <c r="D122" s="44">
        <v>118439.14184527077</v>
      </c>
      <c r="E122" s="45">
        <v>70979.28307843079</v>
      </c>
      <c r="F122" s="44">
        <v>31376.625707215208</v>
      </c>
      <c r="G122" s="44">
        <v>94129.5714445847</v>
      </c>
      <c r="H122" s="44">
        <v>83751.06706001046</v>
      </c>
      <c r="I122" s="44">
        <v>102729.10644049168</v>
      </c>
    </row>
    <row r="123" spans="1:9" ht="14.25">
      <c r="A123" s="43" t="str">
        <f>HLOOKUP(INDICE!$F$2,Nombres!$C$3:$D$636,36,FALSE)</f>
        <v>Other operating income and expenses</v>
      </c>
      <c r="B123" s="44">
        <v>-5515.221564918846</v>
      </c>
      <c r="C123" s="44">
        <v>-7818.120931105885</v>
      </c>
      <c r="D123" s="44">
        <v>-27945.824342638512</v>
      </c>
      <c r="E123" s="45">
        <v>-9141.260970043295</v>
      </c>
      <c r="F123" s="44">
        <v>-19210.24580259236</v>
      </c>
      <c r="G123" s="44">
        <v>-40210.835348493805</v>
      </c>
      <c r="H123" s="44">
        <v>-43898.540416642405</v>
      </c>
      <c r="I123" s="44">
        <v>-36190.95305800348</v>
      </c>
    </row>
    <row r="124" spans="1:9" ht="14.25">
      <c r="A124" s="41" t="str">
        <f>HLOOKUP(INDICE!$F$2,Nombres!$C$3:$D$636,37,FALSE)</f>
        <v>Gross income</v>
      </c>
      <c r="B124" s="41">
        <f>+SUM(B120:B123)</f>
        <v>899089.5614606679</v>
      </c>
      <c r="C124" s="41">
        <f aca="true" t="shared" si="19" ref="C124:I124">+SUM(C120:C123)</f>
        <v>964975.3123299745</v>
      </c>
      <c r="D124" s="41">
        <f t="shared" si="19"/>
        <v>992561.2333203002</v>
      </c>
      <c r="E124" s="42">
        <f t="shared" si="19"/>
        <v>991676.4515939933</v>
      </c>
      <c r="F124" s="50">
        <f t="shared" si="19"/>
        <v>964644.0279118015</v>
      </c>
      <c r="G124" s="50">
        <f t="shared" si="19"/>
        <v>987914.3841510789</v>
      </c>
      <c r="H124" s="50">
        <f t="shared" si="19"/>
        <v>974324.3080613608</v>
      </c>
      <c r="I124" s="50">
        <f t="shared" si="19"/>
        <v>1018374.0851691365</v>
      </c>
    </row>
    <row r="125" spans="1:9" ht="14.25">
      <c r="A125" s="43" t="str">
        <f>HLOOKUP(INDICE!$F$2,Nombres!$C$3:$D$636,38,FALSE)</f>
        <v>Operating expenses</v>
      </c>
      <c r="B125" s="44">
        <v>-353697.8122500708</v>
      </c>
      <c r="C125" s="44">
        <v>-310078.3931303448</v>
      </c>
      <c r="D125" s="44">
        <v>-333272.6354822879</v>
      </c>
      <c r="E125" s="45">
        <v>-358968.2773300616</v>
      </c>
      <c r="F125" s="44">
        <v>-345018.74551979604</v>
      </c>
      <c r="G125" s="44">
        <v>-344820.97604060976</v>
      </c>
      <c r="H125" s="44">
        <v>-365677.7945753655</v>
      </c>
      <c r="I125" s="44">
        <v>-372426.9180300627</v>
      </c>
    </row>
    <row r="126" spans="1:9" ht="14.25">
      <c r="A126" s="43" t="str">
        <f>HLOOKUP(INDICE!$F$2,Nombres!$C$3:$D$636,39,FALSE)</f>
        <v>  Administration expenses</v>
      </c>
      <c r="B126" s="44">
        <v>-324148.08199842647</v>
      </c>
      <c r="C126" s="44">
        <v>-279711.44095474784</v>
      </c>
      <c r="D126" s="44">
        <v>-302880.98419991124</v>
      </c>
      <c r="E126" s="45">
        <v>-328519.7496900159</v>
      </c>
      <c r="F126" s="44">
        <v>-314592.5265880362</v>
      </c>
      <c r="G126" s="44">
        <v>-314489.43435114936</v>
      </c>
      <c r="H126" s="44">
        <v>-335725.5996732227</v>
      </c>
      <c r="I126" s="44">
        <v>-342407.16457976284</v>
      </c>
    </row>
    <row r="127" spans="1:9" ht="14.25">
      <c r="A127" s="46" t="str">
        <f>HLOOKUP(INDICE!$F$2,Nombres!$C$3:$D$636,40,FALSE)</f>
        <v>  Personnel expenses</v>
      </c>
      <c r="B127" s="44">
        <v>-164809.17397742634</v>
      </c>
      <c r="C127" s="44">
        <v>-140767.93954308674</v>
      </c>
      <c r="D127" s="44">
        <v>-150427.05504617095</v>
      </c>
      <c r="E127" s="45">
        <v>-159810.70442218363</v>
      </c>
      <c r="F127" s="44">
        <v>-158733.01008738833</v>
      </c>
      <c r="G127" s="44">
        <v>-153862.15192445373</v>
      </c>
      <c r="H127" s="44">
        <v>-167731.3520612886</v>
      </c>
      <c r="I127" s="44">
        <v>-157651.78851940407</v>
      </c>
    </row>
    <row r="128" spans="1:9" ht="14.25">
      <c r="A128" s="46" t="str">
        <f>HLOOKUP(INDICE!$F$2,Nombres!$C$3:$D$636,41,FALSE)</f>
        <v>  General and administrative expenses</v>
      </c>
      <c r="B128" s="44">
        <v>-159338.90802100007</v>
      </c>
      <c r="C128" s="44">
        <v>-138943.5014116611</v>
      </c>
      <c r="D128" s="44">
        <v>-152453.9291537403</v>
      </c>
      <c r="E128" s="45">
        <v>-168709.0452678322</v>
      </c>
      <c r="F128" s="44">
        <v>-155859.51650064794</v>
      </c>
      <c r="G128" s="44">
        <v>-160627.28242669566</v>
      </c>
      <c r="H128" s="44">
        <v>-167994.24761193403</v>
      </c>
      <c r="I128" s="44">
        <v>-184755.3760603588</v>
      </c>
    </row>
    <row r="129" spans="1:9" ht="14.25">
      <c r="A129" s="43" t="str">
        <f>HLOOKUP(INDICE!$F$2,Nombres!$C$3:$D$636,42,FALSE)</f>
        <v>  Depreciation</v>
      </c>
      <c r="B129" s="44">
        <v>-29549.730251644385</v>
      </c>
      <c r="C129" s="44">
        <v>-30366.95217559697</v>
      </c>
      <c r="D129" s="44">
        <v>-30391.651282376704</v>
      </c>
      <c r="E129" s="45">
        <v>-30448.527640045744</v>
      </c>
      <c r="F129" s="44">
        <v>-30426.218931759788</v>
      </c>
      <c r="G129" s="44">
        <v>-30331.54168946034</v>
      </c>
      <c r="H129" s="44">
        <v>-29952.194902142783</v>
      </c>
      <c r="I129" s="44">
        <v>-30019.753450299842</v>
      </c>
    </row>
    <row r="130" spans="1:9" ht="14.25">
      <c r="A130" s="41" t="str">
        <f>HLOOKUP(INDICE!$F$2,Nombres!$C$3:$D$636,43,FALSE)</f>
        <v>Operating income</v>
      </c>
      <c r="B130" s="41">
        <f>+B124+B125</f>
        <v>545391.749210597</v>
      </c>
      <c r="C130" s="41">
        <f aca="true" t="shared" si="20" ref="C130:I130">+C124+C125</f>
        <v>654896.9191996297</v>
      </c>
      <c r="D130" s="41">
        <f t="shared" si="20"/>
        <v>659288.5978380123</v>
      </c>
      <c r="E130" s="42">
        <f t="shared" si="20"/>
        <v>632708.1742639318</v>
      </c>
      <c r="F130" s="50">
        <f t="shared" si="20"/>
        <v>619625.2823920054</v>
      </c>
      <c r="G130" s="50">
        <f t="shared" si="20"/>
        <v>643093.4081104691</v>
      </c>
      <c r="H130" s="50">
        <f t="shared" si="20"/>
        <v>608646.5134859954</v>
      </c>
      <c r="I130" s="50">
        <f t="shared" si="20"/>
        <v>645947.1671390738</v>
      </c>
    </row>
    <row r="131" spans="1:9" ht="14.25">
      <c r="A131" s="43" t="str">
        <f>HLOOKUP(INDICE!$F$2,Nombres!$C$3:$D$636,44,FALSE)</f>
        <v>Impaiment on financial assets not measured at fair value through profit or loss</v>
      </c>
      <c r="B131" s="44">
        <v>-505809.00462424033</v>
      </c>
      <c r="C131" s="44">
        <v>-370336.763673553</v>
      </c>
      <c r="D131" s="44">
        <v>-284845.9032063385</v>
      </c>
      <c r="E131" s="45">
        <v>-218981.32360653722</v>
      </c>
      <c r="F131" s="44">
        <v>-292219.3701938051</v>
      </c>
      <c r="G131" s="44">
        <v>-297736.78182715294</v>
      </c>
      <c r="H131" s="44">
        <v>-227136.93432125694</v>
      </c>
      <c r="I131" s="44">
        <v>-183207.1640033592</v>
      </c>
    </row>
    <row r="132" spans="1:9" ht="14.25">
      <c r="A132" s="43" t="str">
        <f>HLOOKUP(INDICE!$F$2,Nombres!$C$3:$D$636,45,FALSE)</f>
        <v>Provisions or reversal of provisions and other results</v>
      </c>
      <c r="B132" s="44">
        <v>-9790.103343667819</v>
      </c>
      <c r="C132" s="44">
        <v>-40379.69833853807</v>
      </c>
      <c r="D132" s="44">
        <v>-19992.69861013785</v>
      </c>
      <c r="E132" s="45">
        <v>-1721.5034590170483</v>
      </c>
      <c r="F132" s="44">
        <v>-32032.78498349309</v>
      </c>
      <c r="G132" s="44">
        <v>16023.20897682318</v>
      </c>
      <c r="H132" s="44">
        <v>10740.062933392892</v>
      </c>
      <c r="I132" s="44">
        <v>-17062.096155633284</v>
      </c>
    </row>
    <row r="133" spans="1:9" ht="14.25">
      <c r="A133" s="41" t="str">
        <f>HLOOKUP(INDICE!$F$2,Nombres!$C$3:$D$636,46,FALSE)</f>
        <v>Profit/(loss) before tax</v>
      </c>
      <c r="B133" s="41">
        <f>+B130+B131+B132</f>
        <v>29792.641242688864</v>
      </c>
      <c r="C133" s="41">
        <f aca="true" t="shared" si="21" ref="C133:I133">+C130+C131+C132</f>
        <v>244180.45718753862</v>
      </c>
      <c r="D133" s="41">
        <f t="shared" si="21"/>
        <v>354449.9960215359</v>
      </c>
      <c r="E133" s="42">
        <f t="shared" si="21"/>
        <v>412005.3471983776</v>
      </c>
      <c r="F133" s="50">
        <f t="shared" si="21"/>
        <v>295373.12721470726</v>
      </c>
      <c r="G133" s="50">
        <f t="shared" si="21"/>
        <v>361379.83526013937</v>
      </c>
      <c r="H133" s="50">
        <f t="shared" si="21"/>
        <v>392249.6420981313</v>
      </c>
      <c r="I133" s="50">
        <f t="shared" si="21"/>
        <v>445677.90698008134</v>
      </c>
    </row>
    <row r="134" spans="1:9" ht="14.25">
      <c r="A134" s="43" t="str">
        <f>HLOOKUP(INDICE!$F$2,Nombres!$C$3:$D$636,47,FALSE)</f>
        <v>Income tax</v>
      </c>
      <c r="B134" s="44">
        <v>1757.345509663166</v>
      </c>
      <c r="C134" s="44">
        <v>-74673.68391714999</v>
      </c>
      <c r="D134" s="44">
        <v>-113368.83995203474</v>
      </c>
      <c r="E134" s="45">
        <v>-133634.14819695827</v>
      </c>
      <c r="F134" s="44">
        <v>-80643.89796417106</v>
      </c>
      <c r="G134" s="44">
        <v>-95528.5417774448</v>
      </c>
      <c r="H134" s="44">
        <v>-139768.7230787812</v>
      </c>
      <c r="I134" s="44">
        <v>-127971.32497785121</v>
      </c>
    </row>
    <row r="135" spans="1:9" ht="14.25">
      <c r="A135" s="41" t="str">
        <f>HLOOKUP(INDICE!$F$2,Nombres!$C$3:$D$636,48,FALSE)</f>
        <v>Profit/(loss) for the year</v>
      </c>
      <c r="B135" s="41">
        <f>+B133+B134</f>
        <v>31549.98675235203</v>
      </c>
      <c r="C135" s="41">
        <f aca="true" t="shared" si="22" ref="C135:I135">+C133+C134</f>
        <v>169506.77327038863</v>
      </c>
      <c r="D135" s="41">
        <f t="shared" si="22"/>
        <v>241081.15606950113</v>
      </c>
      <c r="E135" s="42">
        <f t="shared" si="22"/>
        <v>278371.19900141936</v>
      </c>
      <c r="F135" s="50">
        <f t="shared" si="22"/>
        <v>214729.22925053618</v>
      </c>
      <c r="G135" s="50">
        <f t="shared" si="22"/>
        <v>265851.29348269454</v>
      </c>
      <c r="H135" s="50">
        <f t="shared" si="22"/>
        <v>252480.9190193501</v>
      </c>
      <c r="I135" s="50">
        <f t="shared" si="22"/>
        <v>317706.5820022301</v>
      </c>
    </row>
    <row r="136" spans="1:9" ht="14.25">
      <c r="A136" s="43" t="str">
        <f>HLOOKUP(INDICE!$F$2,Nombres!$C$3:$D$636,49,FALSE)</f>
        <v>Non-controlling interests</v>
      </c>
      <c r="B136" s="44">
        <v>391.25176803513205</v>
      </c>
      <c r="C136" s="44">
        <v>-6122.860017061439</v>
      </c>
      <c r="D136" s="44">
        <v>-8881.46414519483</v>
      </c>
      <c r="E136" s="45">
        <v>-10571.462639679614</v>
      </c>
      <c r="F136" s="44">
        <v>-8150.699597180766</v>
      </c>
      <c r="G136" s="44">
        <v>-10070.910178310898</v>
      </c>
      <c r="H136" s="44">
        <v>-9238.935420099922</v>
      </c>
      <c r="I136" s="44">
        <v>-12391.901485665856</v>
      </c>
    </row>
    <row r="137" spans="1:9" ht="14.25">
      <c r="A137" s="47" t="str">
        <f>HLOOKUP(INDICE!$F$2,Nombres!$C$3:$D$636,50,FALSE)</f>
        <v>Net attributable profit</v>
      </c>
      <c r="B137" s="47">
        <f>+B135+B136</f>
        <v>31941.23852038716</v>
      </c>
      <c r="C137" s="47">
        <f aca="true" t="shared" si="23" ref="C137:I137">+C135+C136</f>
        <v>163383.9132533272</v>
      </c>
      <c r="D137" s="47">
        <f t="shared" si="23"/>
        <v>232199.6919243063</v>
      </c>
      <c r="E137" s="47">
        <f t="shared" si="23"/>
        <v>267799.73636173975</v>
      </c>
      <c r="F137" s="51">
        <f t="shared" si="23"/>
        <v>206578.52965335542</v>
      </c>
      <c r="G137" s="51">
        <f t="shared" si="23"/>
        <v>255780.38330438363</v>
      </c>
      <c r="H137" s="51">
        <f t="shared" si="23"/>
        <v>243241.9835992502</v>
      </c>
      <c r="I137" s="51">
        <f t="shared" si="23"/>
        <v>305314.6805165642</v>
      </c>
    </row>
    <row r="138" spans="1:9" ht="14.25">
      <c r="A138" s="62"/>
      <c r="B138" s="63">
        <v>5.093170329928398E-11</v>
      </c>
      <c r="C138" s="63">
        <v>0</v>
      </c>
      <c r="D138" s="63">
        <v>0</v>
      </c>
      <c r="E138" s="63">
        <v>0</v>
      </c>
      <c r="F138" s="63">
        <v>0</v>
      </c>
      <c r="G138" s="63">
        <v>0</v>
      </c>
      <c r="H138" s="63">
        <v>0</v>
      </c>
      <c r="I138" s="63">
        <v>0</v>
      </c>
    </row>
    <row r="139" spans="1:9" ht="14.25">
      <c r="A139" s="41"/>
      <c r="B139" s="41"/>
      <c r="C139" s="41"/>
      <c r="D139" s="41"/>
      <c r="E139" s="41"/>
      <c r="F139" s="50"/>
      <c r="G139" s="50"/>
      <c r="H139" s="50"/>
      <c r="I139" s="50"/>
    </row>
    <row r="140" spans="1:9" ht="16.5">
      <c r="A140" s="33" t="str">
        <f>HLOOKUP(INDICE!$F$2,Nombres!$C$3:$D$636,51,FALSE)</f>
        <v>Balance sheets</v>
      </c>
      <c r="B140" s="34"/>
      <c r="C140" s="34"/>
      <c r="D140" s="34"/>
      <c r="E140" s="34"/>
      <c r="F140" s="69"/>
      <c r="G140" s="69"/>
      <c r="H140" s="69"/>
      <c r="I140" s="69"/>
    </row>
    <row r="141" spans="1:9" ht="14.25">
      <c r="A141" s="35" t="str">
        <f>HLOOKUP(INDICE!$F$2,Nombres!$C$3:$D$636,75,FALSE)</f>
        <v>(Million Colombian pesos)</v>
      </c>
      <c r="B141" s="30"/>
      <c r="C141" s="52"/>
      <c r="D141" s="52"/>
      <c r="E141" s="52"/>
      <c r="F141" s="70"/>
      <c r="G141" s="44"/>
      <c r="H141" s="44"/>
      <c r="I141" s="44"/>
    </row>
    <row r="142" spans="1:9" ht="14.25">
      <c r="A142" s="30"/>
      <c r="B142" s="53">
        <f aca="true" t="shared" si="24" ref="B142:I142">+B$30</f>
        <v>43921</v>
      </c>
      <c r="C142" s="53">
        <f t="shared" si="24"/>
        <v>44012</v>
      </c>
      <c r="D142" s="53">
        <f t="shared" si="24"/>
        <v>44104</v>
      </c>
      <c r="E142" s="68">
        <f t="shared" si="24"/>
        <v>44196</v>
      </c>
      <c r="F142" s="53">
        <f t="shared" si="24"/>
        <v>44286</v>
      </c>
      <c r="G142" s="53">
        <f t="shared" si="24"/>
        <v>44377</v>
      </c>
      <c r="H142" s="53">
        <f t="shared" si="24"/>
        <v>44469</v>
      </c>
      <c r="I142" s="53">
        <f t="shared" si="24"/>
        <v>44561</v>
      </c>
    </row>
    <row r="143" spans="1:9" ht="14.25">
      <c r="A143" s="43" t="str">
        <f>HLOOKUP(INDICE!$F$2,Nombres!$C$3:$D$636,52,FALSE)</f>
        <v>Cash, cash balances at central banks and other demand deposits</v>
      </c>
      <c r="B143" s="44">
        <v>5748211.327396308</v>
      </c>
      <c r="C143" s="44">
        <v>9347805.931162573</v>
      </c>
      <c r="D143" s="44">
        <v>5729782.146067682</v>
      </c>
      <c r="E143" s="45">
        <v>5781213.304085398</v>
      </c>
      <c r="F143" s="44">
        <v>3728039.759377931</v>
      </c>
      <c r="G143" s="44">
        <v>7309172.660047796</v>
      </c>
      <c r="H143" s="44">
        <v>7125274.712022508</v>
      </c>
      <c r="I143" s="44">
        <v>10330427.477458026</v>
      </c>
    </row>
    <row r="144" spans="1:9" ht="14.25">
      <c r="A144" s="43" t="str">
        <f>HLOOKUP(INDICE!$F$2,Nombres!$C$3:$D$636,53,FALSE)</f>
        <v>Financial assets designated at fair value </v>
      </c>
      <c r="B144" s="58">
        <v>15327024.145769738</v>
      </c>
      <c r="C144" s="58">
        <v>12960072.291628709</v>
      </c>
      <c r="D144" s="58">
        <v>12118821.219874823</v>
      </c>
      <c r="E144" s="65">
        <v>9831193.411974963</v>
      </c>
      <c r="F144" s="44">
        <v>10252738.087411333</v>
      </c>
      <c r="G144" s="44">
        <v>8023668.425606111</v>
      </c>
      <c r="H144" s="44">
        <v>8322963.339345169</v>
      </c>
      <c r="I144" s="44">
        <v>9334619.209548473</v>
      </c>
    </row>
    <row r="145" spans="1:9" ht="14.25">
      <c r="A145" s="43" t="str">
        <f>HLOOKUP(INDICE!$F$2,Nombres!$C$3:$D$636,54,FALSE)</f>
        <v>Financial assets at amortized cost</v>
      </c>
      <c r="B145" s="44">
        <v>51611923.16047239</v>
      </c>
      <c r="C145" s="44">
        <v>53149026.36213451</v>
      </c>
      <c r="D145" s="44">
        <v>52632426.52776959</v>
      </c>
      <c r="E145" s="45">
        <v>52478156.31292574</v>
      </c>
      <c r="F145" s="44">
        <v>53147690.07978696</v>
      </c>
      <c r="G145" s="44">
        <v>54154803.01097002</v>
      </c>
      <c r="H145" s="44">
        <v>55810458.904663906</v>
      </c>
      <c r="I145" s="44">
        <v>59224245.49237206</v>
      </c>
    </row>
    <row r="146" spans="1:9" ht="14.25">
      <c r="A146" s="43" t="str">
        <f>HLOOKUP(INDICE!$F$2,Nombres!$C$3:$D$636,55,FALSE)</f>
        <v>    of which loans and advances to customers</v>
      </c>
      <c r="B146" s="44">
        <v>49291003.98391889</v>
      </c>
      <c r="C146" s="44">
        <v>49831974.166085646</v>
      </c>
      <c r="D146" s="44">
        <v>49124536.964358926</v>
      </c>
      <c r="E146" s="45">
        <v>48897235.260743074</v>
      </c>
      <c r="F146" s="44">
        <v>49537171.63714026</v>
      </c>
      <c r="G146" s="44">
        <v>50675251.22333102</v>
      </c>
      <c r="H146" s="44">
        <v>52193678.04281339</v>
      </c>
      <c r="I146" s="44">
        <v>55590216.713808015</v>
      </c>
    </row>
    <row r="147" spans="1:9" ht="14.25">
      <c r="A147" s="43"/>
      <c r="B147" s="44"/>
      <c r="C147" s="44"/>
      <c r="D147" s="44"/>
      <c r="E147" s="45"/>
      <c r="F147" s="44"/>
      <c r="G147" s="44"/>
      <c r="H147" s="44"/>
      <c r="I147" s="44"/>
    </row>
    <row r="148" spans="1:9" ht="14.25">
      <c r="A148" s="43" t="str">
        <f>HLOOKUP(INDICE!$F$2,Nombres!$C$3:$D$636,56,FALSE)</f>
        <v>Tangible assets</v>
      </c>
      <c r="B148" s="44">
        <v>514270.4001681748</v>
      </c>
      <c r="C148" s="44">
        <v>510612.9586815629</v>
      </c>
      <c r="D148" s="44">
        <v>496817.8809276826</v>
      </c>
      <c r="E148" s="45">
        <v>483990.6692957426</v>
      </c>
      <c r="F148" s="44">
        <v>465559.1495517467</v>
      </c>
      <c r="G148" s="44">
        <v>451715.15011656843</v>
      </c>
      <c r="H148" s="44">
        <v>447876.11042307375</v>
      </c>
      <c r="I148" s="44">
        <v>448890.6319118281</v>
      </c>
    </row>
    <row r="149" spans="1:9" ht="14.25">
      <c r="A149" s="43" t="str">
        <f>HLOOKUP(INDICE!$F$2,Nombres!$C$3:$D$636,57,FALSE)</f>
        <v>Other assets</v>
      </c>
      <c r="B149" s="58">
        <f>+B150-B148-B145-B144-B143</f>
        <v>2952127.107399541</v>
      </c>
      <c r="C149" s="58">
        <f aca="true" t="shared" si="25" ref="C149:I149">+C150-C148-C145-C144-C143</f>
        <v>2010087.0851689074</v>
      </c>
      <c r="D149" s="58">
        <f t="shared" si="25"/>
        <v>2158066.7851010663</v>
      </c>
      <c r="E149" s="65">
        <f t="shared" si="25"/>
        <v>2278058.7911667023</v>
      </c>
      <c r="F149" s="44">
        <f t="shared" si="25"/>
        <v>2916063.94198928</v>
      </c>
      <c r="G149" s="44">
        <f t="shared" si="25"/>
        <v>3238807.5820518155</v>
      </c>
      <c r="H149" s="44">
        <f t="shared" si="25"/>
        <v>3179396.8872563783</v>
      </c>
      <c r="I149" s="44">
        <f t="shared" si="25"/>
        <v>2770597.5478170477</v>
      </c>
    </row>
    <row r="150" spans="1:9" ht="14.25">
      <c r="A150" s="47" t="str">
        <f>HLOOKUP(INDICE!$F$2,Nombres!$C$3:$D$636,58,FALSE)</f>
        <v>Total assets / Liabilities and equity</v>
      </c>
      <c r="B150" s="47">
        <v>76153556.14120616</v>
      </c>
      <c r="C150" s="47">
        <v>77977604.62877627</v>
      </c>
      <c r="D150" s="47">
        <v>73135914.55974084</v>
      </c>
      <c r="E150" s="47">
        <v>70852612.48944855</v>
      </c>
      <c r="F150" s="51">
        <v>70510091.01811725</v>
      </c>
      <c r="G150" s="51">
        <v>73178166.8287923</v>
      </c>
      <c r="H150" s="51">
        <v>74885969.95371103</v>
      </c>
      <c r="I150" s="51">
        <v>82108780.35910743</v>
      </c>
    </row>
    <row r="151" spans="1:9" ht="14.25">
      <c r="A151" s="43" t="str">
        <f>HLOOKUP(INDICE!$F$2,Nombres!$C$3:$D$636,59,FALSE)</f>
        <v>Financial liabilities held for trading and designated at fair value through profit or loss</v>
      </c>
      <c r="B151" s="58">
        <v>7737765.9352413695</v>
      </c>
      <c r="C151" s="58">
        <v>6928788.193861306</v>
      </c>
      <c r="D151" s="58">
        <v>6260938.0283637345</v>
      </c>
      <c r="E151" s="65">
        <v>4641596.331606228</v>
      </c>
      <c r="F151" s="44">
        <v>4179231.881953251</v>
      </c>
      <c r="G151" s="44">
        <v>3577702.2069401927</v>
      </c>
      <c r="H151" s="44">
        <v>4754611.476854079</v>
      </c>
      <c r="I151" s="44">
        <v>6882099.901114469</v>
      </c>
    </row>
    <row r="152" spans="1:9" ht="14.25">
      <c r="A152" s="43" t="str">
        <f>HLOOKUP(INDICE!$F$2,Nombres!$C$3:$D$636,60,FALSE)</f>
        <v>Deposits from central banks and credit institutions</v>
      </c>
      <c r="B152" s="58">
        <v>2413309.53421374</v>
      </c>
      <c r="C152" s="58">
        <v>1878721.306922682</v>
      </c>
      <c r="D152" s="58">
        <v>2738751.939585027</v>
      </c>
      <c r="E152" s="65">
        <v>2254858.9808289623</v>
      </c>
      <c r="F152" s="44">
        <v>1733538.0061865845</v>
      </c>
      <c r="G152" s="44">
        <v>1960035.0778928602</v>
      </c>
      <c r="H152" s="44">
        <v>2260529.1102399295</v>
      </c>
      <c r="I152" s="44">
        <v>3188916.740461972</v>
      </c>
    </row>
    <row r="153" spans="1:9" ht="14.25">
      <c r="A153" s="43" t="str">
        <f>HLOOKUP(INDICE!$F$2,Nombres!$C$3:$D$636,61,FALSE)</f>
        <v>Deposits from customers</v>
      </c>
      <c r="B153" s="58">
        <v>53473838.70339409</v>
      </c>
      <c r="C153" s="58">
        <v>57134718.54152763</v>
      </c>
      <c r="D153" s="58">
        <v>51531684.90369076</v>
      </c>
      <c r="E153" s="65">
        <v>51093395.52028173</v>
      </c>
      <c r="F153" s="44">
        <v>51483608.039330855</v>
      </c>
      <c r="G153" s="44">
        <v>54345099.195764795</v>
      </c>
      <c r="H153" s="44">
        <v>54138368.55568788</v>
      </c>
      <c r="I153" s="44">
        <v>57755549.36551548</v>
      </c>
    </row>
    <row r="154" spans="1:9" ht="14.25">
      <c r="A154" s="43" t="str">
        <f>HLOOKUP(INDICE!$F$2,Nombres!$C$3:$D$636,62,FALSE)</f>
        <v>Debt certificates</v>
      </c>
      <c r="B154" s="44">
        <v>3113139.815184192</v>
      </c>
      <c r="C154" s="44">
        <v>3241176.7678141627</v>
      </c>
      <c r="D154" s="44">
        <v>3355481.686157816</v>
      </c>
      <c r="E154" s="45">
        <v>2986085.868217984</v>
      </c>
      <c r="F154" s="44">
        <v>3445013.0918054557</v>
      </c>
      <c r="G154" s="44">
        <v>3488102.760698742</v>
      </c>
      <c r="H154" s="44">
        <v>3609708.5747333057</v>
      </c>
      <c r="I154" s="44">
        <v>3722568.3359592305</v>
      </c>
    </row>
    <row r="155" spans="1:9" ht="14.25">
      <c r="A155" s="43"/>
      <c r="B155" s="44"/>
      <c r="C155" s="44"/>
      <c r="D155" s="44"/>
      <c r="E155" s="45"/>
      <c r="F155" s="44"/>
      <c r="G155" s="44"/>
      <c r="H155" s="44"/>
      <c r="I155" s="44"/>
    </row>
    <row r="156" spans="1:9" ht="15.75" customHeight="1">
      <c r="A156" s="43" t="str">
        <f>HLOOKUP(INDICE!$F$2,Nombres!$C$3:$D$636,63,FALSE)</f>
        <v>Other liabilities</v>
      </c>
      <c r="B156" s="58">
        <f>+B150-B151-B152-B153-B154-B157</f>
        <v>2586254.7440685406</v>
      </c>
      <c r="C156" s="58">
        <f aca="true" t="shared" si="26" ref="C156:I156">+C150-C151-C152-C153-C154-C157</f>
        <v>2141818.812130846</v>
      </c>
      <c r="D156" s="58">
        <f t="shared" si="26"/>
        <v>2821212.1099671805</v>
      </c>
      <c r="E156" s="65">
        <f t="shared" si="26"/>
        <v>3610094.0922474638</v>
      </c>
      <c r="F156" s="44">
        <f t="shared" si="26"/>
        <v>3180451.470568632</v>
      </c>
      <c r="G156" s="44">
        <f t="shared" si="26"/>
        <v>3306535.7303018384</v>
      </c>
      <c r="H156" s="44">
        <f t="shared" si="26"/>
        <v>3411272.9067624006</v>
      </c>
      <c r="I156" s="44">
        <f t="shared" si="26"/>
        <v>3302397.7531453026</v>
      </c>
    </row>
    <row r="157" spans="1:9" ht="15.75" customHeight="1">
      <c r="A157" s="43" t="str">
        <f>HLOOKUP(INDICE!$F$2,Nombres!$C$3:$D$636,282,FALSE)</f>
        <v>Regulatory capital allocated</v>
      </c>
      <c r="B157" s="58">
        <v>6829247.409104228</v>
      </c>
      <c r="C157" s="58">
        <v>6652381.006519634</v>
      </c>
      <c r="D157" s="58">
        <v>6427845.891976318</v>
      </c>
      <c r="E157" s="65">
        <v>6266581.69626618</v>
      </c>
      <c r="F157" s="44">
        <v>6488248.5282724695</v>
      </c>
      <c r="G157" s="44">
        <v>6500691.857193885</v>
      </c>
      <c r="H157" s="44">
        <v>6711479.329433436</v>
      </c>
      <c r="I157" s="44">
        <v>7257248.262910985</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Relevant business indicators</v>
      </c>
      <c r="B160" s="34"/>
      <c r="C160" s="34"/>
      <c r="D160" s="34"/>
      <c r="E160" s="34"/>
      <c r="F160" s="69"/>
      <c r="G160" s="69"/>
      <c r="H160" s="69"/>
      <c r="I160" s="69"/>
    </row>
    <row r="161" spans="1:9" ht="14.25">
      <c r="A161" s="35" t="str">
        <f>HLOOKUP(INDICE!$F$2,Nombres!$C$3:$D$636,75,FALSE)</f>
        <v>(Million Colombian pesos)</v>
      </c>
      <c r="B161" s="30"/>
      <c r="C161" s="30"/>
      <c r="D161" s="30"/>
      <c r="E161" s="30"/>
      <c r="F161" s="70"/>
      <c r="G161" s="44"/>
      <c r="H161" s="44"/>
      <c r="I161" s="44"/>
    </row>
    <row r="162" spans="1:9" ht="14.25">
      <c r="A162" s="30"/>
      <c r="B162" s="53">
        <f aca="true" t="shared" si="27" ref="B162:I162">+B$30</f>
        <v>43921</v>
      </c>
      <c r="C162" s="53">
        <f t="shared" si="27"/>
        <v>44012</v>
      </c>
      <c r="D162" s="53">
        <f t="shared" si="27"/>
        <v>44104</v>
      </c>
      <c r="E162" s="68">
        <f t="shared" si="27"/>
        <v>44196</v>
      </c>
      <c r="F162" s="53">
        <f t="shared" si="27"/>
        <v>44286</v>
      </c>
      <c r="G162" s="53">
        <f t="shared" si="27"/>
        <v>44377</v>
      </c>
      <c r="H162" s="53">
        <f t="shared" si="27"/>
        <v>44469</v>
      </c>
      <c r="I162" s="53">
        <f t="shared" si="27"/>
        <v>44561</v>
      </c>
    </row>
    <row r="163" spans="1:9" ht="14.25">
      <c r="A163" s="43" t="str">
        <f>HLOOKUP(INDICE!$F$2,Nombres!$C$3:$D$636,66,FALSE)</f>
        <v>Loans and advances to customers (gross) (*)</v>
      </c>
      <c r="B163" s="44">
        <v>52201927.88932139</v>
      </c>
      <c r="C163" s="44">
        <v>52917801.40203388</v>
      </c>
      <c r="D163" s="44">
        <v>52300693.14786749</v>
      </c>
      <c r="E163" s="45">
        <v>52053699.541286506</v>
      </c>
      <c r="F163" s="44">
        <v>52740309.599485286</v>
      </c>
      <c r="G163" s="44">
        <v>53935958.19001965</v>
      </c>
      <c r="H163" s="44">
        <v>55442453.036314204</v>
      </c>
      <c r="I163" s="44">
        <v>58764018.0561954</v>
      </c>
    </row>
    <row r="164" spans="1:9" ht="14.25">
      <c r="A164" s="43" t="str">
        <f>HLOOKUP(INDICE!$F$2,Nombres!$C$3:$D$636,67,FALSE)</f>
        <v>Customer deposits under management (*)</v>
      </c>
      <c r="B164" s="44">
        <v>53509443.45511044</v>
      </c>
      <c r="C164" s="44">
        <v>57170392.76052621</v>
      </c>
      <c r="D164" s="44">
        <v>51531684.368297696</v>
      </c>
      <c r="E164" s="45">
        <v>51089039.7514682</v>
      </c>
      <c r="F164" s="44">
        <v>51481678.25470285</v>
      </c>
      <c r="G164" s="44">
        <v>54274006.29193966</v>
      </c>
      <c r="H164" s="44">
        <v>54037982.15701076</v>
      </c>
      <c r="I164" s="44">
        <v>57777210.21995637</v>
      </c>
    </row>
    <row r="165" spans="1:9" ht="14.25">
      <c r="A165" s="43" t="str">
        <f>HLOOKUP(INDICE!$F$2,Nombres!$C$3:$D$636,68,FALSE)</f>
        <v>Mutual funds</v>
      </c>
      <c r="B165" s="44">
        <v>3067408.5441227555</v>
      </c>
      <c r="C165" s="44">
        <v>4799207.974091734</v>
      </c>
      <c r="D165" s="44">
        <v>6839495.465673959</v>
      </c>
      <c r="E165" s="45">
        <v>6598572.229294627</v>
      </c>
      <c r="F165" s="44">
        <v>4954692.152314935</v>
      </c>
      <c r="G165" s="44">
        <v>4382044.5564956</v>
      </c>
      <c r="H165" s="44">
        <v>4658193.424268995</v>
      </c>
      <c r="I165" s="44">
        <v>4502225.693929284</v>
      </c>
    </row>
    <row r="166" spans="1:9" ht="14.25">
      <c r="A166" s="43" t="str">
        <f>HLOOKUP(INDICE!$F$2,Nombres!$C$3:$D$636,69,FALSE)</f>
        <v>Pension funds</v>
      </c>
      <c r="B166" s="44">
        <v>0</v>
      </c>
      <c r="C166" s="44">
        <v>0</v>
      </c>
      <c r="D166" s="44">
        <v>0</v>
      </c>
      <c r="E166" s="45">
        <v>0</v>
      </c>
      <c r="F166" s="44">
        <v>0</v>
      </c>
      <c r="G166" s="44">
        <v>0</v>
      </c>
      <c r="H166" s="44">
        <v>0</v>
      </c>
      <c r="I166" s="44">
        <v>0</v>
      </c>
    </row>
    <row r="167" spans="1:15" ht="14.25">
      <c r="A167" s="43" t="str">
        <f>HLOOKUP(INDICE!$F$2,Nombres!$C$3:$D$636,70,FALSE)</f>
        <v>Other off balance-sheet funds</v>
      </c>
      <c r="B167" s="44">
        <v>0</v>
      </c>
      <c r="C167" s="44">
        <v>0</v>
      </c>
      <c r="D167" s="44">
        <v>0</v>
      </c>
      <c r="E167" s="45">
        <v>0</v>
      </c>
      <c r="F167" s="44">
        <v>0</v>
      </c>
      <c r="G167" s="44">
        <v>0</v>
      </c>
      <c r="H167" s="44">
        <v>0</v>
      </c>
      <c r="I167" s="44">
        <v>0</v>
      </c>
      <c r="K167" s="74"/>
      <c r="L167" s="74"/>
      <c r="M167" s="74"/>
      <c r="N167" s="74"/>
      <c r="O167" s="74"/>
    </row>
    <row r="168" spans="1:15" ht="14.25">
      <c r="A168" s="62" t="str">
        <f>HLOOKUP(INDICE!$F$2,Nombres!$C$3:$D$636,71,FALSE)</f>
        <v>(*) Excluding repos. </v>
      </c>
      <c r="B168" s="58"/>
      <c r="C168" s="58"/>
      <c r="D168" s="58"/>
      <c r="E168" s="58"/>
      <c r="F168" s="44"/>
      <c r="G168" s="44"/>
      <c r="H168" s="44"/>
      <c r="I168" s="44"/>
      <c r="K168" s="74"/>
      <c r="L168" s="74"/>
      <c r="M168" s="74"/>
      <c r="N168" s="74"/>
      <c r="O168" s="74"/>
    </row>
    <row r="169" spans="1:15" ht="14.25">
      <c r="A169" s="62">
        <f>HLOOKUP(INDICE!$F$2,Nombres!$C$3:$D$636,72,FALSE)</f>
        <v>0</v>
      </c>
      <c r="B169" s="30"/>
      <c r="C169" s="30"/>
      <c r="D169" s="30"/>
      <c r="E169" s="30"/>
      <c r="F169" s="30"/>
      <c r="G169" s="30"/>
      <c r="H169" s="30"/>
      <c r="I169" s="30"/>
      <c r="K169" s="74"/>
      <c r="L169" s="74"/>
      <c r="M169" s="74"/>
      <c r="N169" s="74"/>
      <c r="O169" s="74"/>
    </row>
    <row r="170" spans="1:15" ht="14.25">
      <c r="A170" s="30"/>
      <c r="B170" s="30"/>
      <c r="C170" s="30"/>
      <c r="D170" s="30"/>
      <c r="E170" s="30"/>
      <c r="F170" s="30"/>
      <c r="G170" s="30"/>
      <c r="H170" s="30"/>
      <c r="I170" s="30"/>
      <c r="K170" s="74"/>
      <c r="L170" s="74"/>
      <c r="M170" s="74"/>
      <c r="N170" s="74"/>
      <c r="O170" s="74"/>
    </row>
    <row r="171" spans="1:15" ht="14.25">
      <c r="A171" s="30"/>
      <c r="B171" s="30"/>
      <c r="C171" s="30"/>
      <c r="D171" s="30"/>
      <c r="E171" s="30"/>
      <c r="F171" s="30"/>
      <c r="G171" s="30"/>
      <c r="H171" s="30"/>
      <c r="I171" s="30"/>
      <c r="K171" s="74"/>
      <c r="L171" s="74"/>
      <c r="M171" s="74"/>
      <c r="N171" s="74"/>
      <c r="O171" s="74"/>
    </row>
    <row r="172" spans="1:15" ht="14.25">
      <c r="A172" s="73"/>
      <c r="B172" s="74"/>
      <c r="C172" s="75"/>
      <c r="D172" s="75"/>
      <c r="E172" s="75"/>
      <c r="F172" s="74"/>
      <c r="G172" s="74"/>
      <c r="H172" s="74"/>
      <c r="I172" s="74"/>
      <c r="K172" s="74"/>
      <c r="L172" s="74"/>
      <c r="M172" s="74"/>
      <c r="N172" s="74"/>
      <c r="O172" s="74"/>
    </row>
    <row r="173" spans="1:15" ht="14.25">
      <c r="A173" s="73"/>
      <c r="B173" s="74"/>
      <c r="C173" s="75"/>
      <c r="D173" s="75"/>
      <c r="E173" s="75"/>
      <c r="F173" s="74"/>
      <c r="G173" s="74"/>
      <c r="H173" s="74"/>
      <c r="I173" s="74"/>
      <c r="J173" s="74"/>
      <c r="K173" s="74"/>
      <c r="L173" s="74"/>
      <c r="M173" s="74"/>
      <c r="N173" s="74"/>
      <c r="O173" s="74"/>
    </row>
    <row r="174" spans="1:15" ht="14.25">
      <c r="A174" s="74"/>
      <c r="B174" s="74"/>
      <c r="C174" s="74"/>
      <c r="D174" s="74"/>
      <c r="E174" s="74"/>
      <c r="F174" s="74"/>
      <c r="G174" s="74"/>
      <c r="H174" s="74"/>
      <c r="I174" s="74"/>
      <c r="J174" s="74"/>
      <c r="K174" s="74"/>
      <c r="L174" s="74"/>
      <c r="M174" s="74"/>
      <c r="N174" s="74"/>
      <c r="O174" s="74"/>
    </row>
    <row r="175" spans="1:10" ht="14.25">
      <c r="A175" s="74"/>
      <c r="B175" s="74"/>
      <c r="C175" s="74"/>
      <c r="D175" s="74"/>
      <c r="E175" s="74"/>
      <c r="F175" s="74"/>
      <c r="G175" s="74"/>
      <c r="H175" s="74"/>
      <c r="I175" s="74"/>
      <c r="J175" s="74"/>
    </row>
    <row r="176" spans="1:10" ht="14.25">
      <c r="A176" s="74"/>
      <c r="B176" s="74"/>
      <c r="C176" s="74"/>
      <c r="D176" s="74"/>
      <c r="E176" s="74"/>
      <c r="F176" s="74"/>
      <c r="G176" s="74"/>
      <c r="H176" s="74"/>
      <c r="I176" s="74"/>
      <c r="J176" s="74"/>
    </row>
    <row r="177" spans="1:10" ht="14.25">
      <c r="A177" s="74"/>
      <c r="B177" s="74"/>
      <c r="C177" s="74"/>
      <c r="D177" s="74"/>
      <c r="E177" s="74"/>
      <c r="F177" s="74"/>
      <c r="G177" s="74"/>
      <c r="H177" s="74"/>
      <c r="I177" s="74"/>
      <c r="J177" s="74"/>
    </row>
    <row r="178" spans="1:10" ht="14.25">
      <c r="A178" s="74"/>
      <c r="B178" s="74"/>
      <c r="C178" s="74"/>
      <c r="D178" s="74"/>
      <c r="E178" s="74"/>
      <c r="F178" s="74"/>
      <c r="G178" s="74"/>
      <c r="H178" s="74"/>
      <c r="I178" s="74"/>
      <c r="J178" s="74"/>
    </row>
    <row r="179" spans="1:10" ht="14.25">
      <c r="A179" s="74"/>
      <c r="B179" s="74"/>
      <c r="C179" s="74"/>
      <c r="D179" s="74"/>
      <c r="E179" s="74"/>
      <c r="F179" s="74"/>
      <c r="G179" s="74"/>
      <c r="H179" s="74"/>
      <c r="I179" s="74"/>
      <c r="J179" s="74"/>
    </row>
    <row r="180" spans="1:10" ht="14.25">
      <c r="A180" s="74"/>
      <c r="B180" s="74"/>
      <c r="C180" s="74"/>
      <c r="D180" s="74"/>
      <c r="E180" s="74"/>
      <c r="F180" s="74"/>
      <c r="G180" s="74"/>
      <c r="H180" s="74"/>
      <c r="I180" s="74"/>
      <c r="J180" s="74"/>
    </row>
    <row r="1006" ht="14.25">
      <c r="A1006" s="31" t="s">
        <v>396</v>
      </c>
    </row>
  </sheetData>
  <sheetProtection/>
  <mergeCells count="6">
    <mergeCell ref="B118:E118"/>
    <mergeCell ref="F118:I118"/>
    <mergeCell ref="B6:E6"/>
    <mergeCell ref="F6:I6"/>
    <mergeCell ref="B62:E62"/>
    <mergeCell ref="F62:I62"/>
  </mergeCells>
  <conditionalFormatting sqref="B26:I26">
    <cfRule type="cellIs" priority="3" dxfId="114" operator="notBetween">
      <formula>0.5</formula>
      <formula>-0.5</formula>
    </cfRule>
  </conditionalFormatting>
  <conditionalFormatting sqref="B82:I82">
    <cfRule type="cellIs" priority="2" dxfId="114" operator="notBetween">
      <formula>0.5</formula>
      <formula>-0.5</formula>
    </cfRule>
  </conditionalFormatting>
  <conditionalFormatting sqref="B138:I138">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O180"/>
  <sheetViews>
    <sheetView showGridLines="0" zoomScalePageLayoutView="0" workbookViewId="0" topLeftCell="A1">
      <selection activeCell="A1" sqref="A1"/>
    </sheetView>
  </sheetViews>
  <sheetFormatPr defaultColWidth="11.421875" defaultRowHeight="15"/>
  <cols>
    <col min="1" max="1" width="62.00390625" style="31" customWidth="1"/>
    <col min="2" max="16384" width="11.421875" style="31" customWidth="1"/>
  </cols>
  <sheetData>
    <row r="1" spans="1:9" ht="16.5">
      <c r="A1" s="83" t="str">
        <f>HLOOKUP(INDICE!$F$2,Nombres!$C$3:$D$636,17,FALSE)</f>
        <v>Peru</v>
      </c>
      <c r="B1" s="30"/>
      <c r="C1" s="30"/>
      <c r="D1" s="30"/>
      <c r="E1" s="30"/>
      <c r="F1" s="30"/>
      <c r="G1" s="30"/>
      <c r="H1" s="30"/>
      <c r="I1" s="30"/>
    </row>
    <row r="2" spans="1:9" ht="19.5">
      <c r="A2" s="32"/>
      <c r="B2" s="30"/>
      <c r="C2" s="30"/>
      <c r="D2" s="30"/>
      <c r="E2" s="30"/>
      <c r="F2" s="30"/>
      <c r="G2" s="30"/>
      <c r="H2" s="30"/>
      <c r="I2" s="30"/>
    </row>
    <row r="3" spans="1:9" ht="16.5">
      <c r="A3" s="93" t="str">
        <f>HLOOKUP(INDICE!$F$2,Nombres!$C$3:$D$636,31,FALSE)</f>
        <v>Income statement  </v>
      </c>
      <c r="B3" s="34"/>
      <c r="C3" s="34"/>
      <c r="D3" s="34"/>
      <c r="E3" s="34"/>
      <c r="F3" s="34"/>
      <c r="G3" s="34"/>
      <c r="H3" s="34"/>
      <c r="I3" s="34"/>
    </row>
    <row r="4" spans="1:9" ht="14.25">
      <c r="A4" s="84"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85" t="str">
        <f>+España!B7</f>
        <v>1Q</v>
      </c>
      <c r="C7" s="85" t="str">
        <f>+España!C7</f>
        <v>2Q</v>
      </c>
      <c r="D7" s="85" t="str">
        <f>+España!D7</f>
        <v>3Q</v>
      </c>
      <c r="E7" s="86" t="str">
        <f>+España!E7</f>
        <v>4Q</v>
      </c>
      <c r="F7" s="85" t="str">
        <f>+España!F7</f>
        <v>1Q</v>
      </c>
      <c r="G7" s="85" t="str">
        <f>+España!G7</f>
        <v>2Q</v>
      </c>
      <c r="H7" s="85" t="str">
        <f>+España!H7</f>
        <v>3Q</v>
      </c>
      <c r="I7" s="85" t="str">
        <f>+España!I7</f>
        <v>4Q</v>
      </c>
    </row>
    <row r="8" spans="1:15" ht="14.25">
      <c r="A8" s="41" t="str">
        <f>HLOOKUP(INDICE!$F$2,Nombres!$C$3:$D$636,33,FALSE)</f>
        <v>Net interest income</v>
      </c>
      <c r="B8" s="41">
        <v>219.20199999999997</v>
      </c>
      <c r="C8" s="41">
        <v>203.419</v>
      </c>
      <c r="D8" s="41">
        <v>197.277</v>
      </c>
      <c r="E8" s="42">
        <v>187.60899999999995</v>
      </c>
      <c r="F8" s="50">
        <v>182.101</v>
      </c>
      <c r="G8" s="50">
        <v>177.75799999</v>
      </c>
      <c r="H8" s="244">
        <v>192.64100001000003</v>
      </c>
      <c r="I8" s="244">
        <v>208.13799999999998</v>
      </c>
      <c r="J8" s="87"/>
      <c r="K8" s="87"/>
      <c r="L8" s="87"/>
      <c r="M8" s="87"/>
      <c r="N8" s="87"/>
      <c r="O8" s="87"/>
    </row>
    <row r="9" spans="1:9" ht="14.25">
      <c r="A9" s="88" t="str">
        <f>HLOOKUP(INDICE!$F$2,Nombres!$C$3:$D$636,34,FALSE)</f>
        <v>Net fees and commissions</v>
      </c>
      <c r="B9" s="44">
        <v>53.25286948</v>
      </c>
      <c r="C9" s="44">
        <v>45.76907599999999</v>
      </c>
      <c r="D9" s="44">
        <v>61.25642644999999</v>
      </c>
      <c r="E9" s="45">
        <v>57.49436593000001</v>
      </c>
      <c r="F9" s="44">
        <v>54.90512816999999</v>
      </c>
      <c r="G9" s="44">
        <v>59.07316048999999</v>
      </c>
      <c r="H9" s="44">
        <v>58.71583202000001</v>
      </c>
      <c r="I9" s="44">
        <v>58.1263661</v>
      </c>
    </row>
    <row r="10" spans="1:9" ht="14.25">
      <c r="A10" s="88" t="str">
        <f>HLOOKUP(INDICE!$F$2,Nombres!$C$3:$D$636,35,FALSE)</f>
        <v>Net trading income</v>
      </c>
      <c r="B10" s="44">
        <v>37.0917533</v>
      </c>
      <c r="C10" s="44">
        <v>35.56265369999999</v>
      </c>
      <c r="D10" s="44">
        <v>43.15786289000003</v>
      </c>
      <c r="E10" s="45">
        <v>43.211782320000005</v>
      </c>
      <c r="F10" s="44">
        <v>33.87019303999999</v>
      </c>
      <c r="G10" s="44">
        <v>55.55867029999999</v>
      </c>
      <c r="H10" s="44">
        <v>22.65121704000002</v>
      </c>
      <c r="I10" s="44">
        <v>29.103929020000006</v>
      </c>
    </row>
    <row r="11" spans="1:9" ht="14.25">
      <c r="A11" s="88" t="str">
        <f>HLOOKUP(INDICE!$F$2,Nombres!$C$3:$D$636,36,FALSE)</f>
        <v>Other operating income and expenses</v>
      </c>
      <c r="B11" s="44">
        <v>-6.353000000000001</v>
      </c>
      <c r="C11" s="44">
        <v>-8.053999999999998</v>
      </c>
      <c r="D11" s="44">
        <v>-6.8309999999999995</v>
      </c>
      <c r="E11" s="45">
        <v>-9.733999999999998</v>
      </c>
      <c r="F11" s="44">
        <v>-8.507</v>
      </c>
      <c r="G11" s="44">
        <v>-10.249</v>
      </c>
      <c r="H11" s="44">
        <v>-8.525999999999998</v>
      </c>
      <c r="I11" s="44">
        <v>-7.714000000000003</v>
      </c>
    </row>
    <row r="12" spans="1:9" ht="14.25">
      <c r="A12" s="41" t="str">
        <f>HLOOKUP(INDICE!$F$2,Nombres!$C$3:$D$636,37,FALSE)</f>
        <v>Gross income</v>
      </c>
      <c r="B12" s="41">
        <f aca="true" t="shared" si="0" ref="B12:I12">+SUM(B8:B11)</f>
        <v>303.19362277999994</v>
      </c>
      <c r="C12" s="41">
        <f t="shared" si="0"/>
        <v>276.6967297</v>
      </c>
      <c r="D12" s="41">
        <f t="shared" si="0"/>
        <v>294.86028934</v>
      </c>
      <c r="E12" s="42">
        <f t="shared" si="0"/>
        <v>278.58114825</v>
      </c>
      <c r="F12" s="50">
        <f t="shared" si="0"/>
        <v>262.36932120999995</v>
      </c>
      <c r="G12" s="50">
        <f t="shared" si="0"/>
        <v>282.14083078</v>
      </c>
      <c r="H12" s="50">
        <f t="shared" si="0"/>
        <v>265.48204907</v>
      </c>
      <c r="I12" s="50">
        <f t="shared" si="0"/>
        <v>287.65429512</v>
      </c>
    </row>
    <row r="13" spans="1:9" ht="14.25">
      <c r="A13" s="88" t="str">
        <f>HLOOKUP(INDICE!$F$2,Nombres!$C$3:$D$636,38,FALSE)</f>
        <v>Operating expenses</v>
      </c>
      <c r="B13" s="44">
        <v>-119.76099933</v>
      </c>
      <c r="C13" s="44">
        <v>-107.01099999999998</v>
      </c>
      <c r="D13" s="44">
        <v>-103.13842657</v>
      </c>
      <c r="E13" s="45">
        <v>-105.46067678</v>
      </c>
      <c r="F13" s="44">
        <v>-100.81222875</v>
      </c>
      <c r="G13" s="44">
        <v>-100.92502215000002</v>
      </c>
      <c r="H13" s="44">
        <v>-99.56160415</v>
      </c>
      <c r="I13" s="44">
        <v>-111.25203814999999</v>
      </c>
    </row>
    <row r="14" spans="1:9" ht="14.25">
      <c r="A14" s="88" t="str">
        <f>HLOOKUP(INDICE!$F$2,Nombres!$C$3:$D$636,39,FALSE)</f>
        <v>  Administration expenses</v>
      </c>
      <c r="B14" s="44">
        <v>-101.47299933000001</v>
      </c>
      <c r="C14" s="44">
        <v>-91.223</v>
      </c>
      <c r="D14" s="44">
        <v>-88.39842657</v>
      </c>
      <c r="E14" s="45">
        <v>-90.94667677999999</v>
      </c>
      <c r="F14" s="44">
        <v>-85.88322875</v>
      </c>
      <c r="G14" s="44">
        <v>-86.83702214999998</v>
      </c>
      <c r="H14" s="44">
        <v>-86.09760415</v>
      </c>
      <c r="I14" s="44">
        <v>-97.55803814999999</v>
      </c>
    </row>
    <row r="15" spans="1:9" ht="14.25">
      <c r="A15" s="89" t="str">
        <f>HLOOKUP(INDICE!$F$2,Nombres!$C$3:$D$636,40,FALSE)</f>
        <v>  Personnel expenses</v>
      </c>
      <c r="B15" s="44">
        <v>-58.68299999999999</v>
      </c>
      <c r="C15" s="44">
        <v>-51.48700000000001</v>
      </c>
      <c r="D15" s="44">
        <v>-50.19099999999999</v>
      </c>
      <c r="E15" s="45">
        <v>-52.01820126000001</v>
      </c>
      <c r="F15" s="44">
        <v>-47.685</v>
      </c>
      <c r="G15" s="44">
        <v>-47.566</v>
      </c>
      <c r="H15" s="44">
        <v>-48.599000000000004</v>
      </c>
      <c r="I15" s="44">
        <v>-58.57062599999999</v>
      </c>
    </row>
    <row r="16" spans="1:9" ht="14.25">
      <c r="A16" s="89" t="str">
        <f>HLOOKUP(INDICE!$F$2,Nombres!$C$3:$D$636,41,FALSE)</f>
        <v>  General and administrative expenses</v>
      </c>
      <c r="B16" s="44">
        <v>-42.789999330000015</v>
      </c>
      <c r="C16" s="44">
        <v>-39.736</v>
      </c>
      <c r="D16" s="44">
        <v>-38.207426569999996</v>
      </c>
      <c r="E16" s="45">
        <v>-38.92847552</v>
      </c>
      <c r="F16" s="44">
        <v>-38.198228750000006</v>
      </c>
      <c r="G16" s="44">
        <v>-39.27102214999999</v>
      </c>
      <c r="H16" s="44">
        <v>-37.498604150000006</v>
      </c>
      <c r="I16" s="44">
        <v>-38.987412149999976</v>
      </c>
    </row>
    <row r="17" spans="1:9" ht="14.25">
      <c r="A17" s="88" t="str">
        <f>HLOOKUP(INDICE!$F$2,Nombres!$C$3:$D$636,42,FALSE)</f>
        <v>  Depreciation</v>
      </c>
      <c r="B17" s="44">
        <v>-18.288</v>
      </c>
      <c r="C17" s="44">
        <v>-15.788000000000002</v>
      </c>
      <c r="D17" s="44">
        <v>-14.740000000000002</v>
      </c>
      <c r="E17" s="45">
        <v>-14.514</v>
      </c>
      <c r="F17" s="44">
        <v>-14.929</v>
      </c>
      <c r="G17" s="44">
        <v>-14.088</v>
      </c>
      <c r="H17" s="44">
        <v>-13.463999999999999</v>
      </c>
      <c r="I17" s="44">
        <v>-13.694000000000003</v>
      </c>
    </row>
    <row r="18" spans="1:9" ht="14.25">
      <c r="A18" s="41" t="str">
        <f>HLOOKUP(INDICE!$F$2,Nombres!$C$3:$D$636,43,FALSE)</f>
        <v>Operating income</v>
      </c>
      <c r="B18" s="41">
        <f aca="true" t="shared" si="1" ref="B18:I18">+B12+B13</f>
        <v>183.43262344999994</v>
      </c>
      <c r="C18" s="41">
        <f t="shared" si="1"/>
        <v>169.68572970000002</v>
      </c>
      <c r="D18" s="41">
        <f t="shared" si="1"/>
        <v>191.72186277000003</v>
      </c>
      <c r="E18" s="42">
        <f t="shared" si="1"/>
        <v>173.12047147</v>
      </c>
      <c r="F18" s="50">
        <f t="shared" si="1"/>
        <v>161.55709245999995</v>
      </c>
      <c r="G18" s="50">
        <f t="shared" si="1"/>
        <v>181.21580862999997</v>
      </c>
      <c r="H18" s="50">
        <f t="shared" si="1"/>
        <v>165.92044492000002</v>
      </c>
      <c r="I18" s="50">
        <f t="shared" si="1"/>
        <v>176.40225697</v>
      </c>
    </row>
    <row r="19" spans="1:9" ht="14.25">
      <c r="A19" s="88" t="str">
        <f>HLOOKUP(INDICE!$F$2,Nombres!$C$3:$D$636,44,FALSE)</f>
        <v>Impaiment on financial assets not measured at fair value through profit or loss</v>
      </c>
      <c r="B19" s="44">
        <v>-96.36200000000001</v>
      </c>
      <c r="C19" s="44">
        <v>-139.38000000000002</v>
      </c>
      <c r="D19" s="44">
        <v>-40.41399999999998</v>
      </c>
      <c r="E19" s="45">
        <v>-73.531</v>
      </c>
      <c r="F19" s="44">
        <v>-66.37799999999997</v>
      </c>
      <c r="G19" s="44">
        <v>-81.15900000000002</v>
      </c>
      <c r="H19" s="44">
        <v>-72.707</v>
      </c>
      <c r="I19" s="44">
        <v>-34.973</v>
      </c>
    </row>
    <row r="20" spans="1:9" ht="14.25">
      <c r="A20" s="88" t="str">
        <f>HLOOKUP(INDICE!$F$2,Nombres!$C$3:$D$636,45,FALSE)</f>
        <v>Provisions or reversal of provisions and other results</v>
      </c>
      <c r="B20" s="44">
        <v>-3.584</v>
      </c>
      <c r="C20" s="44">
        <v>-22.791</v>
      </c>
      <c r="D20" s="44">
        <v>-18.483999999999995</v>
      </c>
      <c r="E20" s="45">
        <v>3.048999999999999</v>
      </c>
      <c r="F20" s="44">
        <v>-6.544999999999999</v>
      </c>
      <c r="G20" s="44">
        <v>-12.276</v>
      </c>
      <c r="H20" s="44">
        <v>-14.729</v>
      </c>
      <c r="I20" s="44">
        <v>-9.948000000000008</v>
      </c>
    </row>
    <row r="21" spans="1:9" ht="14.25">
      <c r="A21" s="90" t="str">
        <f>HLOOKUP(INDICE!$F$2,Nombres!$C$3:$D$636,46,FALSE)</f>
        <v>Profit/(loss) before tax</v>
      </c>
      <c r="B21" s="41">
        <f aca="true" t="shared" si="2" ref="B21:I21">+B18+B19+B20</f>
        <v>83.48662344999993</v>
      </c>
      <c r="C21" s="41">
        <f t="shared" si="2"/>
        <v>7.5147297</v>
      </c>
      <c r="D21" s="41">
        <f t="shared" si="2"/>
        <v>132.82386277000006</v>
      </c>
      <c r="E21" s="42">
        <f t="shared" si="2"/>
        <v>102.63847147</v>
      </c>
      <c r="F21" s="50">
        <f t="shared" si="2"/>
        <v>88.63409245999998</v>
      </c>
      <c r="G21" s="50">
        <f t="shared" si="2"/>
        <v>87.78080862999995</v>
      </c>
      <c r="H21" s="50">
        <f t="shared" si="2"/>
        <v>78.48444492000003</v>
      </c>
      <c r="I21" s="50">
        <f t="shared" si="2"/>
        <v>131.48125696999998</v>
      </c>
    </row>
    <row r="22" spans="1:9" ht="14.25">
      <c r="A22" s="43" t="str">
        <f>HLOOKUP(INDICE!$F$2,Nombres!$C$3:$D$636,47,FALSE)</f>
        <v>Income tax</v>
      </c>
      <c r="B22" s="44">
        <v>-18.682028610000003</v>
      </c>
      <c r="C22" s="44">
        <v>-1.8973019799999982</v>
      </c>
      <c r="D22" s="44">
        <v>-39.41538393000001</v>
      </c>
      <c r="E22" s="45">
        <v>-30.93051554</v>
      </c>
      <c r="F22" s="44">
        <v>-27.43245745</v>
      </c>
      <c r="G22" s="44">
        <v>-30.13029891</v>
      </c>
      <c r="H22" s="44">
        <v>-26.078615120000002</v>
      </c>
      <c r="I22" s="44">
        <v>-36.84296581</v>
      </c>
    </row>
    <row r="23" spans="1:9" ht="14.25">
      <c r="A23" s="90" t="str">
        <f>HLOOKUP(INDICE!$F$2,Nombres!$C$3:$D$636,48,FALSE)</f>
        <v>Profit/(loss) for the year</v>
      </c>
      <c r="B23" s="41">
        <f aca="true" t="shared" si="3" ref="B23:I23">+B21+B22</f>
        <v>64.80459483999992</v>
      </c>
      <c r="C23" s="41">
        <f t="shared" si="3"/>
        <v>5.617427720000002</v>
      </c>
      <c r="D23" s="41">
        <f t="shared" si="3"/>
        <v>93.40847884000004</v>
      </c>
      <c r="E23" s="42">
        <f t="shared" si="3"/>
        <v>71.70795593</v>
      </c>
      <c r="F23" s="50">
        <f t="shared" si="3"/>
        <v>61.201635009999976</v>
      </c>
      <c r="G23" s="50">
        <f t="shared" si="3"/>
        <v>57.65050971999995</v>
      </c>
      <c r="H23" s="50">
        <f t="shared" si="3"/>
        <v>52.40582980000003</v>
      </c>
      <c r="I23" s="50">
        <f t="shared" si="3"/>
        <v>94.63829115999997</v>
      </c>
    </row>
    <row r="24" spans="1:9" ht="14.25">
      <c r="A24" s="88" t="str">
        <f>HLOOKUP(INDICE!$F$2,Nombres!$C$3:$D$636,49,FALSE)</f>
        <v>Non-controlling interests</v>
      </c>
      <c r="B24" s="44">
        <v>-35.001207810000004</v>
      </c>
      <c r="C24" s="44">
        <v>-3.0148977499999976</v>
      </c>
      <c r="D24" s="44">
        <v>-49.344258679999996</v>
      </c>
      <c r="E24" s="45">
        <v>-38.33356466999999</v>
      </c>
      <c r="F24" s="44">
        <v>-33.19100227</v>
      </c>
      <c r="G24" s="44">
        <v>-30.662351949999998</v>
      </c>
      <c r="H24" s="44">
        <v>-28.361814059999997</v>
      </c>
      <c r="I24" s="44">
        <v>-51.32902664000001</v>
      </c>
    </row>
    <row r="25" spans="1:9" ht="14.25">
      <c r="A25" s="91" t="str">
        <f>HLOOKUP(INDICE!$F$2,Nombres!$C$3:$D$636,50,FALSE)</f>
        <v>Net attributable profit</v>
      </c>
      <c r="B25" s="47">
        <f aca="true" t="shared" si="4" ref="B25:I25">+B23+B24</f>
        <v>29.803387029999918</v>
      </c>
      <c r="C25" s="47">
        <f t="shared" si="4"/>
        <v>2.6025299700000044</v>
      </c>
      <c r="D25" s="47">
        <f t="shared" si="4"/>
        <v>44.06422016000005</v>
      </c>
      <c r="E25" s="47">
        <f t="shared" si="4"/>
        <v>33.37439126000001</v>
      </c>
      <c r="F25" s="51">
        <f t="shared" si="4"/>
        <v>28.010632739999977</v>
      </c>
      <c r="G25" s="51">
        <f t="shared" si="4"/>
        <v>26.988157769999955</v>
      </c>
      <c r="H25" s="51">
        <f t="shared" si="4"/>
        <v>24.04401574000003</v>
      </c>
      <c r="I25" s="51">
        <f t="shared" si="4"/>
        <v>43.30926451999996</v>
      </c>
    </row>
    <row r="26" spans="1:9" ht="14.25">
      <c r="A26" s="92"/>
      <c r="B26" s="63">
        <v>-3.907985046680551E-14</v>
      </c>
      <c r="C26" s="63">
        <v>1.9539925233402755E-14</v>
      </c>
      <c r="D26" s="63">
        <v>0</v>
      </c>
      <c r="E26" s="63">
        <v>0</v>
      </c>
      <c r="F26" s="63">
        <v>-3.552713678800501E-14</v>
      </c>
      <c r="G26" s="63">
        <v>0</v>
      </c>
      <c r="H26" s="63">
        <v>0</v>
      </c>
      <c r="I26" s="63">
        <v>0</v>
      </c>
    </row>
    <row r="27" spans="1:9" ht="14.25">
      <c r="A27" s="90"/>
      <c r="B27" s="41"/>
      <c r="C27" s="41"/>
      <c r="D27" s="41"/>
      <c r="E27" s="41"/>
      <c r="F27" s="41"/>
      <c r="G27" s="41"/>
      <c r="H27" s="41"/>
      <c r="I27" s="41"/>
    </row>
    <row r="28" spans="1:9" ht="16.5">
      <c r="A28" s="93" t="str">
        <f>HLOOKUP(INDICE!$F$2,Nombres!$C$3:$D$636,51,FALSE)</f>
        <v>Balance sheets</v>
      </c>
      <c r="B28" s="34"/>
      <c r="C28" s="34"/>
      <c r="D28" s="34"/>
      <c r="E28" s="34"/>
      <c r="F28" s="34"/>
      <c r="G28" s="34"/>
      <c r="H28" s="34"/>
      <c r="I28" s="34"/>
    </row>
    <row r="29" spans="1:9" ht="14.25">
      <c r="A29" s="84" t="str">
        <f>HLOOKUP(INDICE!$F$2,Nombres!$C$3:$D$636,32,FALSE)</f>
        <v>(Million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4.25">
      <c r="A31" s="88" t="str">
        <f>HLOOKUP(INDICE!$F$2,Nombres!$C$3:$D$636,52,FALSE)</f>
        <v>Cash, cash balances at central banks and other demand deposits</v>
      </c>
      <c r="B31" s="44">
        <v>3381.091</v>
      </c>
      <c r="C31" s="44">
        <v>3129.6730000000002</v>
      </c>
      <c r="D31" s="44">
        <v>2480.178</v>
      </c>
      <c r="E31" s="45">
        <v>2821.008</v>
      </c>
      <c r="F31" s="44">
        <v>3055.0239999999994</v>
      </c>
      <c r="G31" s="44">
        <v>2519.9790000000003</v>
      </c>
      <c r="H31" s="44">
        <v>3426.904</v>
      </c>
      <c r="I31" s="44">
        <v>3290.2690000000002</v>
      </c>
    </row>
    <row r="32" spans="1:9" ht="14.25">
      <c r="A32" s="88" t="str">
        <f>HLOOKUP(INDICE!$F$2,Nombres!$C$3:$D$636,53,FALSE)</f>
        <v>Financial assets designated at fair value </v>
      </c>
      <c r="B32" s="58">
        <v>2243.8010000000004</v>
      </c>
      <c r="C32" s="58">
        <v>3027.178</v>
      </c>
      <c r="D32" s="58">
        <v>2967.7070000000003</v>
      </c>
      <c r="E32" s="65">
        <v>2769.0370000000003</v>
      </c>
      <c r="F32" s="44">
        <v>2774.0229999999997</v>
      </c>
      <c r="G32" s="44">
        <v>3046.906</v>
      </c>
      <c r="H32" s="44">
        <v>2781.4759999999997</v>
      </c>
      <c r="I32" s="44">
        <v>2548.754</v>
      </c>
    </row>
    <row r="33" spans="1:9" ht="14.25">
      <c r="A33" s="43" t="str">
        <f>HLOOKUP(INDICE!$F$2,Nombres!$C$3:$D$636,54,FALSE)</f>
        <v>Financial assets at amortized cost</v>
      </c>
      <c r="B33" s="44">
        <v>16307.016000000001</v>
      </c>
      <c r="C33" s="44">
        <v>17648.992000000002</v>
      </c>
      <c r="D33" s="44">
        <v>18860.053</v>
      </c>
      <c r="E33" s="45">
        <v>18001.387000000002</v>
      </c>
      <c r="F33" s="44">
        <v>17518.131999999998</v>
      </c>
      <c r="G33" s="44">
        <v>16835.772999999997</v>
      </c>
      <c r="H33" s="44">
        <v>16144.789999999999</v>
      </c>
      <c r="I33" s="44">
        <v>16098.956</v>
      </c>
    </row>
    <row r="34" spans="1:9" ht="14.25">
      <c r="A34" s="88" t="str">
        <f>HLOOKUP(INDICE!$F$2,Nombres!$C$3:$D$636,55,FALSE)</f>
        <v>    of which loans and advances to customers</v>
      </c>
      <c r="B34" s="44">
        <v>15505.136000000002</v>
      </c>
      <c r="C34" s="44">
        <v>16097.621000000001</v>
      </c>
      <c r="D34" s="44">
        <v>15923.884999999998</v>
      </c>
      <c r="E34" s="45">
        <v>15093.016</v>
      </c>
      <c r="F34" s="44">
        <v>15276.72</v>
      </c>
      <c r="G34" s="44">
        <v>15395.269999999997</v>
      </c>
      <c r="H34" s="44">
        <v>14612.89</v>
      </c>
      <c r="I34" s="44">
        <v>15648.623000000003</v>
      </c>
    </row>
    <row r="35" spans="1:9" ht="14.25">
      <c r="A35" s="88"/>
      <c r="B35" s="44"/>
      <c r="C35" s="44"/>
      <c r="D35" s="44"/>
      <c r="E35" s="45"/>
      <c r="F35" s="44"/>
      <c r="G35" s="44"/>
      <c r="H35" s="44"/>
      <c r="I35" s="44"/>
    </row>
    <row r="36" spans="1:9" ht="14.25">
      <c r="A36" s="43" t="str">
        <f>HLOOKUP(INDICE!$F$2,Nombres!$C$3:$D$636,56,FALSE)</f>
        <v>Tangible assets</v>
      </c>
      <c r="B36" s="44">
        <v>308.02099999999996</v>
      </c>
      <c r="C36" s="44">
        <v>288.18399999999997</v>
      </c>
      <c r="D36" s="44">
        <v>270.52299999999997</v>
      </c>
      <c r="E36" s="45">
        <v>266.389</v>
      </c>
      <c r="F36" s="44">
        <v>262.35299999999995</v>
      </c>
      <c r="G36" s="44">
        <v>247.649</v>
      </c>
      <c r="H36" s="44">
        <v>239.67399999999998</v>
      </c>
      <c r="I36" s="44">
        <v>270.206</v>
      </c>
    </row>
    <row r="37" spans="1:9" ht="14.25">
      <c r="A37" s="88" t="str">
        <f>HLOOKUP(INDICE!$F$2,Nombres!$C$3:$D$636,57,FALSE)</f>
        <v>Other assets</v>
      </c>
      <c r="B37" s="58">
        <f aca="true" t="shared" si="5" ref="B37:I37">+B38-B36-B33-B32-B31</f>
        <v>420.6919999999968</v>
      </c>
      <c r="C37" s="58">
        <f t="shared" si="5"/>
        <v>464.5180000000023</v>
      </c>
      <c r="D37" s="58">
        <f t="shared" si="5"/>
        <v>376.17135819000214</v>
      </c>
      <c r="E37" s="65">
        <f t="shared" si="5"/>
        <v>347.228976209999</v>
      </c>
      <c r="F37" s="44">
        <f t="shared" si="5"/>
        <v>362.53500002000465</v>
      </c>
      <c r="G37" s="44">
        <f t="shared" si="5"/>
        <v>352.3049318799949</v>
      </c>
      <c r="H37" s="44">
        <f t="shared" si="5"/>
        <v>354.51499999999896</v>
      </c>
      <c r="I37" s="44">
        <f t="shared" si="5"/>
        <v>405.79277088000435</v>
      </c>
    </row>
    <row r="38" spans="1:9" ht="14.25">
      <c r="A38" s="91" t="str">
        <f>HLOOKUP(INDICE!$F$2,Nombres!$C$3:$D$636,58,FALSE)</f>
        <v>Total assets / Liabilities and equity</v>
      </c>
      <c r="B38" s="47">
        <v>22660.621</v>
      </c>
      <c r="C38" s="47">
        <v>24558.545000000006</v>
      </c>
      <c r="D38" s="47">
        <v>24954.632358190003</v>
      </c>
      <c r="E38" s="47">
        <v>24205.04997621</v>
      </c>
      <c r="F38" s="51">
        <v>23972.06700002</v>
      </c>
      <c r="G38" s="51">
        <v>23002.611931879994</v>
      </c>
      <c r="H38" s="51">
        <v>22947.358999999997</v>
      </c>
      <c r="I38" s="51">
        <v>22613.977770880003</v>
      </c>
    </row>
    <row r="39" spans="1:9" ht="14.25">
      <c r="A39" s="88" t="str">
        <f>HLOOKUP(INDICE!$F$2,Nombres!$C$3:$D$636,59,FALSE)</f>
        <v>Financial liabilities held for trading and designated at fair value through profit or loss</v>
      </c>
      <c r="B39" s="58">
        <v>250.91199999999998</v>
      </c>
      <c r="C39" s="58">
        <v>280.795</v>
      </c>
      <c r="D39" s="58">
        <v>226.805</v>
      </c>
      <c r="E39" s="65">
        <v>222.03099999999998</v>
      </c>
      <c r="F39" s="44">
        <v>265.115</v>
      </c>
      <c r="G39" s="44">
        <v>374.055</v>
      </c>
      <c r="H39" s="44">
        <v>513.88</v>
      </c>
      <c r="I39" s="44">
        <v>354.679</v>
      </c>
    </row>
    <row r="40" spans="1:9" ht="15.75" customHeight="1">
      <c r="A40" s="88" t="str">
        <f>HLOOKUP(INDICE!$F$2,Nombres!$C$3:$D$636,60,FALSE)</f>
        <v>Deposits from central banks and credit institutions</v>
      </c>
      <c r="B40" s="58">
        <v>2750.2699999999995</v>
      </c>
      <c r="C40" s="58">
        <v>3087.928</v>
      </c>
      <c r="D40" s="58">
        <v>4562.022</v>
      </c>
      <c r="E40" s="65">
        <v>4086.2529999999997</v>
      </c>
      <c r="F40" s="44">
        <v>4194.721</v>
      </c>
      <c r="G40" s="44">
        <v>4325.62</v>
      </c>
      <c r="H40" s="44">
        <v>4183.368</v>
      </c>
      <c r="I40" s="44">
        <v>4130.728</v>
      </c>
    </row>
    <row r="41" spans="1:9" ht="14.25">
      <c r="A41" s="88" t="str">
        <f>HLOOKUP(INDICE!$F$2,Nombres!$C$3:$D$636,61,FALSE)</f>
        <v>Deposits from customers</v>
      </c>
      <c r="B41" s="58">
        <v>14764.692</v>
      </c>
      <c r="C41" s="58">
        <v>16406.72</v>
      </c>
      <c r="D41" s="58">
        <v>15659.979</v>
      </c>
      <c r="E41" s="65">
        <v>15849.82</v>
      </c>
      <c r="F41" s="44">
        <v>15191.590000000002</v>
      </c>
      <c r="G41" s="44">
        <v>14250.752</v>
      </c>
      <c r="H41" s="44">
        <v>14239.42</v>
      </c>
      <c r="I41" s="44">
        <v>13945.919</v>
      </c>
    </row>
    <row r="42" spans="1:9" ht="14.25">
      <c r="A42" s="43" t="str">
        <f>HLOOKUP(INDICE!$F$2,Nombres!$C$3:$D$636,62,FALSE)</f>
        <v>Debt certificates</v>
      </c>
      <c r="B42" s="44">
        <v>2104.8350432999996</v>
      </c>
      <c r="C42" s="44">
        <v>2020.28450636</v>
      </c>
      <c r="D42" s="44">
        <v>1511.43275094</v>
      </c>
      <c r="E42" s="45">
        <v>1303.1936730399998</v>
      </c>
      <c r="F42" s="44">
        <v>1330.2121669000003</v>
      </c>
      <c r="G42" s="44">
        <v>1252.4018942</v>
      </c>
      <c r="H42" s="44">
        <v>1261.7598223500001</v>
      </c>
      <c r="I42" s="44">
        <v>1331.59579592</v>
      </c>
    </row>
    <row r="43" spans="1:9" ht="14.25">
      <c r="A43" s="43"/>
      <c r="B43" s="44"/>
      <c r="C43" s="44"/>
      <c r="D43" s="44"/>
      <c r="E43" s="45"/>
      <c r="F43" s="44"/>
      <c r="G43" s="44"/>
      <c r="H43" s="44"/>
      <c r="I43" s="44"/>
    </row>
    <row r="44" spans="1:9" ht="14.25">
      <c r="A44" s="88" t="str">
        <f>HLOOKUP(INDICE!$F$2,Nombres!$C$3:$D$636,63,FALSE)</f>
        <v>Other liabilities</v>
      </c>
      <c r="B44" s="58">
        <f aca="true" t="shared" si="6" ref="B44:I44">+B38-B39-B40-B41-B42-B45</f>
        <v>498.06310791999977</v>
      </c>
      <c r="C44" s="58">
        <f t="shared" si="6"/>
        <v>541.0607535100066</v>
      </c>
      <c r="D44" s="58">
        <f t="shared" si="6"/>
        <v>1039.9663570800028</v>
      </c>
      <c r="E44" s="65">
        <f t="shared" si="6"/>
        <v>777.1711647500015</v>
      </c>
      <c r="F44" s="44">
        <f t="shared" si="6"/>
        <v>1075.1958847099995</v>
      </c>
      <c r="G44" s="44">
        <f t="shared" si="6"/>
        <v>936.8081084299938</v>
      </c>
      <c r="H44" s="44">
        <f t="shared" si="6"/>
        <v>861.285709539997</v>
      </c>
      <c r="I44" s="44">
        <f t="shared" si="6"/>
        <v>766.951334940004</v>
      </c>
    </row>
    <row r="45" spans="1:9" ht="14.25">
      <c r="A45" s="43" t="str">
        <f>HLOOKUP(INDICE!$F$2,Nombres!$C$3:$D$636,282,FALSE)</f>
        <v>Regulatory capital allocated</v>
      </c>
      <c r="B45" s="58">
        <v>2291.84884878</v>
      </c>
      <c r="C45" s="58">
        <v>2221.75674013</v>
      </c>
      <c r="D45" s="58">
        <v>1954.42725017</v>
      </c>
      <c r="E45" s="65">
        <v>1966.5811384200001</v>
      </c>
      <c r="F45" s="44">
        <v>1915.2329484099996</v>
      </c>
      <c r="G45" s="44">
        <v>1862.97492925</v>
      </c>
      <c r="H45" s="44">
        <v>1887.6454681100001</v>
      </c>
      <c r="I45" s="44">
        <v>2084.10464002</v>
      </c>
    </row>
    <row r="46" spans="1:9" ht="14.25">
      <c r="A46" s="62"/>
      <c r="B46" s="58"/>
      <c r="C46" s="58"/>
      <c r="D46" s="58"/>
      <c r="E46" s="58"/>
      <c r="F46" s="44"/>
      <c r="G46" s="44"/>
      <c r="H46" s="44"/>
      <c r="I46" s="44"/>
    </row>
    <row r="47" spans="1:9" ht="14.25">
      <c r="A47" s="43"/>
      <c r="B47" s="58"/>
      <c r="C47" s="58"/>
      <c r="D47" s="58"/>
      <c r="E47" s="58"/>
      <c r="F47" s="44"/>
      <c r="G47" s="44"/>
      <c r="H47" s="44"/>
      <c r="I47" s="44"/>
    </row>
    <row r="48" spans="1:9" ht="16.5">
      <c r="A48" s="93" t="str">
        <f>HLOOKUP(INDICE!$F$2,Nombres!$C$3:$D$636,65,FALSE)</f>
        <v>Relevant business indicators</v>
      </c>
      <c r="B48" s="34"/>
      <c r="C48" s="34"/>
      <c r="D48" s="34"/>
      <c r="E48" s="34"/>
      <c r="F48" s="69"/>
      <c r="G48" s="69"/>
      <c r="H48" s="69"/>
      <c r="I48" s="69"/>
    </row>
    <row r="49" spans="1:9" ht="14.25">
      <c r="A49" s="84" t="str">
        <f>HLOOKUP(INDICE!$F$2,Nombres!$C$3:$D$636,32,FALSE)</f>
        <v>(Million euros)</v>
      </c>
      <c r="B49" s="30"/>
      <c r="C49" s="30"/>
      <c r="D49" s="30"/>
      <c r="E49" s="30"/>
      <c r="F49" s="70"/>
      <c r="G49" s="44"/>
      <c r="H49" s="44"/>
      <c r="I49" s="44"/>
    </row>
    <row r="50" spans="1:9" ht="14.2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row>
    <row r="51" spans="1:9" ht="14.25">
      <c r="A51" s="88" t="str">
        <f>HLOOKUP(INDICE!$F$2,Nombres!$C$3:$D$636,66,FALSE)</f>
        <v>Loans and advances to customers (gross) (*)</v>
      </c>
      <c r="B51" s="44">
        <v>16297.387603329998</v>
      </c>
      <c r="C51" s="44">
        <v>16892.626638960002</v>
      </c>
      <c r="D51" s="44">
        <v>16798.6447358</v>
      </c>
      <c r="E51" s="45">
        <v>15968.36124162</v>
      </c>
      <c r="F51" s="44">
        <v>16203.4205379</v>
      </c>
      <c r="G51" s="44">
        <v>16301.067692819997</v>
      </c>
      <c r="H51" s="44">
        <v>15449.167464920003</v>
      </c>
      <c r="I51" s="44">
        <v>16450.41984845</v>
      </c>
    </row>
    <row r="52" spans="1:9" ht="14.25">
      <c r="A52" s="88" t="str">
        <f>HLOOKUP(INDICE!$F$2,Nombres!$C$3:$D$636,67,FALSE)</f>
        <v>Customer deposits under management (*)</v>
      </c>
      <c r="B52" s="44">
        <v>14764.69045178</v>
      </c>
      <c r="C52" s="44">
        <v>16406.719858620003</v>
      </c>
      <c r="D52" s="44">
        <v>15659.98047436</v>
      </c>
      <c r="E52" s="45">
        <v>15849.82414508</v>
      </c>
      <c r="F52" s="44">
        <v>15191.590106359998</v>
      </c>
      <c r="G52" s="44">
        <v>14250.75032512</v>
      </c>
      <c r="H52" s="44">
        <v>14239.41983855</v>
      </c>
      <c r="I52" s="44">
        <v>13945.907744039998</v>
      </c>
    </row>
    <row r="53" spans="1:9" ht="14.25">
      <c r="A53" s="43" t="str">
        <f>HLOOKUP(INDICE!$F$2,Nombres!$C$3:$D$636,68,FALSE)</f>
        <v>Mutual funds</v>
      </c>
      <c r="B53" s="44">
        <v>1860.64184488</v>
      </c>
      <c r="C53" s="44">
        <v>1887.0736063</v>
      </c>
      <c r="D53" s="44">
        <v>2043.50743651</v>
      </c>
      <c r="E53" s="45">
        <v>2145.97857369</v>
      </c>
      <c r="F53" s="44">
        <v>2325.87276861</v>
      </c>
      <c r="G53" s="44">
        <v>1905.85596754</v>
      </c>
      <c r="H53" s="44">
        <v>1551.9569313</v>
      </c>
      <c r="I53" s="44">
        <v>1542.78394363</v>
      </c>
    </row>
    <row r="54" spans="1:9" ht="14.25">
      <c r="A54" s="88" t="str">
        <f>HLOOKUP(INDICE!$F$2,Nombres!$C$3:$D$636,69,FALSE)</f>
        <v>Pension funds</v>
      </c>
      <c r="B54" s="44">
        <v>0</v>
      </c>
      <c r="C54" s="44">
        <v>0</v>
      </c>
      <c r="D54" s="44">
        <v>0</v>
      </c>
      <c r="E54" s="45">
        <v>0</v>
      </c>
      <c r="F54" s="44">
        <v>0</v>
      </c>
      <c r="G54" s="44">
        <v>0</v>
      </c>
      <c r="H54" s="44">
        <v>0</v>
      </c>
      <c r="I54" s="44">
        <v>0</v>
      </c>
    </row>
    <row r="55" spans="1:9" ht="14.25">
      <c r="A55" s="88" t="str">
        <f>HLOOKUP(INDICE!$F$2,Nombres!$C$3:$D$636,70,FALSE)</f>
        <v>Other off balance-sheet funds</v>
      </c>
      <c r="B55" s="44">
        <v>0</v>
      </c>
      <c r="C55" s="44">
        <v>0</v>
      </c>
      <c r="D55" s="44">
        <v>0</v>
      </c>
      <c r="E55" s="45">
        <v>0</v>
      </c>
      <c r="F55" s="44">
        <v>0</v>
      </c>
      <c r="G55" s="44">
        <v>0</v>
      </c>
      <c r="H55" s="44">
        <v>0</v>
      </c>
      <c r="I55" s="44">
        <v>0</v>
      </c>
    </row>
    <row r="56" spans="1:9" ht="14.25">
      <c r="A56" s="92" t="str">
        <f>HLOOKUP(INDICE!$F$2,Nombres!$C$3:$D$636,71,FALSE)</f>
        <v>(*) Excluding repos. </v>
      </c>
      <c r="B56" s="58"/>
      <c r="C56" s="58"/>
      <c r="D56" s="58"/>
      <c r="E56" s="58"/>
      <c r="F56" s="58"/>
      <c r="G56" s="58"/>
      <c r="H56" s="58"/>
      <c r="I56" s="58"/>
    </row>
    <row r="57" spans="1:9" ht="14.25">
      <c r="A57" s="92">
        <f>HLOOKUP(INDICE!$F$2,Nombres!$C$3:$D$636,72,FALSE)</f>
        <v>0</v>
      </c>
      <c r="B57" s="30"/>
      <c r="C57" s="30"/>
      <c r="D57" s="30"/>
      <c r="E57" s="30"/>
      <c r="F57" s="30"/>
      <c r="G57" s="30"/>
      <c r="H57" s="30"/>
      <c r="I57" s="30"/>
    </row>
    <row r="58" spans="1:9" ht="14.25">
      <c r="A58" s="62"/>
      <c r="B58" s="30"/>
      <c r="C58" s="30"/>
      <c r="D58" s="30"/>
      <c r="E58" s="30"/>
      <c r="F58" s="30"/>
      <c r="G58" s="30"/>
      <c r="H58" s="30"/>
      <c r="I58" s="30"/>
    </row>
    <row r="59" spans="1:9" ht="16.5">
      <c r="A59" s="93" t="str">
        <f>HLOOKUP(INDICE!$F$2,Nombres!$C$3:$D$636,31,FALSE)</f>
        <v>Income statement  </v>
      </c>
      <c r="B59" s="34"/>
      <c r="C59" s="34"/>
      <c r="D59" s="34"/>
      <c r="E59" s="34"/>
      <c r="F59" s="34"/>
      <c r="G59" s="34"/>
      <c r="H59" s="34"/>
      <c r="I59" s="34"/>
    </row>
    <row r="60" spans="1:9" ht="14.25">
      <c r="A60" s="84" t="str">
        <f>HLOOKUP(INDICE!$F$2,Nombres!$C$3:$D$636,73,FALSE)</f>
        <v>(Constant million euros)    </v>
      </c>
      <c r="B60" s="30"/>
      <c r="C60" s="36"/>
      <c r="D60" s="36"/>
      <c r="E60" s="36"/>
      <c r="F60" s="30"/>
      <c r="G60" s="30"/>
      <c r="H60" s="30"/>
      <c r="I60" s="3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85" t="str">
        <f aca="true" t="shared" si="8" ref="B63:I63">+B$7</f>
        <v>1Q</v>
      </c>
      <c r="C63" s="85" t="str">
        <f t="shared" si="8"/>
        <v>2Q</v>
      </c>
      <c r="D63" s="85" t="str">
        <f t="shared" si="8"/>
        <v>3Q</v>
      </c>
      <c r="E63" s="86" t="str">
        <f t="shared" si="8"/>
        <v>4Q</v>
      </c>
      <c r="F63" s="85" t="str">
        <f t="shared" si="8"/>
        <v>1Q</v>
      </c>
      <c r="G63" s="85" t="str">
        <f t="shared" si="8"/>
        <v>2Q</v>
      </c>
      <c r="H63" s="85" t="str">
        <f t="shared" si="8"/>
        <v>3Q</v>
      </c>
      <c r="I63" s="85" t="str">
        <f t="shared" si="8"/>
        <v>4Q</v>
      </c>
    </row>
    <row r="64" spans="1:9" ht="14.25">
      <c r="A64" s="41" t="str">
        <f>HLOOKUP(INDICE!$F$2,Nombres!$C$3:$D$636,33,FALSE)</f>
        <v>Net interest income</v>
      </c>
      <c r="B64" s="41">
        <v>179.34641315547816</v>
      </c>
      <c r="C64" s="41">
        <v>167.3802935375582</v>
      </c>
      <c r="D64" s="41">
        <v>179.12457232859182</v>
      </c>
      <c r="E64" s="42">
        <v>177.00568018921646</v>
      </c>
      <c r="F64" s="50">
        <v>175.1046311961402</v>
      </c>
      <c r="G64" s="50">
        <v>177.3091037791538</v>
      </c>
      <c r="H64" s="50">
        <v>199.58312129142865</v>
      </c>
      <c r="I64" s="50">
        <v>208.64114373327732</v>
      </c>
    </row>
    <row r="65" spans="1:9" ht="14.25">
      <c r="A65" s="88" t="str">
        <f>HLOOKUP(INDICE!$F$2,Nombres!$C$3:$D$636,34,FALSE)</f>
        <v>Net fees and commissions</v>
      </c>
      <c r="B65" s="44">
        <v>43.57036492128189</v>
      </c>
      <c r="C65" s="44">
        <v>37.66921627941044</v>
      </c>
      <c r="D65" s="44">
        <v>54.722443001506626</v>
      </c>
      <c r="E65" s="45">
        <v>53.58813985990825</v>
      </c>
      <c r="F65" s="44">
        <v>52.79565855752938</v>
      </c>
      <c r="G65" s="44">
        <v>58.82448826074943</v>
      </c>
      <c r="H65" s="44">
        <v>60.91670695747867</v>
      </c>
      <c r="I65" s="44">
        <v>58.2836330042425</v>
      </c>
    </row>
    <row r="66" spans="1:9" ht="14.25">
      <c r="A66" s="88" t="str">
        <f>HLOOKUP(INDICE!$F$2,Nombres!$C$3:$D$636,35,FALSE)</f>
        <v>Net trading income</v>
      </c>
      <c r="B66" s="44">
        <v>30.347683470054427</v>
      </c>
      <c r="C66" s="44">
        <v>29.259442692264734</v>
      </c>
      <c r="D66" s="44">
        <v>38.63489147292808</v>
      </c>
      <c r="E66" s="45">
        <v>40.17308189665431</v>
      </c>
      <c r="F66" s="44">
        <v>32.568891224162826</v>
      </c>
      <c r="G66" s="44">
        <v>55.00974303292212</v>
      </c>
      <c r="H66" s="44">
        <v>24.39937844858308</v>
      </c>
      <c r="I66" s="44">
        <v>29.205996694331986</v>
      </c>
    </row>
    <row r="67" spans="1:9" ht="14.25">
      <c r="A67" s="88" t="str">
        <f>HLOOKUP(INDICE!$F$2,Nombres!$C$3:$D$636,36,FALSE)</f>
        <v>Other operating income and expenses</v>
      </c>
      <c r="B67" s="44">
        <v>-5.1978894479829245</v>
      </c>
      <c r="C67" s="44">
        <v>-6.621901010433895</v>
      </c>
      <c r="D67" s="44">
        <v>-6.196124198286924</v>
      </c>
      <c r="E67" s="45">
        <v>-8.942224084729185</v>
      </c>
      <c r="F67" s="44">
        <v>-8.180158799707662</v>
      </c>
      <c r="G67" s="44">
        <v>-10.187790906650367</v>
      </c>
      <c r="H67" s="44">
        <v>-8.889205465893061</v>
      </c>
      <c r="I67" s="44">
        <v>-7.7388448277489115</v>
      </c>
    </row>
    <row r="68" spans="1:9" ht="14.25">
      <c r="A68" s="41" t="str">
        <f>HLOOKUP(INDICE!$F$2,Nombres!$C$3:$D$636,37,FALSE)</f>
        <v>Gross income</v>
      </c>
      <c r="B68" s="41">
        <f aca="true" t="shared" si="9" ref="B68:I68">+SUM(B64:B67)</f>
        <v>248.06657209883156</v>
      </c>
      <c r="C68" s="41">
        <f t="shared" si="9"/>
        <v>227.6870514987995</v>
      </c>
      <c r="D68" s="41">
        <f t="shared" si="9"/>
        <v>266.28578260473967</v>
      </c>
      <c r="E68" s="42">
        <f t="shared" si="9"/>
        <v>261.82467786104985</v>
      </c>
      <c r="F68" s="50">
        <f t="shared" si="9"/>
        <v>252.2890221781247</v>
      </c>
      <c r="G68" s="50">
        <f t="shared" si="9"/>
        <v>280.95554416617495</v>
      </c>
      <c r="H68" s="50">
        <f t="shared" si="9"/>
        <v>276.01000123159736</v>
      </c>
      <c r="I68" s="50">
        <f t="shared" si="9"/>
        <v>288.39192860410293</v>
      </c>
    </row>
    <row r="69" spans="1:9" ht="14.25">
      <c r="A69" s="88" t="str">
        <f>HLOOKUP(INDICE!$F$2,Nombres!$C$3:$D$636,38,FALSE)</f>
        <v>Operating expenses</v>
      </c>
      <c r="B69" s="44">
        <v>-97.98590188844592</v>
      </c>
      <c r="C69" s="44">
        <v>-88.06237422155888</v>
      </c>
      <c r="D69" s="44">
        <v>-93.81037712340628</v>
      </c>
      <c r="E69" s="45">
        <v>-99.08989997781458</v>
      </c>
      <c r="F69" s="44">
        <v>-96.93899613582394</v>
      </c>
      <c r="G69" s="44">
        <v>-100.62443308309969</v>
      </c>
      <c r="H69" s="44">
        <v>-103.46104278897315</v>
      </c>
      <c r="I69" s="44">
        <v>-111.52642119210324</v>
      </c>
    </row>
    <row r="70" spans="1:9" ht="14.25">
      <c r="A70" s="88" t="str">
        <f>HLOOKUP(INDICE!$F$2,Nombres!$C$3:$D$636,39,FALSE)</f>
        <v>  Administration expenses</v>
      </c>
      <c r="B70" s="44">
        <v>-83.02304934245007</v>
      </c>
      <c r="C70" s="44">
        <v>-75.06859598661413</v>
      </c>
      <c r="D70" s="44">
        <v>-80.3570403988544</v>
      </c>
      <c r="E70" s="45">
        <v>-85.37721068055147</v>
      </c>
      <c r="F70" s="44">
        <v>-82.5835722824284</v>
      </c>
      <c r="G70" s="44">
        <v>-86.56320111279125</v>
      </c>
      <c r="H70" s="44">
        <v>-89.43538467409492</v>
      </c>
      <c r="I70" s="44">
        <v>-97.7937351306854</v>
      </c>
    </row>
    <row r="71" spans="1:9" ht="14.25">
      <c r="A71" s="89" t="str">
        <f>HLOOKUP(INDICE!$F$2,Nombres!$C$3:$D$636,40,FALSE)</f>
        <v>  Personnel expenses</v>
      </c>
      <c r="B71" s="44">
        <v>-48.01318219360647</v>
      </c>
      <c r="C71" s="44">
        <v>-42.37248552373794</v>
      </c>
      <c r="D71" s="44">
        <v>-45.64644878438218</v>
      </c>
      <c r="E71" s="45">
        <v>-48.82349415828205</v>
      </c>
      <c r="F71" s="44">
        <v>-45.85292963019394</v>
      </c>
      <c r="G71" s="44">
        <v>-47.427384801471064</v>
      </c>
      <c r="H71" s="44">
        <v>-50.43868606420479</v>
      </c>
      <c r="I71" s="44">
        <v>-58.70162550413022</v>
      </c>
    </row>
    <row r="72" spans="1:9" ht="14.25">
      <c r="A72" s="89" t="str">
        <f>HLOOKUP(INDICE!$F$2,Nombres!$C$3:$D$636,41,FALSE)</f>
        <v>  General and administrative expenses</v>
      </c>
      <c r="B72" s="44">
        <v>-35.00986714884359</v>
      </c>
      <c r="C72" s="44">
        <v>-32.69611046287619</v>
      </c>
      <c r="D72" s="44">
        <v>-34.71059161447221</v>
      </c>
      <c r="E72" s="45">
        <v>-36.553716522269426</v>
      </c>
      <c r="F72" s="44">
        <v>-36.730642652234465</v>
      </c>
      <c r="G72" s="44">
        <v>-39.135816311320184</v>
      </c>
      <c r="H72" s="44">
        <v>-38.99669860989014</v>
      </c>
      <c r="I72" s="44">
        <v>-39.092109626555185</v>
      </c>
    </row>
    <row r="73" spans="1:9" ht="14.25">
      <c r="A73" s="88" t="str">
        <f>HLOOKUP(INDICE!$F$2,Nombres!$C$3:$D$636,42,FALSE)</f>
        <v>  Depreciation</v>
      </c>
      <c r="B73" s="44">
        <v>-14.962852545995862</v>
      </c>
      <c r="C73" s="44">
        <v>-12.99377823494476</v>
      </c>
      <c r="D73" s="44">
        <v>-13.4533367245519</v>
      </c>
      <c r="E73" s="45">
        <v>-13.712689297263116</v>
      </c>
      <c r="F73" s="44">
        <v>-14.35542385339552</v>
      </c>
      <c r="G73" s="44">
        <v>-14.061231970308416</v>
      </c>
      <c r="H73" s="44">
        <v>-14.02565811487823</v>
      </c>
      <c r="I73" s="44">
        <v>-13.732686061417839</v>
      </c>
    </row>
    <row r="74" spans="1:9" ht="14.25">
      <c r="A74" s="41" t="str">
        <f>HLOOKUP(INDICE!$F$2,Nombres!$C$3:$D$636,43,FALSE)</f>
        <v>Operating income</v>
      </c>
      <c r="B74" s="41">
        <f aca="true" t="shared" si="10" ref="B74:I74">+B68+B69</f>
        <v>150.08067021038562</v>
      </c>
      <c r="C74" s="41">
        <f t="shared" si="10"/>
        <v>139.6246772772406</v>
      </c>
      <c r="D74" s="41">
        <f t="shared" si="10"/>
        <v>172.47540548133338</v>
      </c>
      <c r="E74" s="42">
        <f t="shared" si="10"/>
        <v>162.73477788323527</v>
      </c>
      <c r="F74" s="50">
        <f t="shared" si="10"/>
        <v>155.35002604230075</v>
      </c>
      <c r="G74" s="50">
        <f t="shared" si="10"/>
        <v>180.33111108307526</v>
      </c>
      <c r="H74" s="50">
        <f t="shared" si="10"/>
        <v>172.5489584426242</v>
      </c>
      <c r="I74" s="50">
        <f t="shared" si="10"/>
        <v>176.8655074119997</v>
      </c>
    </row>
    <row r="75" spans="1:9" ht="14.25">
      <c r="A75" s="88" t="str">
        <f>HLOOKUP(INDICE!$F$2,Nombres!$C$3:$D$636,44,FALSE)</f>
        <v>Impaiment on financial assets not measured at fair value through profit or loss</v>
      </c>
      <c r="B75" s="44">
        <v>-78.84133842067217</v>
      </c>
      <c r="C75" s="44">
        <v>-114.56610533917356</v>
      </c>
      <c r="D75" s="44">
        <v>-40.85204055773024</v>
      </c>
      <c r="E75" s="45">
        <v>-70.1093217677739</v>
      </c>
      <c r="F75" s="44">
        <v>-63.827739603502415</v>
      </c>
      <c r="G75" s="44">
        <v>-80.65680911834366</v>
      </c>
      <c r="H75" s="44">
        <v>-75.55888224939022</v>
      </c>
      <c r="I75" s="44">
        <v>-35.17356902876369</v>
      </c>
    </row>
    <row r="76" spans="1:9" ht="14.25">
      <c r="A76" s="88" t="str">
        <f>HLOOKUP(INDICE!$F$2,Nombres!$C$3:$D$636,45,FALSE)</f>
        <v>Provisions or reversal of provisions and other results</v>
      </c>
      <c r="B76" s="44">
        <v>-2.9323525549458207</v>
      </c>
      <c r="C76" s="44">
        <v>-18.706224063416336</v>
      </c>
      <c r="D76" s="44">
        <v>-16.41472009437319</v>
      </c>
      <c r="E76" s="45">
        <v>1.6617242996102377</v>
      </c>
      <c r="F76" s="44">
        <v>-6.29353936100701</v>
      </c>
      <c r="G76" s="44">
        <v>-12.138065534672476</v>
      </c>
      <c r="H76" s="44">
        <v>-15.08784221336765</v>
      </c>
      <c r="I76" s="44">
        <v>-9.978552890952866</v>
      </c>
    </row>
    <row r="77" spans="1:9" ht="14.25">
      <c r="A77" s="90" t="str">
        <f>HLOOKUP(INDICE!$F$2,Nombres!$C$3:$D$636,46,FALSE)</f>
        <v>Profit/(loss) before tax</v>
      </c>
      <c r="B77" s="41">
        <f aca="true" t="shared" si="11" ref="B77:I77">+B74+B75+B76</f>
        <v>68.30697923476762</v>
      </c>
      <c r="C77" s="41">
        <f t="shared" si="11"/>
        <v>6.352347874650711</v>
      </c>
      <c r="D77" s="41">
        <f t="shared" si="11"/>
        <v>115.20864482922994</v>
      </c>
      <c r="E77" s="42">
        <f t="shared" si="11"/>
        <v>94.2871804150716</v>
      </c>
      <c r="F77" s="50">
        <f t="shared" si="11"/>
        <v>85.22874707779134</v>
      </c>
      <c r="G77" s="50">
        <f t="shared" si="11"/>
        <v>87.53623643005912</v>
      </c>
      <c r="H77" s="50">
        <f t="shared" si="11"/>
        <v>81.90223397986634</v>
      </c>
      <c r="I77" s="50">
        <f t="shared" si="11"/>
        <v>131.71338549228312</v>
      </c>
    </row>
    <row r="78" spans="1:9" ht="14.25">
      <c r="A78" s="43" t="str">
        <f>HLOOKUP(INDICE!$F$2,Nombres!$C$3:$D$636,47,FALSE)</f>
        <v>Income tax</v>
      </c>
      <c r="B78" s="44">
        <v>-15.285238372238956</v>
      </c>
      <c r="C78" s="44">
        <v>-1.5984553425029997</v>
      </c>
      <c r="D78" s="44">
        <v>-34.00902954760031</v>
      </c>
      <c r="E78" s="45">
        <v>-28.248919739536472</v>
      </c>
      <c r="F78" s="44">
        <v>-26.37849514602369</v>
      </c>
      <c r="G78" s="44">
        <v>-29.993322607219053</v>
      </c>
      <c r="H78" s="44">
        <v>-27.19338425724978</v>
      </c>
      <c r="I78" s="44">
        <v>-36.919135279507486</v>
      </c>
    </row>
    <row r="79" spans="1:9" ht="14.25">
      <c r="A79" s="90" t="str">
        <f>HLOOKUP(INDICE!$F$2,Nombres!$C$3:$D$636,48,FALSE)</f>
        <v>Profit/(loss) for the year</v>
      </c>
      <c r="B79" s="41">
        <f aca="true" t="shared" si="12" ref="B79:I79">+B77+B78</f>
        <v>53.02174086252867</v>
      </c>
      <c r="C79" s="41">
        <f t="shared" si="12"/>
        <v>4.753892532147711</v>
      </c>
      <c r="D79" s="41">
        <f t="shared" si="12"/>
        <v>81.19961528162963</v>
      </c>
      <c r="E79" s="42">
        <f t="shared" si="12"/>
        <v>66.03826067553513</v>
      </c>
      <c r="F79" s="50">
        <f t="shared" si="12"/>
        <v>58.85025193176765</v>
      </c>
      <c r="G79" s="50">
        <f t="shared" si="12"/>
        <v>57.54291382284006</v>
      </c>
      <c r="H79" s="50">
        <f t="shared" si="12"/>
        <v>54.70884972261656</v>
      </c>
      <c r="I79" s="50">
        <f t="shared" si="12"/>
        <v>94.79425021277564</v>
      </c>
    </row>
    <row r="80" spans="1:9" ht="14.25">
      <c r="A80" s="88" t="str">
        <f>HLOOKUP(INDICE!$F$2,Nombres!$C$3:$D$636,49,FALSE)</f>
        <v>Non-controlling interests</v>
      </c>
      <c r="B80" s="44">
        <v>-28.637243623840146</v>
      </c>
      <c r="C80" s="44">
        <v>-2.5519284289296493</v>
      </c>
      <c r="D80" s="44">
        <v>-42.91747012287733</v>
      </c>
      <c r="E80" s="45">
        <v>-35.2977997238617</v>
      </c>
      <c r="F80" s="44">
        <v>-31.915795144005816</v>
      </c>
      <c r="G80" s="44">
        <v>-30.616471804982464</v>
      </c>
      <c r="H80" s="44">
        <v>-29.598923984345298</v>
      </c>
      <c r="I80" s="44">
        <v>-51.413003986666425</v>
      </c>
    </row>
    <row r="81" spans="1:9" ht="14.25">
      <c r="A81" s="91" t="str">
        <f>HLOOKUP(INDICE!$F$2,Nombres!$C$3:$D$636,50,FALSE)</f>
        <v>Net attributable profit</v>
      </c>
      <c r="B81" s="47">
        <f aca="true" t="shared" si="13" ref="B81:I81">+B79+B80</f>
        <v>24.38449723868852</v>
      </c>
      <c r="C81" s="47">
        <f t="shared" si="13"/>
        <v>2.201964103218062</v>
      </c>
      <c r="D81" s="47">
        <f t="shared" si="13"/>
        <v>38.2821451587523</v>
      </c>
      <c r="E81" s="47">
        <f t="shared" si="13"/>
        <v>30.740460951673427</v>
      </c>
      <c r="F81" s="51">
        <f t="shared" si="13"/>
        <v>26.934456787761835</v>
      </c>
      <c r="G81" s="51">
        <f t="shared" si="13"/>
        <v>26.9264420178576</v>
      </c>
      <c r="H81" s="51">
        <f t="shared" si="13"/>
        <v>25.109925738271265</v>
      </c>
      <c r="I81" s="51">
        <f t="shared" si="13"/>
        <v>43.38124622610921</v>
      </c>
    </row>
    <row r="82" spans="1:9" ht="14.25">
      <c r="A82" s="92"/>
      <c r="B82" s="63">
        <v>-4.263256414560601E-14</v>
      </c>
      <c r="C82" s="63">
        <v>5.1514348342607263E-14</v>
      </c>
      <c r="D82" s="63">
        <v>6.394884621840902E-14</v>
      </c>
      <c r="E82" s="63">
        <v>0</v>
      </c>
      <c r="F82" s="63">
        <v>-5.3290705182007514E-14</v>
      </c>
      <c r="G82" s="63">
        <v>-3.907985046680551E-14</v>
      </c>
      <c r="H82" s="63">
        <v>3.907985046680551E-14</v>
      </c>
      <c r="I82" s="63">
        <v>0</v>
      </c>
    </row>
    <row r="83" spans="1:9" ht="14.25">
      <c r="A83" s="90"/>
      <c r="B83" s="41"/>
      <c r="C83" s="41"/>
      <c r="D83" s="41"/>
      <c r="E83" s="41"/>
      <c r="F83" s="50"/>
      <c r="G83" s="50"/>
      <c r="H83" s="50"/>
      <c r="I83" s="50"/>
    </row>
    <row r="84" spans="1:9" ht="16.5">
      <c r="A84" s="93" t="str">
        <f>HLOOKUP(INDICE!$F$2,Nombres!$C$3:$D$636,51,FALSE)</f>
        <v>Balance sheets</v>
      </c>
      <c r="B84" s="34"/>
      <c r="C84" s="34"/>
      <c r="D84" s="34"/>
      <c r="E84" s="34"/>
      <c r="F84" s="69"/>
      <c r="G84" s="69"/>
      <c r="H84" s="69"/>
      <c r="I84" s="69"/>
    </row>
    <row r="85" spans="1:9" ht="14.25">
      <c r="A85" s="84" t="str">
        <f>HLOOKUP(INDICE!$F$2,Nombres!$C$3:$D$636,73,FALSE)</f>
        <v>(Constant million euros)    </v>
      </c>
      <c r="B85" s="30"/>
      <c r="C85" s="52"/>
      <c r="D85" s="52"/>
      <c r="E85" s="52"/>
      <c r="F85" s="70"/>
      <c r="G85" s="44"/>
      <c r="H85" s="44"/>
      <c r="I85" s="44"/>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88" t="str">
        <f>HLOOKUP(INDICE!$F$2,Nombres!$C$3:$D$636,52,FALSE)</f>
        <v>Cash, cash balances at central banks and other demand deposits</v>
      </c>
      <c r="B87" s="44">
        <v>2816.6081730757905</v>
      </c>
      <c r="C87" s="44">
        <v>2742.322672964252</v>
      </c>
      <c r="D87" s="44">
        <v>2319.9586717756197</v>
      </c>
      <c r="E87" s="45">
        <v>2785.0269357461166</v>
      </c>
      <c r="F87" s="44">
        <v>2992.2342463875475</v>
      </c>
      <c r="G87" s="44">
        <v>2581.5700416053305</v>
      </c>
      <c r="H87" s="44">
        <v>3638.3216349117774</v>
      </c>
      <c r="I87" s="44">
        <v>3290.2690000000002</v>
      </c>
    </row>
    <row r="88" spans="1:9" ht="14.25">
      <c r="A88" s="88" t="str">
        <f>HLOOKUP(INDICE!$F$2,Nombres!$C$3:$D$636,53,FALSE)</f>
        <v>Financial assets designated at fair value </v>
      </c>
      <c r="B88" s="58">
        <v>1869.19199612067</v>
      </c>
      <c r="C88" s="58">
        <v>2652.513174538867</v>
      </c>
      <c r="D88" s="58">
        <v>2775.993331905698</v>
      </c>
      <c r="E88" s="65">
        <v>2733.7188094034545</v>
      </c>
      <c r="F88" s="44">
        <v>2717.0086457149678</v>
      </c>
      <c r="G88" s="44">
        <v>3121.3757135228234</v>
      </c>
      <c r="H88" s="44">
        <v>2953.074935214955</v>
      </c>
      <c r="I88" s="44">
        <v>2548.754</v>
      </c>
    </row>
    <row r="89" spans="1:9" ht="14.25">
      <c r="A89" s="43" t="str">
        <f>HLOOKUP(INDICE!$F$2,Nombres!$C$3:$D$636,54,FALSE)</f>
        <v>Financial assets at amortized cost</v>
      </c>
      <c r="B89" s="44">
        <v>13584.512970540482</v>
      </c>
      <c r="C89" s="44">
        <v>15464.628706118725</v>
      </c>
      <c r="D89" s="44">
        <v>17641.694873310626</v>
      </c>
      <c r="E89" s="45">
        <v>17771.785005852515</v>
      </c>
      <c r="F89" s="44">
        <v>17158.082719853457</v>
      </c>
      <c r="G89" s="44">
        <v>17247.257697015688</v>
      </c>
      <c r="H89" s="44">
        <v>17140.818286157803</v>
      </c>
      <c r="I89" s="44">
        <v>16098.956</v>
      </c>
    </row>
    <row r="90" spans="1:9" ht="14.25">
      <c r="A90" s="88" t="str">
        <f>HLOOKUP(INDICE!$F$2,Nombres!$C$3:$D$636,55,FALSE)</f>
        <v>    of which loans and advances to customers</v>
      </c>
      <c r="B90" s="44">
        <v>12916.509133368983</v>
      </c>
      <c r="C90" s="44">
        <v>14105.266284715843</v>
      </c>
      <c r="D90" s="44">
        <v>14895.203124174039</v>
      </c>
      <c r="E90" s="45">
        <v>14900.509357522953</v>
      </c>
      <c r="F90" s="44">
        <v>14962.73834721874</v>
      </c>
      <c r="G90" s="44">
        <v>15771.547228935353</v>
      </c>
      <c r="H90" s="44">
        <v>15514.410043463711</v>
      </c>
      <c r="I90" s="44">
        <v>15648.623000000003</v>
      </c>
    </row>
    <row r="91" spans="1:9" ht="14.25">
      <c r="A91" s="88"/>
      <c r="B91" s="44"/>
      <c r="C91" s="44"/>
      <c r="D91" s="44"/>
      <c r="E91" s="45"/>
      <c r="F91" s="44"/>
      <c r="G91" s="44"/>
      <c r="H91" s="44"/>
      <c r="I91" s="44"/>
    </row>
    <row r="92" spans="1:9" ht="14.25">
      <c r="A92" s="43" t="str">
        <f>HLOOKUP(INDICE!$F$2,Nombres!$C$3:$D$636,56,FALSE)</f>
        <v>Tangible assets</v>
      </c>
      <c r="B92" s="44">
        <v>256.59601178405967</v>
      </c>
      <c r="C92" s="44">
        <v>252.51632269107031</v>
      </c>
      <c r="D92" s="44">
        <v>253.04723280536962</v>
      </c>
      <c r="E92" s="45">
        <v>262.9912926111774</v>
      </c>
      <c r="F92" s="44">
        <v>256.96087207253106</v>
      </c>
      <c r="G92" s="44">
        <v>253.70181229030817</v>
      </c>
      <c r="H92" s="44">
        <v>254.46032323223682</v>
      </c>
      <c r="I92" s="44">
        <v>270.206</v>
      </c>
    </row>
    <row r="93" spans="1:9" ht="14.25">
      <c r="A93" s="88" t="str">
        <f>HLOOKUP(INDICE!$F$2,Nombres!$C$3:$D$636,57,FALSE)</f>
        <v>Other assets</v>
      </c>
      <c r="B93" s="58">
        <f aca="true" t="shared" si="15" ref="B93:I93">+B94-B92-B89-B88-B87</f>
        <v>350.45626561000745</v>
      </c>
      <c r="C93" s="58">
        <f t="shared" si="15"/>
        <v>407.0259875073216</v>
      </c>
      <c r="D93" s="58">
        <f t="shared" si="15"/>
        <v>351.87071432232324</v>
      </c>
      <c r="E93" s="65">
        <f t="shared" si="15"/>
        <v>342.80018050866875</v>
      </c>
      <c r="F93" s="44">
        <f t="shared" si="15"/>
        <v>355.08383651779286</v>
      </c>
      <c r="G93" s="44">
        <f t="shared" si="15"/>
        <v>360.9156495554944</v>
      </c>
      <c r="H93" s="44">
        <f t="shared" si="15"/>
        <v>376.386264220052</v>
      </c>
      <c r="I93" s="44">
        <f t="shared" si="15"/>
        <v>405.79277088000435</v>
      </c>
    </row>
    <row r="94" spans="1:9" ht="14.25">
      <c r="A94" s="91" t="str">
        <f>HLOOKUP(INDICE!$F$2,Nombres!$C$3:$D$636,58,FALSE)</f>
        <v>Total assets / Liabilities and equity</v>
      </c>
      <c r="B94" s="47">
        <v>18877.365417131008</v>
      </c>
      <c r="C94" s="47">
        <v>21519.006863820236</v>
      </c>
      <c r="D94" s="47">
        <v>23342.564824119636</v>
      </c>
      <c r="E94" s="47">
        <v>23896.322224121934</v>
      </c>
      <c r="F94" s="51">
        <v>23479.370320546295</v>
      </c>
      <c r="G94" s="51">
        <v>23564.820913989643</v>
      </c>
      <c r="H94" s="51">
        <v>24363.061443736824</v>
      </c>
      <c r="I94" s="51">
        <v>22613.977770880003</v>
      </c>
    </row>
    <row r="95" spans="1:9" ht="14.25">
      <c r="A95" s="88" t="str">
        <f>HLOOKUP(INDICE!$F$2,Nombres!$C$3:$D$636,59,FALSE)</f>
        <v>Financial liabilities held for trading and designated at fair value through profit or loss</v>
      </c>
      <c r="B95" s="58">
        <v>209.02152291162608</v>
      </c>
      <c r="C95" s="58">
        <v>246.04183726382826</v>
      </c>
      <c r="D95" s="58">
        <v>212.15341259863987</v>
      </c>
      <c r="E95" s="65">
        <v>219.19906486285967</v>
      </c>
      <c r="F95" s="44">
        <v>259.6661048263564</v>
      </c>
      <c r="G95" s="44">
        <v>383.19731311756243</v>
      </c>
      <c r="H95" s="44">
        <v>545.5830457312094</v>
      </c>
      <c r="I95" s="44">
        <v>354.679</v>
      </c>
    </row>
    <row r="96" spans="1:9" ht="14.25">
      <c r="A96" s="88" t="str">
        <f>HLOOKUP(INDICE!$F$2,Nombres!$C$3:$D$636,60,FALSE)</f>
        <v>Deposits from central banks and credit institutions</v>
      </c>
      <c r="B96" s="58">
        <v>2291.1045458892277</v>
      </c>
      <c r="C96" s="58">
        <v>2705.7443275643036</v>
      </c>
      <c r="D96" s="58">
        <v>4267.315692555598</v>
      </c>
      <c r="E96" s="65">
        <v>4034.1341361929417</v>
      </c>
      <c r="F96" s="44">
        <v>4108.507111643319</v>
      </c>
      <c r="G96" s="44">
        <v>4431.342881575144</v>
      </c>
      <c r="H96" s="44">
        <v>4441.45453190332</v>
      </c>
      <c r="I96" s="44">
        <v>4130.728</v>
      </c>
    </row>
    <row r="97" spans="1:9" ht="14.25">
      <c r="A97" s="88" t="str">
        <f>HLOOKUP(INDICE!$F$2,Nombres!$C$3:$D$636,61,FALSE)</f>
        <v>Deposits from customers</v>
      </c>
      <c r="B97" s="58">
        <v>12299.684380026074</v>
      </c>
      <c r="C97" s="58">
        <v>14376.109020008178</v>
      </c>
      <c r="D97" s="58">
        <v>14648.345433623757</v>
      </c>
      <c r="E97" s="65">
        <v>15647.66056201454</v>
      </c>
      <c r="F97" s="44">
        <v>14879.35801979906</v>
      </c>
      <c r="G97" s="44">
        <v>14599.055957826331</v>
      </c>
      <c r="H97" s="44">
        <v>15117.89937932182</v>
      </c>
      <c r="I97" s="44">
        <v>13945.919</v>
      </c>
    </row>
    <row r="98" spans="1:9" ht="14.25">
      <c r="A98" s="43" t="str">
        <f>HLOOKUP(INDICE!$F$2,Nombres!$C$3:$D$636,62,FALSE)</f>
        <v>Debt certificates</v>
      </c>
      <c r="B98" s="44">
        <v>1753.4268039325518</v>
      </c>
      <c r="C98" s="44">
        <v>1770.2398965097696</v>
      </c>
      <c r="D98" s="44">
        <v>1413.7942991789032</v>
      </c>
      <c r="E98" s="45">
        <v>1286.5718501721078</v>
      </c>
      <c r="F98" s="44">
        <v>1302.8723835752414</v>
      </c>
      <c r="G98" s="44">
        <v>1283.0119656221295</v>
      </c>
      <c r="H98" s="44">
        <v>1339.6021772767624</v>
      </c>
      <c r="I98" s="44">
        <v>1331.59579592</v>
      </c>
    </row>
    <row r="99" spans="1:9" ht="14.25">
      <c r="A99" s="43"/>
      <c r="B99" s="44"/>
      <c r="C99" s="44"/>
      <c r="D99" s="44"/>
      <c r="E99" s="45"/>
      <c r="F99" s="44"/>
      <c r="G99" s="44"/>
      <c r="H99" s="44"/>
      <c r="I99" s="44"/>
    </row>
    <row r="100" spans="1:9" ht="14.25">
      <c r="A100" s="88" t="str">
        <f>HLOOKUP(INDICE!$F$2,Nombres!$C$3:$D$636,63,FALSE)</f>
        <v>Other liabilities</v>
      </c>
      <c r="B100" s="58">
        <f aca="true" t="shared" si="16" ref="B100:I100">+B94-B95-B96-B97-B98-B101</f>
        <v>414.91004544835005</v>
      </c>
      <c r="C100" s="58">
        <f t="shared" si="16"/>
        <v>474.0952718707654</v>
      </c>
      <c r="D100" s="58">
        <f t="shared" si="16"/>
        <v>972.7846019369015</v>
      </c>
      <c r="E100" s="65">
        <f t="shared" si="16"/>
        <v>767.2585925009619</v>
      </c>
      <c r="F100" s="44">
        <f t="shared" si="16"/>
        <v>1053.0974381229773</v>
      </c>
      <c r="G100" s="44">
        <f t="shared" si="16"/>
        <v>959.7047227202447</v>
      </c>
      <c r="H100" s="44">
        <f t="shared" si="16"/>
        <v>914.4214226192889</v>
      </c>
      <c r="I100" s="44">
        <f t="shared" si="16"/>
        <v>766.951334940004</v>
      </c>
    </row>
    <row r="101" spans="1:9" ht="14.25">
      <c r="A101" s="43" t="str">
        <f>HLOOKUP(INDICE!$F$2,Nombres!$C$3:$D$636,282,FALSE)</f>
        <v>Regulatory capital allocated</v>
      </c>
      <c r="B101" s="58">
        <v>1909.2181189231792</v>
      </c>
      <c r="C101" s="58">
        <v>1946.7765106033903</v>
      </c>
      <c r="D101" s="58">
        <v>1828.171384225838</v>
      </c>
      <c r="E101" s="65">
        <v>1941.4980183785235</v>
      </c>
      <c r="F101" s="44">
        <v>1875.8692625793435</v>
      </c>
      <c r="G101" s="44">
        <v>1908.5080731282324</v>
      </c>
      <c r="H101" s="44">
        <v>2004.1008868844247</v>
      </c>
      <c r="I101" s="44">
        <v>2084.10464002</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93" t="str">
        <f>HLOOKUP(INDICE!$F$2,Nombres!$C$3:$D$636,65,FALSE)</f>
        <v>Relevant business indicators</v>
      </c>
      <c r="B104" s="34"/>
      <c r="C104" s="34"/>
      <c r="D104" s="34"/>
      <c r="E104" s="34"/>
      <c r="F104" s="69"/>
      <c r="G104" s="69"/>
      <c r="H104" s="69"/>
      <c r="I104" s="69"/>
    </row>
    <row r="105" spans="1:9" ht="14.25">
      <c r="A105" s="84" t="str">
        <f>HLOOKUP(INDICE!$F$2,Nombres!$C$3:$D$636,73,FALSE)</f>
        <v>(Constant million euros)    </v>
      </c>
      <c r="B105" s="30"/>
      <c r="C105" s="30"/>
      <c r="D105" s="30"/>
      <c r="E105" s="30"/>
      <c r="F105" s="70"/>
      <c r="G105" s="44"/>
      <c r="H105" s="44"/>
      <c r="I105" s="44"/>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88" t="str">
        <f>HLOOKUP(INDICE!$F$2,Nombres!$C$3:$D$636,66,FALSE)</f>
        <v>Loans and advances to customers (gross) (*)</v>
      </c>
      <c r="B107" s="44">
        <v>13576.492062273199</v>
      </c>
      <c r="C107" s="44">
        <v>14801.876438190162</v>
      </c>
      <c r="D107" s="44">
        <v>15713.453441203445</v>
      </c>
      <c r="E107" s="45">
        <v>15764.689847613336</v>
      </c>
      <c r="F107" s="44">
        <v>15870.39245587718</v>
      </c>
      <c r="G107" s="44">
        <v>16699.483607587455</v>
      </c>
      <c r="H107" s="44">
        <v>16402.280375812563</v>
      </c>
      <c r="I107" s="44">
        <v>16450.41984845</v>
      </c>
    </row>
    <row r="108" spans="1:9" ht="14.25">
      <c r="A108" s="88" t="str">
        <f>HLOOKUP(INDICE!$F$2,Nombres!$C$3:$D$636,67,FALSE)</f>
        <v>Customer deposits under management (*)</v>
      </c>
      <c r="B108" s="44">
        <v>12299.68309028584</v>
      </c>
      <c r="C108" s="44">
        <v>14376.108896126361</v>
      </c>
      <c r="D108" s="44">
        <v>14648.346812740203</v>
      </c>
      <c r="E108" s="45">
        <v>15647.66465422536</v>
      </c>
      <c r="F108" s="44">
        <v>14879.358123973047</v>
      </c>
      <c r="G108" s="44">
        <v>14599.054242010436</v>
      </c>
      <c r="H108" s="44">
        <v>15117.899207911405</v>
      </c>
      <c r="I108" s="44">
        <v>13945.907744039998</v>
      </c>
    </row>
    <row r="109" spans="1:9" ht="14.25">
      <c r="A109" s="43" t="str">
        <f>HLOOKUP(INDICE!$F$2,Nombres!$C$3:$D$636,68,FALSE)</f>
        <v>Mutual funds</v>
      </c>
      <c r="B109" s="44">
        <v>1550.002359432451</v>
      </c>
      <c r="C109" s="44">
        <v>1653.5161136990694</v>
      </c>
      <c r="D109" s="44">
        <v>1911.4969966548133</v>
      </c>
      <c r="E109" s="45">
        <v>2118.607296136942</v>
      </c>
      <c r="F109" s="44">
        <v>2278.069223343274</v>
      </c>
      <c r="G109" s="44">
        <v>1952.437170871664</v>
      </c>
      <c r="H109" s="44">
        <v>1647.7025558930395</v>
      </c>
      <c r="I109" s="44">
        <v>1542.78394363</v>
      </c>
    </row>
    <row r="110" spans="1:9" ht="14.25">
      <c r="A110" s="88" t="str">
        <f>HLOOKUP(INDICE!$F$2,Nombres!$C$3:$D$636,69,FALSE)</f>
        <v>Pension funds</v>
      </c>
      <c r="B110" s="44">
        <v>0</v>
      </c>
      <c r="C110" s="44">
        <v>0</v>
      </c>
      <c r="D110" s="44">
        <v>0</v>
      </c>
      <c r="E110" s="45">
        <v>0</v>
      </c>
      <c r="F110" s="44">
        <v>0</v>
      </c>
      <c r="G110" s="44">
        <v>0</v>
      </c>
      <c r="H110" s="44">
        <v>0</v>
      </c>
      <c r="I110" s="44">
        <v>0</v>
      </c>
    </row>
    <row r="111" spans="1:9" ht="14.25">
      <c r="A111" s="88" t="str">
        <f>HLOOKUP(INDICE!$F$2,Nombres!$C$3:$D$636,70,FALSE)</f>
        <v>Other off balance-sheet funds</v>
      </c>
      <c r="B111" s="44">
        <v>0</v>
      </c>
      <c r="C111" s="44">
        <v>0</v>
      </c>
      <c r="D111" s="44">
        <v>0</v>
      </c>
      <c r="E111" s="45">
        <v>0</v>
      </c>
      <c r="F111" s="44">
        <v>0</v>
      </c>
      <c r="G111" s="44">
        <v>0</v>
      </c>
      <c r="H111" s="44">
        <v>0</v>
      </c>
      <c r="I111" s="44">
        <v>0</v>
      </c>
    </row>
    <row r="112" spans="1:9" ht="14.25">
      <c r="A112" s="92" t="str">
        <f>HLOOKUP(INDICE!$F$2,Nombres!$C$3:$D$636,71,FALSE)</f>
        <v>(*) Excluding repos. </v>
      </c>
      <c r="B112" s="58"/>
      <c r="C112" s="58"/>
      <c r="D112" s="58"/>
      <c r="E112" s="58"/>
      <c r="F112" s="58"/>
      <c r="G112" s="58"/>
      <c r="H112" s="58"/>
      <c r="I112" s="58"/>
    </row>
    <row r="113" spans="1:9" ht="14.25">
      <c r="A113" s="92">
        <f>HLOOKUP(INDICE!$F$2,Nombres!$C$3:$D$636,72,FALSE)</f>
        <v>0</v>
      </c>
      <c r="B113" s="30"/>
      <c r="C113" s="30"/>
      <c r="D113" s="30"/>
      <c r="E113" s="30"/>
      <c r="F113" s="30"/>
      <c r="G113" s="30"/>
      <c r="H113" s="30"/>
      <c r="I113" s="30"/>
    </row>
    <row r="114" spans="1:9" ht="14.25">
      <c r="A114" s="62"/>
      <c r="B114" s="58"/>
      <c r="C114" s="44"/>
      <c r="D114" s="44"/>
      <c r="E114" s="44"/>
      <c r="F114" s="44"/>
      <c r="G114" s="30"/>
      <c r="H114" s="30"/>
      <c r="I114" s="30"/>
    </row>
    <row r="115" spans="1:9" ht="16.5">
      <c r="A115" s="93" t="str">
        <f>HLOOKUP(INDICE!$F$2,Nombres!$C$3:$D$636,31,FALSE)</f>
        <v>Income statement  </v>
      </c>
      <c r="B115" s="34"/>
      <c r="C115" s="34"/>
      <c r="D115" s="34"/>
      <c r="E115" s="34"/>
      <c r="F115" s="34"/>
      <c r="G115" s="34"/>
      <c r="H115" s="34"/>
      <c r="I115" s="34"/>
    </row>
    <row r="116" spans="1:9" ht="14.25">
      <c r="A116" s="84" t="str">
        <f>HLOOKUP(INDICE!$F$2,Nombres!$C$3:$D$636,79,FALSE)</f>
        <v>(Million Peruvian soles)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6">
        <f>+B$6</f>
        <v>2020</v>
      </c>
      <c r="C118" s="306"/>
      <c r="D118" s="306"/>
      <c r="E118" s="307"/>
      <c r="F118" s="306">
        <f>+F$6</f>
        <v>2021</v>
      </c>
      <c r="G118" s="306"/>
      <c r="H118" s="306"/>
      <c r="I118" s="306"/>
    </row>
    <row r="119" spans="1:9" ht="14.25">
      <c r="A119" s="38"/>
      <c r="B119" s="85" t="str">
        <f aca="true" t="shared" si="18" ref="B119:I119">+B$7</f>
        <v>1Q</v>
      </c>
      <c r="C119" s="85" t="str">
        <f t="shared" si="18"/>
        <v>2Q</v>
      </c>
      <c r="D119" s="85" t="str">
        <f t="shared" si="18"/>
        <v>3Q</v>
      </c>
      <c r="E119" s="86" t="str">
        <f t="shared" si="18"/>
        <v>4Q</v>
      </c>
      <c r="F119" s="85" t="str">
        <f t="shared" si="18"/>
        <v>1Q</v>
      </c>
      <c r="G119" s="85" t="str">
        <f t="shared" si="18"/>
        <v>2Q</v>
      </c>
      <c r="H119" s="85" t="str">
        <f t="shared" si="18"/>
        <v>3Q</v>
      </c>
      <c r="I119" s="85" t="str">
        <f t="shared" si="18"/>
        <v>4Q</v>
      </c>
    </row>
    <row r="120" spans="1:9" ht="14.25">
      <c r="A120" s="41" t="str">
        <f>HLOOKUP(INDICE!$F$2,Nombres!$C$3:$D$636,33,FALSE)</f>
        <v>Net interest income</v>
      </c>
      <c r="B120" s="41">
        <v>822.6164431567416</v>
      </c>
      <c r="C120" s="41">
        <v>767.7308918636254</v>
      </c>
      <c r="D120" s="41">
        <v>821.5989156313824</v>
      </c>
      <c r="E120" s="42">
        <v>811.8800955866535</v>
      </c>
      <c r="F120" s="50">
        <v>803.1604667218405</v>
      </c>
      <c r="G120" s="50">
        <v>813.2718225241067</v>
      </c>
      <c r="H120" s="50">
        <v>915.4370832526502</v>
      </c>
      <c r="I120" s="50">
        <v>956.9839314557855</v>
      </c>
    </row>
    <row r="121" spans="1:9" ht="14.25">
      <c r="A121" s="88" t="str">
        <f>HLOOKUP(INDICE!$F$2,Nombres!$C$3:$D$636,34,FALSE)</f>
        <v>Net fees and commissions</v>
      </c>
      <c r="B121" s="44">
        <v>199.84619702159569</v>
      </c>
      <c r="C121" s="44">
        <v>172.77912709303683</v>
      </c>
      <c r="D121" s="44">
        <v>250.99794654784762</v>
      </c>
      <c r="E121" s="45">
        <v>245.79518615032453</v>
      </c>
      <c r="F121" s="44">
        <v>242.16027570655672</v>
      </c>
      <c r="G121" s="44">
        <v>269.8129862325331</v>
      </c>
      <c r="H121" s="44">
        <v>279.40946197089863</v>
      </c>
      <c r="I121" s="44">
        <v>267.33222054816633</v>
      </c>
    </row>
    <row r="122" spans="1:9" ht="14.25">
      <c r="A122" s="88" t="str">
        <f>HLOOKUP(INDICE!$F$2,Nombres!$C$3:$D$636,35,FALSE)</f>
        <v>Net trading income</v>
      </c>
      <c r="B122" s="44">
        <v>139.19711576579294</v>
      </c>
      <c r="C122" s="44">
        <v>134.20563173121997</v>
      </c>
      <c r="D122" s="44">
        <v>177.20843392421122</v>
      </c>
      <c r="E122" s="45">
        <v>184.26372269748856</v>
      </c>
      <c r="F122" s="44">
        <v>149.38523154713724</v>
      </c>
      <c r="G122" s="44">
        <v>252.31571881774494</v>
      </c>
      <c r="H122" s="44">
        <v>111.91375150172959</v>
      </c>
      <c r="I122" s="44">
        <v>133.9604885139854</v>
      </c>
    </row>
    <row r="123" spans="1:9" ht="14.25">
      <c r="A123" s="88" t="str">
        <f>HLOOKUP(INDICE!$F$2,Nombres!$C$3:$D$636,36,FALSE)</f>
        <v>Other operating income and expenses</v>
      </c>
      <c r="B123" s="44">
        <v>-23.841398634021502</v>
      </c>
      <c r="C123" s="44">
        <v>-30.372977972059193</v>
      </c>
      <c r="D123" s="44">
        <v>-28.42004788204776</v>
      </c>
      <c r="E123" s="45">
        <v>-41.01571055181028</v>
      </c>
      <c r="F123" s="44">
        <v>-37.52031065399257</v>
      </c>
      <c r="G123" s="44">
        <v>-46.72880919000044</v>
      </c>
      <c r="H123" s="44">
        <v>-40.772527613937726</v>
      </c>
      <c r="I123" s="44">
        <v>-35.49611555836296</v>
      </c>
    </row>
    <row r="124" spans="1:9" ht="14.25">
      <c r="A124" s="41" t="str">
        <f>HLOOKUP(INDICE!$F$2,Nombres!$C$3:$D$636,37,FALSE)</f>
        <v>Gross income</v>
      </c>
      <c r="B124" s="41">
        <f aca="true" t="shared" si="19" ref="B124:I124">+SUM(B120:B123)</f>
        <v>1137.8183573101087</v>
      </c>
      <c r="C124" s="41">
        <f t="shared" si="19"/>
        <v>1044.3426727158228</v>
      </c>
      <c r="D124" s="41">
        <f t="shared" si="19"/>
        <v>1221.3852482213933</v>
      </c>
      <c r="E124" s="42">
        <f t="shared" si="19"/>
        <v>1200.923293882656</v>
      </c>
      <c r="F124" s="50">
        <f t="shared" si="19"/>
        <v>1157.185663321542</v>
      </c>
      <c r="G124" s="50">
        <f t="shared" si="19"/>
        <v>1288.6717183843843</v>
      </c>
      <c r="H124" s="50">
        <f t="shared" si="19"/>
        <v>1265.9877691113406</v>
      </c>
      <c r="I124" s="50">
        <f t="shared" si="19"/>
        <v>1322.7805249595742</v>
      </c>
    </row>
    <row r="125" spans="1:9" ht="14.25">
      <c r="A125" s="88" t="str">
        <f>HLOOKUP(INDICE!$F$2,Nombres!$C$3:$D$636,38,FALSE)</f>
        <v>Operating expenses</v>
      </c>
      <c r="B125" s="44">
        <v>-449.43644354404404</v>
      </c>
      <c r="C125" s="44">
        <v>-403.91974271197734</v>
      </c>
      <c r="D125" s="44">
        <v>-430.28437203006257</v>
      </c>
      <c r="E125" s="45">
        <v>-454.5002023644728</v>
      </c>
      <c r="F125" s="44">
        <v>-444.63455277081937</v>
      </c>
      <c r="G125" s="44">
        <v>-461.53871594701945</v>
      </c>
      <c r="H125" s="44">
        <v>-474.5495241690196</v>
      </c>
      <c r="I125" s="44">
        <v>-511.54336629813054</v>
      </c>
    </row>
    <row r="126" spans="1:9" ht="14.25">
      <c r="A126" s="88" t="str">
        <f>HLOOKUP(INDICE!$F$2,Nombres!$C$3:$D$636,39,FALSE)</f>
        <v>  Administration expenses</v>
      </c>
      <c r="B126" s="44">
        <v>-380.8056394799821</v>
      </c>
      <c r="C126" s="44">
        <v>-344.3205823678484</v>
      </c>
      <c r="D126" s="44">
        <v>-368.57733362195813</v>
      </c>
      <c r="E126" s="45">
        <v>-391.6035795808933</v>
      </c>
      <c r="F126" s="44">
        <v>-378.78986983283244</v>
      </c>
      <c r="G126" s="44">
        <v>-397.04341645201725</v>
      </c>
      <c r="H126" s="44">
        <v>-410.2173929131166</v>
      </c>
      <c r="I126" s="44">
        <v>-448.5550234365513</v>
      </c>
    </row>
    <row r="127" spans="1:9" ht="14.25">
      <c r="A127" s="89" t="str">
        <f>HLOOKUP(INDICE!$F$2,Nombres!$C$3:$D$636,40,FALSE)</f>
        <v>  Personnel expenses</v>
      </c>
      <c r="B127" s="44">
        <v>-220.22427137419857</v>
      </c>
      <c r="C127" s="44">
        <v>-194.3518284864185</v>
      </c>
      <c r="D127" s="44">
        <v>-209.36866637635285</v>
      </c>
      <c r="E127" s="45">
        <v>-223.94096653693327</v>
      </c>
      <c r="F127" s="44">
        <v>-210.3157415699583</v>
      </c>
      <c r="G127" s="44">
        <v>-217.5373675290062</v>
      </c>
      <c r="H127" s="44">
        <v>-231.3494415506703</v>
      </c>
      <c r="I127" s="44">
        <v>-269.2494459750598</v>
      </c>
    </row>
    <row r="128" spans="1:9" ht="14.25">
      <c r="A128" s="89" t="str">
        <f>HLOOKUP(INDICE!$F$2,Nombres!$C$3:$D$636,41,FALSE)</f>
        <v>  General and administrative expenses</v>
      </c>
      <c r="B128" s="44">
        <v>-160.5813681057836</v>
      </c>
      <c r="C128" s="44">
        <v>-149.96875388142985</v>
      </c>
      <c r="D128" s="44">
        <v>-159.2086672456053</v>
      </c>
      <c r="E128" s="45">
        <v>-167.66261304396</v>
      </c>
      <c r="F128" s="44">
        <v>-168.47412826287413</v>
      </c>
      <c r="G128" s="44">
        <v>-179.5060489230111</v>
      </c>
      <c r="H128" s="44">
        <v>-178.86795136244632</v>
      </c>
      <c r="I128" s="44">
        <v>-179.30557746149154</v>
      </c>
    </row>
    <row r="129" spans="1:9" ht="14.25">
      <c r="A129" s="88" t="str">
        <f>HLOOKUP(INDICE!$F$2,Nombres!$C$3:$D$636,42,FALSE)</f>
        <v>  Depreciation</v>
      </c>
      <c r="B129" s="44">
        <v>-68.63080406406189</v>
      </c>
      <c r="C129" s="44">
        <v>-59.599160344128975</v>
      </c>
      <c r="D129" s="44">
        <v>-61.70703840810442</v>
      </c>
      <c r="E129" s="45">
        <v>-62.8966227835795</v>
      </c>
      <c r="F129" s="44">
        <v>-65.84468293798695</v>
      </c>
      <c r="G129" s="44">
        <v>-64.49529949500223</v>
      </c>
      <c r="H129" s="44">
        <v>-64.33213125590296</v>
      </c>
      <c r="I129" s="44">
        <v>-62.98834286157927</v>
      </c>
    </row>
    <row r="130" spans="1:9" ht="14.25">
      <c r="A130" s="41" t="str">
        <f>HLOOKUP(INDICE!$F$2,Nombres!$C$3:$D$636,43,FALSE)</f>
        <v>Operating income</v>
      </c>
      <c r="B130" s="41">
        <f aca="true" t="shared" si="20" ref="B130:I130">+B124+B125</f>
        <v>688.3819137660646</v>
      </c>
      <c r="C130" s="41">
        <f t="shared" si="20"/>
        <v>640.4229300038455</v>
      </c>
      <c r="D130" s="41">
        <f t="shared" si="20"/>
        <v>791.1008761913308</v>
      </c>
      <c r="E130" s="42">
        <f t="shared" si="20"/>
        <v>746.4230915181832</v>
      </c>
      <c r="F130" s="50">
        <f t="shared" si="20"/>
        <v>712.5511105507227</v>
      </c>
      <c r="G130" s="50">
        <f t="shared" si="20"/>
        <v>827.1330024373649</v>
      </c>
      <c r="H130" s="50">
        <f t="shared" si="20"/>
        <v>791.438244942321</v>
      </c>
      <c r="I130" s="50">
        <f t="shared" si="20"/>
        <v>811.2371586614437</v>
      </c>
    </row>
    <row r="131" spans="1:9" ht="14.25">
      <c r="A131" s="88" t="str">
        <f>HLOOKUP(INDICE!$F$2,Nombres!$C$3:$D$636,44,FALSE)</f>
        <v>Impaiment on financial assets not measured at fair value through profit or loss</v>
      </c>
      <c r="B131" s="44">
        <v>-361.6251936363261</v>
      </c>
      <c r="C131" s="44">
        <v>-525.4856254009944</v>
      </c>
      <c r="D131" s="44">
        <v>-187.37793362034995</v>
      </c>
      <c r="E131" s="45">
        <v>-321.5736511816382</v>
      </c>
      <c r="F131" s="44">
        <v>-292.76162931594195</v>
      </c>
      <c r="G131" s="44">
        <v>-369.952296597003</v>
      </c>
      <c r="H131" s="44">
        <v>-346.5694009224958</v>
      </c>
      <c r="I131" s="44">
        <v>-161.33222704870096</v>
      </c>
    </row>
    <row r="132" spans="1:9" ht="14.25">
      <c r="A132" s="88" t="str">
        <f>HLOOKUP(INDICE!$F$2,Nombres!$C$3:$D$636,45,FALSE)</f>
        <v>Provisions or reversal of provisions and other results</v>
      </c>
      <c r="B132" s="44">
        <v>-13.449956352012133</v>
      </c>
      <c r="C132" s="44">
        <v>-85.8006983981356</v>
      </c>
      <c r="D132" s="44">
        <v>-75.2901517341236</v>
      </c>
      <c r="E132" s="45">
        <v>7.621907284353988</v>
      </c>
      <c r="F132" s="44">
        <v>-28.866866489994273</v>
      </c>
      <c r="G132" s="44">
        <v>-55.67422353899872</v>
      </c>
      <c r="H132" s="44">
        <v>-69.20409992092185</v>
      </c>
      <c r="I132" s="44">
        <v>-45.76908755845022</v>
      </c>
    </row>
    <row r="133" spans="1:9" ht="14.25">
      <c r="A133" s="90" t="str">
        <f>HLOOKUP(INDICE!$F$2,Nombres!$C$3:$D$636,46,FALSE)</f>
        <v>Profit/(loss) before tax</v>
      </c>
      <c r="B133" s="41">
        <f aca="true" t="shared" si="21" ref="B133:I133">+B130+B131+B132</f>
        <v>313.30676377772636</v>
      </c>
      <c r="C133" s="41">
        <f t="shared" si="21"/>
        <v>29.136606204715505</v>
      </c>
      <c r="D133" s="41">
        <f t="shared" si="21"/>
        <v>528.4327908368573</v>
      </c>
      <c r="E133" s="42">
        <f t="shared" si="21"/>
        <v>432.47134762089905</v>
      </c>
      <c r="F133" s="50">
        <f t="shared" si="21"/>
        <v>390.9226147447865</v>
      </c>
      <c r="G133" s="50">
        <f t="shared" si="21"/>
        <v>401.5064823013632</v>
      </c>
      <c r="H133" s="50">
        <f t="shared" si="21"/>
        <v>375.6647440989034</v>
      </c>
      <c r="I133" s="50">
        <f t="shared" si="21"/>
        <v>604.1358440542925</v>
      </c>
    </row>
    <row r="134" spans="1:9" ht="14.25">
      <c r="A134" s="43" t="str">
        <f>HLOOKUP(INDICE!$F$2,Nombres!$C$3:$D$636,47,FALSE)</f>
        <v>Income tax</v>
      </c>
      <c r="B134" s="44">
        <v>-70.10950596304181</v>
      </c>
      <c r="C134" s="44">
        <v>-7.331708648417695</v>
      </c>
      <c r="D134" s="44">
        <v>-155.99078024162293</v>
      </c>
      <c r="E134" s="45">
        <v>-129.570619619877</v>
      </c>
      <c r="F134" s="44">
        <v>-120.99145709726491</v>
      </c>
      <c r="G134" s="44">
        <v>-137.5717524956233</v>
      </c>
      <c r="H134" s="44">
        <v>-124.7291464686316</v>
      </c>
      <c r="I134" s="44">
        <v>-169.33869606704965</v>
      </c>
    </row>
    <row r="135" spans="1:9" ht="14.25">
      <c r="A135" s="90" t="str">
        <f>HLOOKUP(INDICE!$F$2,Nombres!$C$3:$D$636,48,FALSE)</f>
        <v>Profit/(loss) for the year</v>
      </c>
      <c r="B135" s="41">
        <f aca="true" t="shared" si="22" ref="B135:I135">+B133+B134</f>
        <v>243.19725781468455</v>
      </c>
      <c r="C135" s="41">
        <f t="shared" si="22"/>
        <v>21.80489755629781</v>
      </c>
      <c r="D135" s="41">
        <f t="shared" si="22"/>
        <v>372.44201059523436</v>
      </c>
      <c r="E135" s="42">
        <f t="shared" si="22"/>
        <v>302.90072800102206</v>
      </c>
      <c r="F135" s="50">
        <f t="shared" si="22"/>
        <v>269.93115764752156</v>
      </c>
      <c r="G135" s="50">
        <f t="shared" si="22"/>
        <v>263.9347298057399</v>
      </c>
      <c r="H135" s="50">
        <f t="shared" si="22"/>
        <v>250.9355976302718</v>
      </c>
      <c r="I135" s="50">
        <f t="shared" si="22"/>
        <v>434.79714798724285</v>
      </c>
    </row>
    <row r="136" spans="1:9" ht="14.25">
      <c r="A136" s="88" t="str">
        <f>HLOOKUP(INDICE!$F$2,Nombres!$C$3:$D$636,49,FALSE)</f>
        <v>Non-controlling interests</v>
      </c>
      <c r="B136" s="44">
        <v>-131.35176264291465</v>
      </c>
      <c r="C136" s="44">
        <v>-11.70504751370077</v>
      </c>
      <c r="D136" s="44">
        <v>-196.85153441658724</v>
      </c>
      <c r="E136" s="45">
        <v>-161.90204169252</v>
      </c>
      <c r="F136" s="44">
        <v>-146.38964571385588</v>
      </c>
      <c r="G136" s="44">
        <v>-140.42997958587307</v>
      </c>
      <c r="H136" s="44">
        <v>-135.76274618974824</v>
      </c>
      <c r="I136" s="44">
        <v>-235.81839038425767</v>
      </c>
    </row>
    <row r="137" spans="1:9" ht="14.25">
      <c r="A137" s="91" t="str">
        <f>HLOOKUP(INDICE!$F$2,Nombres!$C$3:$D$636,50,FALSE)</f>
        <v>Net attributable profit</v>
      </c>
      <c r="B137" s="47">
        <f aca="true" t="shared" si="23" ref="B137:I137">+B135+B136</f>
        <v>111.8454951717699</v>
      </c>
      <c r="C137" s="47">
        <f t="shared" si="23"/>
        <v>10.09985004259704</v>
      </c>
      <c r="D137" s="47">
        <f t="shared" si="23"/>
        <v>175.59047617864712</v>
      </c>
      <c r="E137" s="47">
        <f t="shared" si="23"/>
        <v>140.99868630850207</v>
      </c>
      <c r="F137" s="51">
        <f t="shared" si="23"/>
        <v>123.54151193366567</v>
      </c>
      <c r="G137" s="51">
        <f t="shared" si="23"/>
        <v>123.50475021986682</v>
      </c>
      <c r="H137" s="51">
        <f t="shared" si="23"/>
        <v>115.17285144052354</v>
      </c>
      <c r="I137" s="51">
        <f t="shared" si="23"/>
        <v>198.97875760298518</v>
      </c>
    </row>
    <row r="138" spans="1:9" ht="14.25">
      <c r="A138" s="92"/>
      <c r="B138" s="63">
        <v>-3.410605131648481E-13</v>
      </c>
      <c r="C138" s="63">
        <v>-4.263256414560601E-14</v>
      </c>
      <c r="D138" s="63">
        <v>0</v>
      </c>
      <c r="E138" s="63">
        <v>-3.410605131648481E-13</v>
      </c>
      <c r="F138" s="63">
        <v>0</v>
      </c>
      <c r="G138" s="63">
        <v>1.9895196601282805E-13</v>
      </c>
      <c r="H138" s="63">
        <v>0</v>
      </c>
      <c r="I138" s="63">
        <v>0</v>
      </c>
    </row>
    <row r="139" spans="1:9" ht="14.25">
      <c r="A139" s="90"/>
      <c r="B139" s="41"/>
      <c r="C139" s="41"/>
      <c r="D139" s="41"/>
      <c r="E139" s="41"/>
      <c r="F139" s="50"/>
      <c r="G139" s="50"/>
      <c r="H139" s="50"/>
      <c r="I139" s="50"/>
    </row>
    <row r="140" spans="1:9" ht="16.5">
      <c r="A140" s="93" t="str">
        <f>HLOOKUP(INDICE!$F$2,Nombres!$C$3:$D$636,51,FALSE)</f>
        <v>Balance sheets</v>
      </c>
      <c r="B140" s="34"/>
      <c r="C140" s="34"/>
      <c r="D140" s="34"/>
      <c r="E140" s="34"/>
      <c r="F140" s="69"/>
      <c r="G140" s="69"/>
      <c r="H140" s="69"/>
      <c r="I140" s="69"/>
    </row>
    <row r="141" spans="1:9" ht="14.25">
      <c r="A141" s="84" t="str">
        <f>HLOOKUP(INDICE!$F$2,Nombres!$C$3:$D$636,79,FALSE)</f>
        <v>(Million Peruvian soles)</v>
      </c>
      <c r="B141" s="30"/>
      <c r="C141" s="52"/>
      <c r="D141" s="52"/>
      <c r="E141" s="52"/>
      <c r="F141" s="70"/>
      <c r="G141" s="44"/>
      <c r="H141" s="44"/>
      <c r="I141" s="44"/>
    </row>
    <row r="142" spans="1:9" ht="14.25">
      <c r="A142" s="30"/>
      <c r="B142" s="53">
        <f aca="true" t="shared" si="24" ref="B142:I142">+B$30</f>
        <v>43921</v>
      </c>
      <c r="C142" s="53">
        <f t="shared" si="24"/>
        <v>44012</v>
      </c>
      <c r="D142" s="53">
        <f t="shared" si="24"/>
        <v>44104</v>
      </c>
      <c r="E142" s="68">
        <f t="shared" si="24"/>
        <v>44196</v>
      </c>
      <c r="F142" s="53">
        <f t="shared" si="24"/>
        <v>44286</v>
      </c>
      <c r="G142" s="53">
        <f t="shared" si="24"/>
        <v>44377</v>
      </c>
      <c r="H142" s="53">
        <f t="shared" si="24"/>
        <v>44469</v>
      </c>
      <c r="I142" s="53">
        <f t="shared" si="24"/>
        <v>44561</v>
      </c>
    </row>
    <row r="143" spans="1:9" ht="14.25">
      <c r="A143" s="88" t="str">
        <f>HLOOKUP(INDICE!$F$2,Nombres!$C$3:$D$636,52,FALSE)</f>
        <v>Cash, cash balances at central banks and other demand deposits</v>
      </c>
      <c r="B143" s="44">
        <v>12687.30730110878</v>
      </c>
      <c r="C143" s="44">
        <v>12352.691014420088</v>
      </c>
      <c r="D143" s="44">
        <v>10450.167998535244</v>
      </c>
      <c r="E143" s="45">
        <v>12545.050786063142</v>
      </c>
      <c r="F143" s="44">
        <v>13478.40845017633</v>
      </c>
      <c r="G143" s="44">
        <v>11628.58673431168</v>
      </c>
      <c r="H143" s="44">
        <v>16388.685186548348</v>
      </c>
      <c r="I143" s="44">
        <v>14820.894970536818</v>
      </c>
    </row>
    <row r="144" spans="1:9" ht="14.25">
      <c r="A144" s="88" t="str">
        <f>HLOOKUP(INDICE!$F$2,Nombres!$C$3:$D$636,53,FALSE)</f>
        <v>Financial assets designated at fair value </v>
      </c>
      <c r="B144" s="58">
        <v>8419.706186415917</v>
      </c>
      <c r="C144" s="58">
        <v>11948.14745171466</v>
      </c>
      <c r="D144" s="58">
        <v>12504.359251807346</v>
      </c>
      <c r="E144" s="65">
        <v>12313.935229353452</v>
      </c>
      <c r="F144" s="44">
        <v>12238.664915294772</v>
      </c>
      <c r="G144" s="44">
        <v>14060.121410652497</v>
      </c>
      <c r="H144" s="44">
        <v>13302.016781894023</v>
      </c>
      <c r="I144" s="44">
        <v>11480.768089094112</v>
      </c>
    </row>
    <row r="145" spans="1:9" ht="14.25">
      <c r="A145" s="43" t="str">
        <f>HLOOKUP(INDICE!$F$2,Nombres!$C$3:$D$636,54,FALSE)</f>
        <v>Financial assets at amortized cost</v>
      </c>
      <c r="B145" s="44">
        <v>61190.93604877764</v>
      </c>
      <c r="C145" s="44">
        <v>69659.84781540181</v>
      </c>
      <c r="D145" s="44">
        <v>79466.36181406281</v>
      </c>
      <c r="E145" s="45">
        <v>80052.34800276243</v>
      </c>
      <c r="F145" s="44">
        <v>77287.94876246613</v>
      </c>
      <c r="G145" s="44">
        <v>77689.634147619</v>
      </c>
      <c r="H145" s="44">
        <v>77210.1817596682</v>
      </c>
      <c r="I145" s="44">
        <v>72517.15164057817</v>
      </c>
    </row>
    <row r="146" spans="1:9" ht="14.25">
      <c r="A146" s="88" t="str">
        <f>HLOOKUP(INDICE!$F$2,Nombres!$C$3:$D$636,55,FALSE)</f>
        <v>    of which loans and advances to customers</v>
      </c>
      <c r="B146" s="44">
        <v>58181.937480382694</v>
      </c>
      <c r="C146" s="44">
        <v>63536.650084606306</v>
      </c>
      <c r="D146" s="44">
        <v>67094.89135028025</v>
      </c>
      <c r="E146" s="45">
        <v>67118.79308206981</v>
      </c>
      <c r="F146" s="44">
        <v>67399.10126368164</v>
      </c>
      <c r="G146" s="44">
        <v>71042.35094544305</v>
      </c>
      <c r="H146" s="44">
        <v>69884.08600756266</v>
      </c>
      <c r="I146" s="44">
        <v>70488.64330440058</v>
      </c>
    </row>
    <row r="147" spans="1:9" ht="14.25">
      <c r="A147" s="88"/>
      <c r="B147" s="44"/>
      <c r="C147" s="44"/>
      <c r="D147" s="44"/>
      <c r="E147" s="45"/>
      <c r="F147" s="44"/>
      <c r="G147" s="44"/>
      <c r="H147" s="44"/>
      <c r="I147" s="44"/>
    </row>
    <row r="148" spans="1:9" ht="14.25">
      <c r="A148" s="43" t="str">
        <f>HLOOKUP(INDICE!$F$2,Nombres!$C$3:$D$636,56,FALSE)</f>
        <v>Tangible assets</v>
      </c>
      <c r="B148" s="44">
        <v>1155.8272410280667</v>
      </c>
      <c r="C148" s="44">
        <v>1137.450432457205</v>
      </c>
      <c r="D148" s="44">
        <v>1139.8418974233905</v>
      </c>
      <c r="E148" s="45">
        <v>1184.634546888408</v>
      </c>
      <c r="F148" s="44">
        <v>1157.4707406976545</v>
      </c>
      <c r="G148" s="44">
        <v>1142.790426493853</v>
      </c>
      <c r="H148" s="44">
        <v>1146.2071109668636</v>
      </c>
      <c r="I148" s="44">
        <v>1217.1329293771637</v>
      </c>
    </row>
    <row r="149" spans="1:9" ht="14.25">
      <c r="A149" s="88" t="str">
        <f>HLOOKUP(INDICE!$F$2,Nombres!$C$3:$D$636,57,FALSE)</f>
        <v>Other assets</v>
      </c>
      <c r="B149" s="58">
        <f aca="true" t="shared" si="25" ref="B149:I149">+B150-B148-B145-B144-B143</f>
        <v>1578.6172815573864</v>
      </c>
      <c r="C149" s="58">
        <f t="shared" si="25"/>
        <v>1833.4335007639493</v>
      </c>
      <c r="D149" s="58">
        <f t="shared" si="25"/>
        <v>1584.9886134473836</v>
      </c>
      <c r="E149" s="65">
        <f t="shared" si="25"/>
        <v>1544.130729493554</v>
      </c>
      <c r="F149" s="44">
        <f t="shared" si="25"/>
        <v>1599.462003491417</v>
      </c>
      <c r="G149" s="44">
        <f t="shared" si="25"/>
        <v>1625.7311895425883</v>
      </c>
      <c r="H149" s="44">
        <f t="shared" si="25"/>
        <v>1695.418000886275</v>
      </c>
      <c r="I149" s="44">
        <f t="shared" si="25"/>
        <v>1827.8785220951795</v>
      </c>
    </row>
    <row r="150" spans="1:9" ht="14.25">
      <c r="A150" s="91" t="str">
        <f>HLOOKUP(INDICE!$F$2,Nombres!$C$3:$D$636,58,FALSE)</f>
        <v>Total assets / Liabilities and equity</v>
      </c>
      <c r="B150" s="47">
        <v>85032.39405888779</v>
      </c>
      <c r="C150" s="47">
        <v>96931.57021475771</v>
      </c>
      <c r="D150" s="47">
        <v>105145.71957527618</v>
      </c>
      <c r="E150" s="47">
        <v>107640.09929456099</v>
      </c>
      <c r="F150" s="51">
        <v>105761.9548721263</v>
      </c>
      <c r="G150" s="51">
        <v>106146.86390861962</v>
      </c>
      <c r="H150" s="51">
        <v>109742.5088399637</v>
      </c>
      <c r="I150" s="51">
        <v>101863.82615168145</v>
      </c>
    </row>
    <row r="151" spans="1:9" ht="14.25">
      <c r="A151" s="88" t="str">
        <f>HLOOKUP(INDICE!$F$2,Nombres!$C$3:$D$636,59,FALSE)</f>
        <v>Financial liabilities held for trading and designated at fair value through profit or loss</v>
      </c>
      <c r="B151" s="58">
        <v>941.5297161584251</v>
      </c>
      <c r="C151" s="58">
        <v>1108.2863524061743</v>
      </c>
      <c r="D151" s="58">
        <v>955.6371973736507</v>
      </c>
      <c r="E151" s="65">
        <v>987.3740773086731</v>
      </c>
      <c r="F151" s="44">
        <v>1169.6563615436403</v>
      </c>
      <c r="G151" s="44">
        <v>1726.0981186362885</v>
      </c>
      <c r="H151" s="44">
        <v>2457.558642921852</v>
      </c>
      <c r="I151" s="44">
        <v>1597.6384323759025</v>
      </c>
    </row>
    <row r="152" spans="1:9" ht="14.25">
      <c r="A152" s="88" t="str">
        <f>HLOOKUP(INDICE!$F$2,Nombres!$C$3:$D$636,60,FALSE)</f>
        <v>Deposits from central banks and credit institutions</v>
      </c>
      <c r="B152" s="58">
        <v>10320.195656082738</v>
      </c>
      <c r="C152" s="58">
        <v>12187.925210964913</v>
      </c>
      <c r="D152" s="58">
        <v>19221.96564642286</v>
      </c>
      <c r="E152" s="65">
        <v>18171.60795350558</v>
      </c>
      <c r="F152" s="44">
        <v>18506.618269621486</v>
      </c>
      <c r="G152" s="44">
        <v>19960.8200503549</v>
      </c>
      <c r="H152" s="44">
        <v>20006.367605127074</v>
      </c>
      <c r="I152" s="44">
        <v>18606.711439051214</v>
      </c>
    </row>
    <row r="153" spans="1:9" ht="14.25">
      <c r="A153" s="88" t="str">
        <f>HLOOKUP(INDICE!$F$2,Nombres!$C$3:$D$636,61,FALSE)</f>
        <v>Deposits from customers</v>
      </c>
      <c r="B153" s="58">
        <v>55403.47320146733</v>
      </c>
      <c r="C153" s="58">
        <v>64756.651164548595</v>
      </c>
      <c r="D153" s="58">
        <v>65982.93001693183</v>
      </c>
      <c r="E153" s="65">
        <v>70484.30803810529</v>
      </c>
      <c r="F153" s="44">
        <v>67023.51766389208</v>
      </c>
      <c r="G153" s="44">
        <v>65760.9073969131</v>
      </c>
      <c r="H153" s="44">
        <v>68098.01839183131</v>
      </c>
      <c r="I153" s="44">
        <v>62818.876136453844</v>
      </c>
    </row>
    <row r="154" spans="1:9" ht="14.25">
      <c r="A154" s="43" t="str">
        <f>HLOOKUP(INDICE!$F$2,Nombres!$C$3:$D$636,62,FALSE)</f>
        <v>Debt certificates</v>
      </c>
      <c r="B154" s="44">
        <v>7898.246161517009</v>
      </c>
      <c r="C154" s="44">
        <v>7973.9801149466075</v>
      </c>
      <c r="D154" s="44">
        <v>6368.3841102579245</v>
      </c>
      <c r="E154" s="45">
        <v>5795.315295937822</v>
      </c>
      <c r="F154" s="44">
        <v>5868.74044553245</v>
      </c>
      <c r="G154" s="44">
        <v>5779.279927698184</v>
      </c>
      <c r="H154" s="44">
        <v>6034.188442258471</v>
      </c>
      <c r="I154" s="44">
        <v>5998.123993673071</v>
      </c>
    </row>
    <row r="155" spans="1:9" ht="14.25">
      <c r="A155" s="43"/>
      <c r="B155" s="44"/>
      <c r="C155" s="44"/>
      <c r="D155" s="44"/>
      <c r="E155" s="45"/>
      <c r="F155" s="44"/>
      <c r="G155" s="44"/>
      <c r="H155" s="44"/>
      <c r="I155" s="44"/>
    </row>
    <row r="156" spans="1:9" ht="15.75" customHeight="1">
      <c r="A156" s="88" t="str">
        <f>HLOOKUP(INDICE!$F$2,Nombres!$C$3:$D$636,63,FALSE)</f>
        <v>Other liabilities</v>
      </c>
      <c r="B156" s="58">
        <f aca="true" t="shared" si="26" ref="B156:I156">+B150-B151-B152-B153-B154-B157</f>
        <v>1868.9469480491316</v>
      </c>
      <c r="C156" s="58">
        <f t="shared" si="26"/>
        <v>2135.544610615374</v>
      </c>
      <c r="D156" s="58">
        <f t="shared" si="26"/>
        <v>4381.872246391495</v>
      </c>
      <c r="E156" s="65">
        <f t="shared" si="26"/>
        <v>3456.087941350259</v>
      </c>
      <c r="F156" s="44">
        <f t="shared" si="26"/>
        <v>4743.638445416505</v>
      </c>
      <c r="G156" s="44">
        <f t="shared" si="26"/>
        <v>4322.954414415635</v>
      </c>
      <c r="H156" s="44">
        <f t="shared" si="26"/>
        <v>4118.977464593119</v>
      </c>
      <c r="I156" s="44">
        <f t="shared" si="26"/>
        <v>3454.703911035467</v>
      </c>
    </row>
    <row r="157" spans="1:9" ht="15.75" customHeight="1">
      <c r="A157" s="43" t="str">
        <f>HLOOKUP(INDICE!$F$2,Nombres!$C$3:$D$636,282,FALSE)</f>
        <v>Regulatory capital allocated</v>
      </c>
      <c r="B157" s="58">
        <v>8600.00237561315</v>
      </c>
      <c r="C157" s="58">
        <v>8769.182761276055</v>
      </c>
      <c r="D157" s="58">
        <v>8234.930357898413</v>
      </c>
      <c r="E157" s="65">
        <v>8745.405988353372</v>
      </c>
      <c r="F157" s="44">
        <v>8449.783686120132</v>
      </c>
      <c r="G157" s="44">
        <v>8596.804000601509</v>
      </c>
      <c r="H157" s="44">
        <v>9027.398293231874</v>
      </c>
      <c r="I157" s="44">
        <v>9387.772239091959</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93" t="str">
        <f>HLOOKUP(INDICE!$F$2,Nombres!$C$3:$D$636,65,FALSE)</f>
        <v>Relevant business indicators</v>
      </c>
      <c r="B160" s="34"/>
      <c r="C160" s="34"/>
      <c r="D160" s="34"/>
      <c r="E160" s="34"/>
      <c r="F160" s="69"/>
      <c r="G160" s="69"/>
      <c r="H160" s="69"/>
      <c r="I160" s="69"/>
    </row>
    <row r="161" spans="1:9" ht="14.25">
      <c r="A161" s="84" t="str">
        <f>HLOOKUP(INDICE!$F$2,Nombres!$C$3:$D$636,79,FALSE)</f>
        <v>(Million Peruvian soles)</v>
      </c>
      <c r="B161" s="30"/>
      <c r="C161" s="30"/>
      <c r="D161" s="30"/>
      <c r="E161" s="30"/>
      <c r="F161" s="70"/>
      <c r="G161" s="44"/>
      <c r="H161" s="44"/>
      <c r="I161" s="44"/>
    </row>
    <row r="162" spans="1:9" ht="14.25">
      <c r="A162" s="30"/>
      <c r="B162" s="53">
        <f aca="true" t="shared" si="27" ref="B162:I162">+B$30</f>
        <v>43921</v>
      </c>
      <c r="C162" s="53">
        <f t="shared" si="27"/>
        <v>44012</v>
      </c>
      <c r="D162" s="53">
        <f t="shared" si="27"/>
        <v>44104</v>
      </c>
      <c r="E162" s="68">
        <f t="shared" si="27"/>
        <v>44196</v>
      </c>
      <c r="F162" s="53">
        <f t="shared" si="27"/>
        <v>44286</v>
      </c>
      <c r="G162" s="53">
        <f t="shared" si="27"/>
        <v>44377</v>
      </c>
      <c r="H162" s="53">
        <f t="shared" si="27"/>
        <v>44469</v>
      </c>
      <c r="I162" s="53">
        <f t="shared" si="27"/>
        <v>44561</v>
      </c>
    </row>
    <row r="163" spans="1:9" ht="14.25">
      <c r="A163" s="88" t="str">
        <f>HLOOKUP(INDICE!$F$2,Nombres!$C$3:$D$636,66,FALSE)</f>
        <v>Loans and advances to customers (gross) (*)</v>
      </c>
      <c r="B163" s="44">
        <v>61154.8061642613</v>
      </c>
      <c r="C163" s="44">
        <v>66674.50474635356</v>
      </c>
      <c r="D163" s="44">
        <v>70780.66962807495</v>
      </c>
      <c r="E163" s="45">
        <v>71011.46212500113</v>
      </c>
      <c r="F163" s="44">
        <v>71487.59561292877</v>
      </c>
      <c r="G163" s="44">
        <v>75222.20602943253</v>
      </c>
      <c r="H163" s="44">
        <v>73883.46506842301</v>
      </c>
      <c r="I163" s="44">
        <v>74100.30754175772</v>
      </c>
    </row>
    <row r="164" spans="1:9" ht="14.25">
      <c r="A164" s="88" t="str">
        <f>HLOOKUP(INDICE!$F$2,Nombres!$C$3:$D$636,67,FALSE)</f>
        <v>Customer deposits under management (*)</v>
      </c>
      <c r="B164" s="44">
        <v>55403.46739188016</v>
      </c>
      <c r="C164" s="44">
        <v>64756.65060652754</v>
      </c>
      <c r="D164" s="44">
        <v>65982.93622911083</v>
      </c>
      <c r="E164" s="45">
        <v>70484.3264713175</v>
      </c>
      <c r="F164" s="44">
        <v>67023.51813313995</v>
      </c>
      <c r="G164" s="44">
        <v>65760.89966808388</v>
      </c>
      <c r="H164" s="44">
        <v>68098.01761971945</v>
      </c>
      <c r="I164" s="44">
        <v>62818.82543439849</v>
      </c>
    </row>
    <row r="165" spans="1:9" ht="14.25">
      <c r="A165" s="43" t="str">
        <f>HLOOKUP(INDICE!$F$2,Nombres!$C$3:$D$636,68,FALSE)</f>
        <v>Mutual funds</v>
      </c>
      <c r="B165" s="44">
        <v>6981.92827797138</v>
      </c>
      <c r="C165" s="44">
        <v>7448.202154056133</v>
      </c>
      <c r="D165" s="44">
        <v>8610.267496036815</v>
      </c>
      <c r="E165" s="45">
        <v>9543.188176972342</v>
      </c>
      <c r="F165" s="44">
        <v>10261.478527981464</v>
      </c>
      <c r="G165" s="44">
        <v>8794.680996010045</v>
      </c>
      <c r="H165" s="44">
        <v>7422.015198020528</v>
      </c>
      <c r="I165" s="44">
        <v>6949.413191070646</v>
      </c>
    </row>
    <row r="166" spans="1:9" ht="14.25">
      <c r="A166" s="88" t="str">
        <f>HLOOKUP(INDICE!$F$2,Nombres!$C$3:$D$636,69,FALSE)</f>
        <v>Pension funds</v>
      </c>
      <c r="B166" s="44">
        <v>0</v>
      </c>
      <c r="C166" s="44">
        <v>0</v>
      </c>
      <c r="D166" s="44">
        <v>0</v>
      </c>
      <c r="E166" s="45">
        <v>0</v>
      </c>
      <c r="F166" s="44">
        <v>0</v>
      </c>
      <c r="G166" s="44">
        <v>0</v>
      </c>
      <c r="H166" s="44">
        <v>0</v>
      </c>
      <c r="I166" s="44">
        <v>0</v>
      </c>
    </row>
    <row r="167" spans="1:15" ht="14.25">
      <c r="A167" s="88" t="str">
        <f>HLOOKUP(INDICE!$F$2,Nombres!$C$3:$D$636,70,FALSE)</f>
        <v>Other off balance-sheet funds</v>
      </c>
      <c r="B167" s="44">
        <v>0</v>
      </c>
      <c r="C167" s="44">
        <v>0</v>
      </c>
      <c r="D167" s="44">
        <v>0</v>
      </c>
      <c r="E167" s="45">
        <v>0</v>
      </c>
      <c r="F167" s="44">
        <v>0</v>
      </c>
      <c r="G167" s="44">
        <v>0</v>
      </c>
      <c r="H167" s="44">
        <v>0</v>
      </c>
      <c r="I167" s="44">
        <v>0</v>
      </c>
      <c r="K167" s="74"/>
      <c r="L167" s="74"/>
      <c r="M167" s="74"/>
      <c r="N167" s="74"/>
      <c r="O167" s="74"/>
    </row>
    <row r="168" spans="1:15" ht="14.25">
      <c r="A168" s="92" t="str">
        <f>HLOOKUP(INDICE!$F$2,Nombres!$C$3:$D$636,71,FALSE)</f>
        <v>(*) Excluding repos. </v>
      </c>
      <c r="B168" s="58"/>
      <c r="C168" s="58"/>
      <c r="D168" s="58"/>
      <c r="E168" s="58"/>
      <c r="F168" s="44"/>
      <c r="G168" s="44"/>
      <c r="H168" s="44"/>
      <c r="I168" s="44"/>
      <c r="K168" s="74"/>
      <c r="L168" s="74"/>
      <c r="M168" s="74"/>
      <c r="N168" s="74"/>
      <c r="O168" s="74"/>
    </row>
    <row r="169" spans="1:15" ht="14.25">
      <c r="A169" s="92">
        <f>HLOOKUP(INDICE!$F$2,Nombres!$C$3:$D$636,72,FALSE)</f>
        <v>0</v>
      </c>
      <c r="B169" s="30"/>
      <c r="C169" s="30"/>
      <c r="D169" s="30"/>
      <c r="E169" s="30"/>
      <c r="F169" s="30"/>
      <c r="G169" s="30"/>
      <c r="H169" s="30"/>
      <c r="I169" s="30"/>
      <c r="K169" s="74"/>
      <c r="L169" s="74"/>
      <c r="M169" s="74"/>
      <c r="N169" s="74"/>
      <c r="O169" s="74"/>
    </row>
    <row r="170" spans="1:15" ht="14.25">
      <c r="A170" s="30"/>
      <c r="B170" s="30"/>
      <c r="C170" s="30"/>
      <c r="D170" s="30"/>
      <c r="E170" s="30"/>
      <c r="F170" s="30"/>
      <c r="G170" s="30"/>
      <c r="H170" s="30"/>
      <c r="I170" s="30"/>
      <c r="K170" s="74"/>
      <c r="L170" s="74"/>
      <c r="M170" s="74"/>
      <c r="N170" s="74"/>
      <c r="O170" s="74"/>
    </row>
    <row r="171" spans="1:15" ht="14.25">
      <c r="A171" s="30"/>
      <c r="B171" s="30"/>
      <c r="C171" s="30"/>
      <c r="D171" s="30"/>
      <c r="E171" s="30"/>
      <c r="F171" s="30"/>
      <c r="G171" s="30"/>
      <c r="H171" s="30"/>
      <c r="I171" s="30"/>
      <c r="K171" s="74"/>
      <c r="L171" s="74"/>
      <c r="M171" s="74"/>
      <c r="N171" s="74"/>
      <c r="O171" s="74"/>
    </row>
    <row r="172" spans="1:15" ht="14.25">
      <c r="A172" s="73"/>
      <c r="B172" s="74"/>
      <c r="C172" s="75"/>
      <c r="D172" s="75"/>
      <c r="E172" s="75"/>
      <c r="F172" s="74"/>
      <c r="G172" s="74"/>
      <c r="H172" s="74"/>
      <c r="I172" s="74"/>
      <c r="K172" s="74"/>
      <c r="L172" s="74"/>
      <c r="M172" s="74"/>
      <c r="N172" s="74"/>
      <c r="O172" s="74"/>
    </row>
    <row r="173" spans="1:15" ht="14.25">
      <c r="A173" s="73"/>
      <c r="B173" s="74"/>
      <c r="C173" s="75"/>
      <c r="D173" s="75"/>
      <c r="E173" s="75"/>
      <c r="F173" s="74"/>
      <c r="G173" s="74"/>
      <c r="H173" s="74"/>
      <c r="I173" s="74"/>
      <c r="J173" s="74"/>
      <c r="K173" s="74"/>
      <c r="L173" s="74"/>
      <c r="M173" s="74"/>
      <c r="N173" s="74"/>
      <c r="O173" s="74"/>
    </row>
    <row r="174" spans="1:15" ht="14.25">
      <c r="A174" s="74"/>
      <c r="B174" s="74"/>
      <c r="C174" s="74"/>
      <c r="D174" s="74"/>
      <c r="E174" s="74"/>
      <c r="F174" s="74"/>
      <c r="G174" s="74"/>
      <c r="H174" s="74"/>
      <c r="I174" s="74"/>
      <c r="J174" s="74"/>
      <c r="K174" s="74"/>
      <c r="L174" s="74"/>
      <c r="M174" s="74"/>
      <c r="N174" s="74"/>
      <c r="O174" s="74"/>
    </row>
    <row r="175" spans="1:10" ht="14.25">
      <c r="A175" s="74"/>
      <c r="B175" s="74"/>
      <c r="C175" s="74"/>
      <c r="D175" s="74"/>
      <c r="E175" s="74"/>
      <c r="F175" s="74"/>
      <c r="G175" s="74"/>
      <c r="H175" s="74"/>
      <c r="I175" s="74"/>
      <c r="J175" s="74"/>
    </row>
    <row r="176" spans="1:10" ht="14.25">
      <c r="A176" s="74"/>
      <c r="B176" s="74"/>
      <c r="C176" s="74"/>
      <c r="D176" s="74"/>
      <c r="E176" s="74"/>
      <c r="F176" s="74"/>
      <c r="G176" s="74"/>
      <c r="H176" s="74"/>
      <c r="I176" s="74"/>
      <c r="J176" s="74"/>
    </row>
    <row r="177" spans="1:10" ht="14.25">
      <c r="A177" s="74"/>
      <c r="B177" s="74"/>
      <c r="C177" s="74"/>
      <c r="D177" s="74"/>
      <c r="E177" s="74"/>
      <c r="F177" s="74"/>
      <c r="G177" s="74"/>
      <c r="H177" s="74"/>
      <c r="I177" s="74"/>
      <c r="J177" s="74"/>
    </row>
    <row r="178" spans="1:10" ht="14.25">
      <c r="A178" s="74"/>
      <c r="B178" s="74"/>
      <c r="C178" s="74"/>
      <c r="D178" s="74"/>
      <c r="E178" s="74"/>
      <c r="F178" s="74"/>
      <c r="G178" s="74"/>
      <c r="H178" s="74"/>
      <c r="I178" s="74"/>
      <c r="J178" s="74"/>
    </row>
    <row r="179" spans="1:10" ht="14.25">
      <c r="A179" s="74"/>
      <c r="B179" s="74"/>
      <c r="C179" s="74"/>
      <c r="D179" s="74"/>
      <c r="E179" s="74"/>
      <c r="F179" s="74"/>
      <c r="G179" s="74"/>
      <c r="H179" s="74"/>
      <c r="I179" s="74"/>
      <c r="J179" s="74"/>
    </row>
    <row r="180" spans="1:10" ht="14.25">
      <c r="A180" s="74"/>
      <c r="B180" s="74"/>
      <c r="C180" s="74"/>
      <c r="D180" s="74"/>
      <c r="E180" s="74"/>
      <c r="F180" s="74"/>
      <c r="G180" s="74"/>
      <c r="H180" s="74"/>
      <c r="I180" s="74"/>
      <c r="J180" s="74"/>
    </row>
  </sheetData>
  <sheetProtection/>
  <mergeCells count="6">
    <mergeCell ref="B118:E118"/>
    <mergeCell ref="F118:I118"/>
    <mergeCell ref="B6:E6"/>
    <mergeCell ref="F6:I6"/>
    <mergeCell ref="B62:E62"/>
    <mergeCell ref="F62:I62"/>
  </mergeCells>
  <conditionalFormatting sqref="B26:I26">
    <cfRule type="cellIs" priority="3" dxfId="114" operator="notBetween">
      <formula>0.5</formula>
      <formula>-0.5</formula>
    </cfRule>
  </conditionalFormatting>
  <conditionalFormatting sqref="B82:I82">
    <cfRule type="cellIs" priority="2" dxfId="114" operator="notBetween">
      <formula>0.5</formula>
      <formula>-0.5</formula>
    </cfRule>
  </conditionalFormatting>
  <conditionalFormatting sqref="B138:I138">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A1" sqref="A1"/>
    </sheetView>
  </sheetViews>
  <sheetFormatPr defaultColWidth="11.421875" defaultRowHeight="15"/>
  <cols>
    <col min="1" max="1" width="62.00390625" style="31" customWidth="1"/>
    <col min="2" max="16384" width="11.421875" style="31" customWidth="1"/>
  </cols>
  <sheetData>
    <row r="1" spans="1:9" ht="16.5">
      <c r="A1" s="83" t="str">
        <f>HLOOKUP(INDICE!$F$2,Nombres!$C$3:$D$636,263,FALSE)</f>
        <v>Rest of Business</v>
      </c>
      <c r="B1" s="30"/>
      <c r="C1" s="30"/>
      <c r="D1" s="30"/>
      <c r="E1" s="30"/>
      <c r="F1" s="30"/>
      <c r="G1" s="30"/>
      <c r="H1" s="30"/>
      <c r="I1" s="30"/>
    </row>
    <row r="2" spans="1:9" ht="19.5">
      <c r="A2" s="32"/>
      <c r="B2" s="30"/>
      <c r="C2" s="30"/>
      <c r="D2" s="30"/>
      <c r="E2" s="30"/>
      <c r="F2" s="30"/>
      <c r="G2" s="30"/>
      <c r="H2" s="30"/>
      <c r="I2" s="30"/>
    </row>
    <row r="3" spans="1:9" ht="16.5">
      <c r="A3" s="33" t="str">
        <f>HLOOKUP(INDICE!$F$2,Nombres!$C$3:$D$636,31,FALSE)</f>
        <v>Income statement  </v>
      </c>
      <c r="B3" s="34"/>
      <c r="C3" s="34"/>
      <c r="D3" s="34"/>
      <c r="E3" s="34"/>
      <c r="F3" s="34"/>
      <c r="G3" s="34"/>
      <c r="H3" s="34"/>
      <c r="I3" s="34"/>
    </row>
    <row r="4" spans="1:9" ht="14.25">
      <c r="A4" s="84"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85" t="str">
        <f>+España!B7</f>
        <v>1Q</v>
      </c>
      <c r="C7" s="85" t="str">
        <f>+España!C7</f>
        <v>2Q</v>
      </c>
      <c r="D7" s="85" t="str">
        <f>+España!D7</f>
        <v>3Q</v>
      </c>
      <c r="E7" s="86" t="str">
        <f>+España!E7</f>
        <v>4Q</v>
      </c>
      <c r="F7" s="85" t="str">
        <f>+España!F7</f>
        <v>1Q</v>
      </c>
      <c r="G7" s="85" t="str">
        <f>+España!G7</f>
        <v>2Q</v>
      </c>
      <c r="H7" s="85" t="str">
        <f>+España!H7</f>
        <v>3Q</v>
      </c>
      <c r="I7" s="85" t="str">
        <f>+España!I7</f>
        <v>4Q</v>
      </c>
    </row>
    <row r="8" spans="1:14" ht="14.25">
      <c r="A8" s="41" t="str">
        <f>HLOOKUP(INDICE!$F$2,Nombres!$C$3:$D$636,33,FALSE)</f>
        <v>Net interest income</v>
      </c>
      <c r="B8" s="41">
        <v>64.93846999</v>
      </c>
      <c r="C8" s="41">
        <v>79.95420902999997</v>
      </c>
      <c r="D8" s="41">
        <v>75.15565635</v>
      </c>
      <c r="E8" s="42">
        <v>70.71576833000003</v>
      </c>
      <c r="F8" s="50">
        <v>72.44060586</v>
      </c>
      <c r="G8" s="244">
        <v>67.33079158</v>
      </c>
      <c r="H8" s="244">
        <v>69.54857393</v>
      </c>
      <c r="I8" s="244">
        <v>71.74419940000001</v>
      </c>
      <c r="J8" s="87"/>
      <c r="K8" s="87"/>
      <c r="L8" s="87"/>
      <c r="M8" s="87"/>
      <c r="N8" s="87"/>
    </row>
    <row r="9" spans="1:9" ht="14.25">
      <c r="A9" s="88" t="str">
        <f>HLOOKUP(INDICE!$F$2,Nombres!$C$3:$D$636,34,FALSE)</f>
        <v>Net fees and commissions</v>
      </c>
      <c r="B9" s="44">
        <v>83.70778100000001</v>
      </c>
      <c r="C9" s="44">
        <v>96.51713118</v>
      </c>
      <c r="D9" s="44">
        <v>82.93294128000001</v>
      </c>
      <c r="E9" s="45">
        <v>68.69284372</v>
      </c>
      <c r="F9" s="44">
        <v>72.68694468000001</v>
      </c>
      <c r="G9" s="44">
        <v>62.288212079999994</v>
      </c>
      <c r="H9" s="44">
        <v>53.59773997</v>
      </c>
      <c r="I9" s="44">
        <v>59.13637912</v>
      </c>
    </row>
    <row r="10" spans="1:9" ht="14.25">
      <c r="A10" s="88" t="str">
        <f>HLOOKUP(INDICE!$F$2,Nombres!$C$3:$D$636,35,FALSE)</f>
        <v>Net trading income</v>
      </c>
      <c r="B10" s="44">
        <v>49.90112140000001</v>
      </c>
      <c r="C10" s="44">
        <v>53.663314760000006</v>
      </c>
      <c r="D10" s="44">
        <v>29.362716579999997</v>
      </c>
      <c r="E10" s="45">
        <v>38.26450061999999</v>
      </c>
      <c r="F10" s="44">
        <v>64.59993850999999</v>
      </c>
      <c r="G10" s="44">
        <v>44.555502849999996</v>
      </c>
      <c r="H10" s="44">
        <v>47.22640444999999</v>
      </c>
      <c r="I10" s="44">
        <v>40.539148800000014</v>
      </c>
    </row>
    <row r="11" spans="1:9" ht="14.25">
      <c r="A11" s="88" t="str">
        <f>HLOOKUP(INDICE!$F$2,Nombres!$C$3:$D$636,36,FALSE)</f>
        <v>Other operating income and expenses</v>
      </c>
      <c r="B11" s="44">
        <v>12.05052473</v>
      </c>
      <c r="C11" s="44">
        <v>10.087501880000001</v>
      </c>
      <c r="D11" s="44">
        <v>11.783548949999997</v>
      </c>
      <c r="E11" s="45">
        <v>11.14637806</v>
      </c>
      <c r="F11" s="44">
        <v>8.416999220000001</v>
      </c>
      <c r="G11" s="44">
        <v>7.957013449999996</v>
      </c>
      <c r="H11" s="44">
        <v>-2.540170099999999</v>
      </c>
      <c r="I11" s="44">
        <v>1.7754720799999992</v>
      </c>
    </row>
    <row r="12" spans="1:9" ht="14.25">
      <c r="A12" s="41" t="str">
        <f>HLOOKUP(INDICE!$F$2,Nombres!$C$3:$D$636,37,FALSE)</f>
        <v>Gross income</v>
      </c>
      <c r="B12" s="41">
        <f aca="true" t="shared" si="0" ref="B12:I12">+SUM(B8:B11)</f>
        <v>210.59789712000003</v>
      </c>
      <c r="C12" s="41">
        <f t="shared" si="0"/>
        <v>240.22215684999998</v>
      </c>
      <c r="D12" s="41">
        <f t="shared" si="0"/>
        <v>199.23486316000003</v>
      </c>
      <c r="E12" s="42">
        <f t="shared" si="0"/>
        <v>188.81949073</v>
      </c>
      <c r="F12" s="50">
        <f t="shared" si="0"/>
        <v>218.14448827</v>
      </c>
      <c r="G12" s="50">
        <f t="shared" si="0"/>
        <v>182.13151995999996</v>
      </c>
      <c r="H12" s="50">
        <f t="shared" si="0"/>
        <v>167.83254824999997</v>
      </c>
      <c r="I12" s="50">
        <f t="shared" si="0"/>
        <v>173.19519940000004</v>
      </c>
    </row>
    <row r="13" spans="1:9" ht="14.25">
      <c r="A13" s="88" t="str">
        <f>HLOOKUP(INDICE!$F$2,Nombres!$C$3:$D$636,38,FALSE)</f>
        <v>Operating expenses</v>
      </c>
      <c r="B13" s="44">
        <v>-124.66857150999999</v>
      </c>
      <c r="C13" s="44">
        <v>-105.52319539999999</v>
      </c>
      <c r="D13" s="44">
        <v>-110.92420679</v>
      </c>
      <c r="E13" s="45">
        <v>-125.45134300999999</v>
      </c>
      <c r="F13" s="44">
        <v>-114.83214407</v>
      </c>
      <c r="G13" s="44">
        <v>-111.97193662999999</v>
      </c>
      <c r="H13" s="44">
        <v>-98.38278474</v>
      </c>
      <c r="I13" s="44">
        <v>-125.39894583</v>
      </c>
    </row>
    <row r="14" spans="1:9" ht="14.25">
      <c r="A14" s="88" t="str">
        <f>HLOOKUP(INDICE!$F$2,Nombres!$C$3:$D$636,39,FALSE)</f>
        <v>  Administration expenses</v>
      </c>
      <c r="B14" s="44">
        <v>-119.36771676</v>
      </c>
      <c r="C14" s="44">
        <v>-100.28532064999999</v>
      </c>
      <c r="D14" s="44">
        <v>-105.96999604000001</v>
      </c>
      <c r="E14" s="45">
        <v>-120.6703809</v>
      </c>
      <c r="F14" s="44">
        <v>-110.03722214</v>
      </c>
      <c r="G14" s="44">
        <v>-107.06928356</v>
      </c>
      <c r="H14" s="44">
        <v>-92.57139794</v>
      </c>
      <c r="I14" s="44">
        <v>-120.69697963</v>
      </c>
    </row>
    <row r="15" spans="1:9" ht="14.25">
      <c r="A15" s="89" t="str">
        <f>HLOOKUP(INDICE!$F$2,Nombres!$C$3:$D$636,40,FALSE)</f>
        <v>  Personnel expenses</v>
      </c>
      <c r="B15" s="44">
        <v>-73.26202813999998</v>
      </c>
      <c r="C15" s="44">
        <v>-55.51775033</v>
      </c>
      <c r="D15" s="44">
        <v>-56.576993529999996</v>
      </c>
      <c r="E15" s="45">
        <v>-71.96828531</v>
      </c>
      <c r="F15" s="44">
        <v>-63.98054629</v>
      </c>
      <c r="G15" s="44">
        <v>-49.52917489</v>
      </c>
      <c r="H15" s="44">
        <v>-51.18094961999999</v>
      </c>
      <c r="I15" s="44">
        <v>-68.67259358999999</v>
      </c>
    </row>
    <row r="16" spans="1:9" ht="14.25">
      <c r="A16" s="89" t="str">
        <f>HLOOKUP(INDICE!$F$2,Nombres!$C$3:$D$636,41,FALSE)</f>
        <v>  General and administrative expenses</v>
      </c>
      <c r="B16" s="44">
        <v>-46.105688619999995</v>
      </c>
      <c r="C16" s="44">
        <v>-44.767570320000004</v>
      </c>
      <c r="D16" s="44">
        <v>-49.393002509999995</v>
      </c>
      <c r="E16" s="45">
        <v>-48.702095590000006</v>
      </c>
      <c r="F16" s="44">
        <v>-46.05667585</v>
      </c>
      <c r="G16" s="44">
        <v>-57.54010867</v>
      </c>
      <c r="H16" s="44">
        <v>-41.390448320000004</v>
      </c>
      <c r="I16" s="44">
        <v>-52.024386039999996</v>
      </c>
    </row>
    <row r="17" spans="1:9" ht="14.25">
      <c r="A17" s="88" t="str">
        <f>HLOOKUP(INDICE!$F$2,Nombres!$C$3:$D$636,42,FALSE)</f>
        <v>  Depreciation</v>
      </c>
      <c r="B17" s="44">
        <v>-5.30085475</v>
      </c>
      <c r="C17" s="44">
        <v>-5.23787475</v>
      </c>
      <c r="D17" s="44">
        <v>-4.9542107500000006</v>
      </c>
      <c r="E17" s="45">
        <v>-4.78096211</v>
      </c>
      <c r="F17" s="44">
        <v>-4.794921930000001</v>
      </c>
      <c r="G17" s="44">
        <v>-4.90265307</v>
      </c>
      <c r="H17" s="44">
        <v>-5.8113868</v>
      </c>
      <c r="I17" s="44">
        <v>-4.701966199999999</v>
      </c>
    </row>
    <row r="18" spans="1:9" ht="14.25">
      <c r="A18" s="41" t="str">
        <f>HLOOKUP(INDICE!$F$2,Nombres!$C$3:$D$636,43,FALSE)</f>
        <v>Operating income</v>
      </c>
      <c r="B18" s="41">
        <f aca="true" t="shared" si="1" ref="B18:I18">+B12+B13</f>
        <v>85.92932561000003</v>
      </c>
      <c r="C18" s="41">
        <f t="shared" si="1"/>
        <v>134.69896144999998</v>
      </c>
      <c r="D18" s="41">
        <f t="shared" si="1"/>
        <v>88.31065637000003</v>
      </c>
      <c r="E18" s="42">
        <f t="shared" si="1"/>
        <v>63.368147720000024</v>
      </c>
      <c r="F18" s="50">
        <f t="shared" si="1"/>
        <v>103.31234420000001</v>
      </c>
      <c r="G18" s="50">
        <f t="shared" si="1"/>
        <v>70.15958332999998</v>
      </c>
      <c r="H18" s="50">
        <f t="shared" si="1"/>
        <v>69.44976350999997</v>
      </c>
      <c r="I18" s="50">
        <f t="shared" si="1"/>
        <v>47.79625357000003</v>
      </c>
    </row>
    <row r="19" spans="1:9" ht="14.25">
      <c r="A19" s="88" t="str">
        <f>HLOOKUP(INDICE!$F$2,Nombres!$C$3:$D$636,44,FALSE)</f>
        <v>Impaiment on financial assets not measured at fair value through profit or loss</v>
      </c>
      <c r="B19" s="44">
        <v>-9.131852000000004</v>
      </c>
      <c r="C19" s="44">
        <v>-65.189352</v>
      </c>
      <c r="D19" s="44">
        <v>-25.472357000000002</v>
      </c>
      <c r="E19" s="45">
        <v>15.160934450000006</v>
      </c>
      <c r="F19" s="44">
        <v>1.822051</v>
      </c>
      <c r="G19" s="44">
        <v>13.512144870000002</v>
      </c>
      <c r="H19" s="44">
        <v>4.267074569999999</v>
      </c>
      <c r="I19" s="44">
        <v>7.429531539999999</v>
      </c>
    </row>
    <row r="20" spans="1:9" ht="14.25">
      <c r="A20" s="88" t="str">
        <f>HLOOKUP(INDICE!$F$2,Nombres!$C$3:$D$636,45,FALSE)</f>
        <v>Provisions or reversal of provisions and other results</v>
      </c>
      <c r="B20" s="44">
        <v>11.101726999999999</v>
      </c>
      <c r="C20" s="44">
        <v>-17.054603</v>
      </c>
      <c r="D20" s="44">
        <v>-5.040946</v>
      </c>
      <c r="E20" s="45">
        <v>2.948495000000001</v>
      </c>
      <c r="F20" s="44">
        <v>-12.404064000000002</v>
      </c>
      <c r="G20" s="44">
        <v>7.942953</v>
      </c>
      <c r="H20" s="44">
        <v>0.7744620000000013</v>
      </c>
      <c r="I20" s="44">
        <v>-0.18102400000000146</v>
      </c>
    </row>
    <row r="21" spans="1:9" ht="14.25">
      <c r="A21" s="90" t="str">
        <f>HLOOKUP(INDICE!$F$2,Nombres!$C$3:$D$636,46,FALSE)</f>
        <v>Profit/(loss) before tax</v>
      </c>
      <c r="B21" s="41">
        <f aca="true" t="shared" si="2" ref="B21:I21">+B18+B19+B20</f>
        <v>87.89920061000002</v>
      </c>
      <c r="C21" s="41">
        <f t="shared" si="2"/>
        <v>52.455006449999985</v>
      </c>
      <c r="D21" s="41">
        <f t="shared" si="2"/>
        <v>57.79735337000003</v>
      </c>
      <c r="E21" s="42">
        <f t="shared" si="2"/>
        <v>81.47757717000005</v>
      </c>
      <c r="F21" s="50">
        <f t="shared" si="2"/>
        <v>92.73033120000001</v>
      </c>
      <c r="G21" s="50">
        <f t="shared" si="2"/>
        <v>91.61468119999998</v>
      </c>
      <c r="H21" s="50">
        <f t="shared" si="2"/>
        <v>74.49130007999997</v>
      </c>
      <c r="I21" s="50">
        <f t="shared" si="2"/>
        <v>55.04476111000003</v>
      </c>
    </row>
    <row r="22" spans="1:9" ht="14.25">
      <c r="A22" s="43" t="str">
        <f>HLOOKUP(INDICE!$F$2,Nombres!$C$3:$D$636,47,FALSE)</f>
        <v>Income tax</v>
      </c>
      <c r="B22" s="44">
        <v>-19.84192226</v>
      </c>
      <c r="C22" s="44">
        <v>-11.469910320000002</v>
      </c>
      <c r="D22" s="44">
        <v>-10.14419638</v>
      </c>
      <c r="E22" s="45">
        <v>-16.0063562</v>
      </c>
      <c r="F22" s="44">
        <v>-17.32033964</v>
      </c>
      <c r="G22" s="44">
        <v>-22.07384703</v>
      </c>
      <c r="H22" s="44">
        <v>-14.82093823</v>
      </c>
      <c r="I22" s="44">
        <v>-5.995051220000002</v>
      </c>
    </row>
    <row r="23" spans="1:9" ht="14.25">
      <c r="A23" s="90" t="str">
        <f>HLOOKUP(INDICE!$F$2,Nombres!$C$3:$D$636,48,FALSE)</f>
        <v>Profit/(loss) for the year</v>
      </c>
      <c r="B23" s="41">
        <f aca="true" t="shared" si="3" ref="B23:I23">+B21+B22</f>
        <v>68.05727835000002</v>
      </c>
      <c r="C23" s="41">
        <f t="shared" si="3"/>
        <v>40.98509612999998</v>
      </c>
      <c r="D23" s="41">
        <f t="shared" si="3"/>
        <v>47.65315699000003</v>
      </c>
      <c r="E23" s="42">
        <f t="shared" si="3"/>
        <v>65.47122097000005</v>
      </c>
      <c r="F23" s="50">
        <f t="shared" si="3"/>
        <v>75.40999156000001</v>
      </c>
      <c r="G23" s="50">
        <f t="shared" si="3"/>
        <v>69.54083416999998</v>
      </c>
      <c r="H23" s="50">
        <f t="shared" si="3"/>
        <v>59.67036184999998</v>
      </c>
      <c r="I23" s="50">
        <f t="shared" si="3"/>
        <v>49.04970989000003</v>
      </c>
    </row>
    <row r="24" spans="1:9" ht="14.25">
      <c r="A24" s="88" t="str">
        <f>HLOOKUP(INDICE!$F$2,Nombres!$C$3:$D$636,49,FALSE)</f>
        <v>Non-controlling interests</v>
      </c>
      <c r="B24" s="44">
        <v>0</v>
      </c>
      <c r="C24" s="44">
        <v>0</v>
      </c>
      <c r="D24" s="44">
        <v>0</v>
      </c>
      <c r="E24" s="45">
        <v>0</v>
      </c>
      <c r="F24" s="44">
        <v>0</v>
      </c>
      <c r="G24" s="44">
        <v>0</v>
      </c>
      <c r="H24" s="44">
        <v>0</v>
      </c>
      <c r="I24" s="44">
        <v>0</v>
      </c>
    </row>
    <row r="25" spans="1:9" ht="14.25">
      <c r="A25" s="91" t="str">
        <f>HLOOKUP(INDICE!$F$2,Nombres!$C$3:$D$636,50,FALSE)</f>
        <v>Net attributable profit</v>
      </c>
      <c r="B25" s="47">
        <f aca="true" t="shared" si="4" ref="B25:I25">+B23+B24</f>
        <v>68.05727835000002</v>
      </c>
      <c r="C25" s="47">
        <f t="shared" si="4"/>
        <v>40.98509612999998</v>
      </c>
      <c r="D25" s="47">
        <f t="shared" si="4"/>
        <v>47.65315699000003</v>
      </c>
      <c r="E25" s="47">
        <f t="shared" si="4"/>
        <v>65.47122097000005</v>
      </c>
      <c r="F25" s="51">
        <f t="shared" si="4"/>
        <v>75.40999156000001</v>
      </c>
      <c r="G25" s="51">
        <f t="shared" si="4"/>
        <v>69.54083416999998</v>
      </c>
      <c r="H25" s="51">
        <f t="shared" si="4"/>
        <v>59.67036184999998</v>
      </c>
      <c r="I25" s="51">
        <f t="shared" si="4"/>
        <v>49.04970989000003</v>
      </c>
    </row>
    <row r="26" spans="1:9" ht="23.25" customHeight="1">
      <c r="A26" s="92"/>
      <c r="B26" s="63">
        <v>0</v>
      </c>
      <c r="C26" s="63">
        <v>0</v>
      </c>
      <c r="D26" s="63">
        <v>0</v>
      </c>
      <c r="E26" s="63">
        <v>0</v>
      </c>
      <c r="F26" s="63">
        <v>0</v>
      </c>
      <c r="G26" s="63">
        <v>0</v>
      </c>
      <c r="H26" s="63">
        <v>0</v>
      </c>
      <c r="I26" s="63">
        <v>0</v>
      </c>
    </row>
    <row r="27" spans="1:9" ht="14.25">
      <c r="A27" s="41"/>
      <c r="B27" s="41"/>
      <c r="C27" s="41"/>
      <c r="D27" s="41"/>
      <c r="E27" s="41"/>
      <c r="F27" s="41"/>
      <c r="G27" s="41"/>
      <c r="H27" s="41"/>
      <c r="I27" s="41"/>
    </row>
    <row r="28" spans="1:9" ht="16.5">
      <c r="A28" s="93" t="str">
        <f>HLOOKUP(INDICE!$F$2,Nombres!$C$3:$D$636,51,FALSE)</f>
        <v>Balance sheets</v>
      </c>
      <c r="B28" s="34"/>
      <c r="C28" s="34"/>
      <c r="D28" s="34"/>
      <c r="E28" s="34"/>
      <c r="F28" s="34"/>
      <c r="G28" s="34"/>
      <c r="H28" s="34"/>
      <c r="I28" s="34"/>
    </row>
    <row r="29" spans="1:9" ht="14.25">
      <c r="A29" s="84" t="str">
        <f>HLOOKUP(INDICE!$F$2,Nombres!$C$3:$D$636,32,FALSE)</f>
        <v>(Million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4.25">
      <c r="A31" s="88" t="str">
        <f>HLOOKUP(INDICE!$F$2,Nombres!$C$3:$D$636,52,FALSE)</f>
        <v>Cash, cash balances at central banks and other demand deposits</v>
      </c>
      <c r="B31" s="44">
        <v>6202.221257000002</v>
      </c>
      <c r="C31" s="44">
        <v>3308.841176</v>
      </c>
      <c r="D31" s="44">
        <v>5058.705266</v>
      </c>
      <c r="E31" s="45">
        <v>6121.427863000002</v>
      </c>
      <c r="F31" s="44">
        <v>5508.754659000004</v>
      </c>
      <c r="G31" s="44">
        <v>4012.9091270000004</v>
      </c>
      <c r="H31" s="44">
        <v>4453.81229</v>
      </c>
      <c r="I31" s="44">
        <v>3970.3979819900005</v>
      </c>
    </row>
    <row r="32" spans="1:9" ht="14.25">
      <c r="A32" s="88" t="str">
        <f>HLOOKUP(INDICE!$F$2,Nombres!$C$3:$D$636,53,FALSE)</f>
        <v>Financial assets designated at fair value </v>
      </c>
      <c r="B32" s="58">
        <v>951.69119339</v>
      </c>
      <c r="C32" s="58">
        <v>887.94594839</v>
      </c>
      <c r="D32" s="58">
        <v>823.4329333899999</v>
      </c>
      <c r="E32" s="65">
        <v>1469.63681939</v>
      </c>
      <c r="F32" s="44">
        <v>2144.63786839</v>
      </c>
      <c r="G32" s="44">
        <v>2427.8114603900003</v>
      </c>
      <c r="H32" s="44">
        <v>2544.1569943800005</v>
      </c>
      <c r="I32" s="44">
        <v>5683.94429839</v>
      </c>
    </row>
    <row r="33" spans="1:9" ht="14.25">
      <c r="A33" s="43" t="str">
        <f>HLOOKUP(INDICE!$F$2,Nombres!$C$3:$D$636,54,FALSE)</f>
        <v>Financial assets at amortized cost</v>
      </c>
      <c r="B33" s="44">
        <v>34212.100122</v>
      </c>
      <c r="C33" s="44">
        <v>34230.28191799999</v>
      </c>
      <c r="D33" s="44">
        <v>30259.825950000002</v>
      </c>
      <c r="E33" s="45">
        <v>27213.156282</v>
      </c>
      <c r="F33" s="44">
        <v>27950.021301</v>
      </c>
      <c r="G33" s="44">
        <v>27436.391720000003</v>
      </c>
      <c r="H33" s="44">
        <v>28506.76462863</v>
      </c>
      <c r="I33" s="44">
        <v>30298.708554</v>
      </c>
    </row>
    <row r="34" spans="1:9" ht="14.25">
      <c r="A34" s="88" t="str">
        <f>HLOOKUP(INDICE!$F$2,Nombres!$C$3:$D$636,55,FALSE)</f>
        <v>    of which loans and advances to customers</v>
      </c>
      <c r="B34" s="44">
        <v>30816.043758</v>
      </c>
      <c r="C34" s="44">
        <v>30796.11473</v>
      </c>
      <c r="D34" s="44">
        <v>27076.811182999998</v>
      </c>
      <c r="E34" s="45">
        <v>24015.194186</v>
      </c>
      <c r="F34" s="44">
        <v>24449.966155000006</v>
      </c>
      <c r="G34" s="44">
        <v>24240.523395</v>
      </c>
      <c r="H34" s="44">
        <v>24994.78154463</v>
      </c>
      <c r="I34" s="44">
        <v>26949.17448</v>
      </c>
    </row>
    <row r="35" spans="1:9" ht="14.25">
      <c r="A35" s="88" t="str">
        <f>HLOOKUP(INDICE!$F$2,Nombres!$C$3:$D$636,121,FALSE)</f>
        <v>Inter-area positions</v>
      </c>
      <c r="B35" s="44">
        <v>0</v>
      </c>
      <c r="C35" s="44">
        <v>0</v>
      </c>
      <c r="D35" s="44">
        <v>0</v>
      </c>
      <c r="E35" s="45">
        <v>0</v>
      </c>
      <c r="F35" s="44">
        <v>0</v>
      </c>
      <c r="G35" s="44">
        <v>0</v>
      </c>
      <c r="H35" s="44">
        <v>0</v>
      </c>
      <c r="I35" s="44">
        <v>0</v>
      </c>
    </row>
    <row r="36" spans="1:9" ht="14.25">
      <c r="A36" s="43" t="str">
        <f>HLOOKUP(INDICE!$F$2,Nombres!$C$3:$D$636,56,FALSE)</f>
        <v>Tangible assets</v>
      </c>
      <c r="B36" s="44">
        <v>82.257151</v>
      </c>
      <c r="C36" s="44">
        <v>81.524617</v>
      </c>
      <c r="D36" s="44">
        <v>77.21567200000001</v>
      </c>
      <c r="E36" s="45">
        <v>75.050525</v>
      </c>
      <c r="F36" s="44">
        <v>72.698882</v>
      </c>
      <c r="G36" s="44">
        <v>68.3416</v>
      </c>
      <c r="H36" s="44">
        <v>64.94780399</v>
      </c>
      <c r="I36" s="44">
        <v>69.841946</v>
      </c>
    </row>
    <row r="37" spans="1:9" ht="14.25">
      <c r="A37" s="88" t="str">
        <f>HLOOKUP(INDICE!$F$2,Nombres!$C$3:$D$636,57,FALSE)</f>
        <v>Other assets</v>
      </c>
      <c r="B37" s="58">
        <f>+B38-B36-B33-B32-B31-B35</f>
        <v>720.100978999988</v>
      </c>
      <c r="C37" s="58">
        <f aca="true" t="shared" si="5" ref="C37:I37">+C38-C36-C33-C32-C31</f>
        <v>524.3265359999941</v>
      </c>
      <c r="D37" s="58">
        <f t="shared" si="5"/>
        <v>421.3027209999964</v>
      </c>
      <c r="E37" s="65">
        <f t="shared" si="5"/>
        <v>293.0149710000087</v>
      </c>
      <c r="F37" s="44">
        <f t="shared" si="5"/>
        <v>338.7671179999943</v>
      </c>
      <c r="G37" s="44">
        <f t="shared" si="5"/>
        <v>418.8808445899899</v>
      </c>
      <c r="H37" s="44">
        <f t="shared" si="5"/>
        <v>363.43964401000267</v>
      </c>
      <c r="I37" s="44">
        <f t="shared" si="5"/>
        <v>291.24428700001044</v>
      </c>
    </row>
    <row r="38" spans="1:9" ht="14.25">
      <c r="A38" s="91" t="str">
        <f>HLOOKUP(INDICE!$F$2,Nombres!$C$3:$D$636,58,FALSE)</f>
        <v>Total assets / Liabilities and equity</v>
      </c>
      <c r="B38" s="47">
        <v>42168.37070238999</v>
      </c>
      <c r="C38" s="47">
        <v>39032.92019538999</v>
      </c>
      <c r="D38" s="47">
        <v>36640.48254239</v>
      </c>
      <c r="E38" s="71">
        <v>35172.28646039001</v>
      </c>
      <c r="F38" s="47">
        <v>36014.879828389996</v>
      </c>
      <c r="G38" s="47">
        <v>34364.33475197999</v>
      </c>
      <c r="H38" s="47">
        <v>35933.12136101</v>
      </c>
      <c r="I38" s="47">
        <v>40314.13706738001</v>
      </c>
    </row>
    <row r="39" spans="1:9" ht="14.25">
      <c r="A39" s="88" t="str">
        <f>HLOOKUP(INDICE!$F$2,Nombres!$C$3:$D$636,59,FALSE)</f>
        <v>Financial liabilities held for trading and designated at fair value through profit or loss</v>
      </c>
      <c r="B39" s="58">
        <v>438.96618900000004</v>
      </c>
      <c r="C39" s="58">
        <v>291.003285</v>
      </c>
      <c r="D39" s="58">
        <v>207.70747899999998</v>
      </c>
      <c r="E39" s="65">
        <v>848.6265159999999</v>
      </c>
      <c r="F39" s="44">
        <v>1508.9990369999998</v>
      </c>
      <c r="G39" s="44">
        <v>1803.7522860000001</v>
      </c>
      <c r="H39" s="44">
        <v>1904.733948</v>
      </c>
      <c r="I39" s="44">
        <v>5060.051628</v>
      </c>
    </row>
    <row r="40" spans="1:9" ht="14.25">
      <c r="A40" s="88" t="str">
        <f>HLOOKUP(INDICE!$F$2,Nombres!$C$3:$D$636,60,FALSE)</f>
        <v>Deposits from central banks and credit institutions</v>
      </c>
      <c r="B40" s="58">
        <v>1441.5881160000001</v>
      </c>
      <c r="C40" s="58">
        <v>1941.1155410000001</v>
      </c>
      <c r="D40" s="58">
        <v>1831.530121</v>
      </c>
      <c r="E40" s="65">
        <v>1700.008924</v>
      </c>
      <c r="F40" s="44">
        <v>1552.9310349999998</v>
      </c>
      <c r="G40" s="44">
        <v>1478.405105</v>
      </c>
      <c r="H40" s="44">
        <v>1797.902211</v>
      </c>
      <c r="I40" s="44">
        <v>1709.0559929999997</v>
      </c>
    </row>
    <row r="41" spans="1:9" ht="15.75" customHeight="1">
      <c r="A41" s="88" t="str">
        <f>HLOOKUP(INDICE!$F$2,Nombres!$C$3:$D$636,61,FALSE)</f>
        <v>Deposits from customers</v>
      </c>
      <c r="B41" s="58">
        <v>9352.503787</v>
      </c>
      <c r="C41" s="58">
        <v>9382.881924</v>
      </c>
      <c r="D41" s="58">
        <v>9209.631687000001</v>
      </c>
      <c r="E41" s="65">
        <v>9333.238973</v>
      </c>
      <c r="F41" s="44">
        <v>6764.373215</v>
      </c>
      <c r="G41" s="44">
        <v>6873.259162</v>
      </c>
      <c r="H41" s="44">
        <v>7341.137872</v>
      </c>
      <c r="I41" s="44">
        <v>6265.9013319900005</v>
      </c>
    </row>
    <row r="42" spans="1:9" ht="14.25">
      <c r="A42" s="43" t="str">
        <f>HLOOKUP(INDICE!$F$2,Nombres!$C$3:$D$636,62,FALSE)</f>
        <v>Debt certificates</v>
      </c>
      <c r="B42" s="44">
        <v>1669.47207076</v>
      </c>
      <c r="C42" s="44">
        <v>1318.05595697</v>
      </c>
      <c r="D42" s="44">
        <v>1280.45049843</v>
      </c>
      <c r="E42" s="45">
        <v>1511.15205589</v>
      </c>
      <c r="F42" s="44">
        <v>1127.3096247699998</v>
      </c>
      <c r="G42" s="44">
        <v>1325.2338552200001</v>
      </c>
      <c r="H42" s="44">
        <v>1248.51230337</v>
      </c>
      <c r="I42" s="44">
        <v>1165.86672672</v>
      </c>
    </row>
    <row r="43" spans="1:9" ht="14.25">
      <c r="A43" s="88" t="str">
        <f>HLOOKUP(INDICE!$F$2,Nombres!$C$3:$D$636,122,FALSE)</f>
        <v>Inter-area positions</v>
      </c>
      <c r="B43" s="44">
        <v>25529.535976959996</v>
      </c>
      <c r="C43" s="44">
        <v>21817.558847259992</v>
      </c>
      <c r="D43" s="44">
        <v>20358.716725079994</v>
      </c>
      <c r="E43" s="45">
        <v>18131.87499315001</v>
      </c>
      <c r="F43" s="44">
        <v>21499.376987039996</v>
      </c>
      <c r="G43" s="44">
        <v>18589.777296579996</v>
      </c>
      <c r="H43" s="44">
        <v>19534.79114113</v>
      </c>
      <c r="I43" s="44">
        <v>22103.396942750016</v>
      </c>
    </row>
    <row r="44" spans="1:9" ht="14.25">
      <c r="A44" s="43" t="str">
        <f>HLOOKUP(INDICE!$F$2,Nombres!$C$3:$D$636,63,FALSE)</f>
        <v>Other liabilities</v>
      </c>
      <c r="B44" s="58">
        <f aca="true" t="shared" si="6" ref="B44:I44">+B38-B39-B40-B41-B42-B45-B43</f>
        <v>592.9758993799951</v>
      </c>
      <c r="C44" s="58">
        <f t="shared" si="6"/>
        <v>854.8760110700023</v>
      </c>
      <c r="D44" s="58">
        <f t="shared" si="6"/>
        <v>608.059849109999</v>
      </c>
      <c r="E44" s="65">
        <f t="shared" si="6"/>
        <v>608.231388250002</v>
      </c>
      <c r="F44" s="58">
        <f t="shared" si="6"/>
        <v>563.060551159997</v>
      </c>
      <c r="G44" s="58">
        <f t="shared" si="6"/>
        <v>844.9276182499925</v>
      </c>
      <c r="H44" s="58">
        <f t="shared" si="6"/>
        <v>798.9451224299992</v>
      </c>
      <c r="I44" s="58">
        <f t="shared" si="6"/>
        <v>722.6351859599927</v>
      </c>
    </row>
    <row r="45" spans="1:9" ht="14.25">
      <c r="A45" s="43" t="str">
        <f>HLOOKUP(INDICE!$F$2,Nombres!$C$3:$D$636,282,FALSE)</f>
        <v>Regulatory capital allocated</v>
      </c>
      <c r="B45" s="58">
        <v>3143.3286632900003</v>
      </c>
      <c r="C45" s="58">
        <v>3427.42863009</v>
      </c>
      <c r="D45" s="58">
        <v>3144.3861827700002</v>
      </c>
      <c r="E45" s="65">
        <v>3039.1536100999997</v>
      </c>
      <c r="F45" s="58">
        <v>2998.8293784199996</v>
      </c>
      <c r="G45" s="58">
        <v>3448.97942893</v>
      </c>
      <c r="H45" s="58">
        <v>3307.0987630799996</v>
      </c>
      <c r="I45" s="58">
        <v>3287.2292589599997</v>
      </c>
    </row>
    <row r="46" spans="1:9" ht="14.25">
      <c r="A46" s="62"/>
      <c r="B46" s="58"/>
      <c r="C46" s="58"/>
      <c r="D46" s="58"/>
      <c r="E46" s="58"/>
      <c r="F46" s="44"/>
      <c r="G46" s="44"/>
      <c r="H46" s="44"/>
      <c r="I46" s="44"/>
    </row>
    <row r="47" spans="1:9" ht="14.25">
      <c r="A47" s="43"/>
      <c r="B47" s="58"/>
      <c r="C47" s="58"/>
      <c r="D47" s="58"/>
      <c r="E47" s="58"/>
      <c r="F47" s="44"/>
      <c r="G47" s="44"/>
      <c r="H47" s="44"/>
      <c r="I47" s="44"/>
    </row>
    <row r="48" spans="1:9" ht="16.5">
      <c r="A48" s="93" t="str">
        <f>HLOOKUP(INDICE!$F$2,Nombres!$C$3:$D$636,65,FALSE)</f>
        <v>Relevant business indicators</v>
      </c>
      <c r="B48" s="34"/>
      <c r="C48" s="34"/>
      <c r="D48" s="34"/>
      <c r="E48" s="34"/>
      <c r="F48" s="69"/>
      <c r="G48" s="69"/>
      <c r="H48" s="69"/>
      <c r="I48" s="69"/>
    </row>
    <row r="49" spans="1:9" ht="14.25">
      <c r="A49" s="84" t="str">
        <f>HLOOKUP(INDICE!$F$2,Nombres!$C$3:$D$636,32,FALSE)</f>
        <v>(Million euros)</v>
      </c>
      <c r="B49" s="30"/>
      <c r="C49" s="30"/>
      <c r="D49" s="30"/>
      <c r="E49" s="30"/>
      <c r="F49" s="70"/>
      <c r="G49" s="44"/>
      <c r="H49" s="44"/>
      <c r="I49" s="44"/>
    </row>
    <row r="50" spans="1:9" ht="14.2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row>
    <row r="51" spans="1:9" ht="14.25">
      <c r="A51" s="88" t="str">
        <f>HLOOKUP(INDICE!$F$2,Nombres!$C$3:$D$636,66,FALSE)</f>
        <v>Loans and advances to customers (gross) (*)</v>
      </c>
      <c r="B51" s="44">
        <v>31159.538962</v>
      </c>
      <c r="C51" s="44">
        <v>31147.58698</v>
      </c>
      <c r="D51" s="44">
        <v>27447.170533</v>
      </c>
      <c r="E51" s="45">
        <v>24348.612419</v>
      </c>
      <c r="F51" s="44">
        <v>24763.71064</v>
      </c>
      <c r="G51" s="44">
        <v>24537.328534999997</v>
      </c>
      <c r="H51" s="44">
        <v>25286.08017663</v>
      </c>
      <c r="I51" s="44">
        <v>27234.031751</v>
      </c>
    </row>
    <row r="52" spans="1:9" ht="14.25">
      <c r="A52" s="88" t="str">
        <f>HLOOKUP(INDICE!$F$2,Nombres!$C$3:$D$636,67,FALSE)</f>
        <v>Customer deposits under management (*)</v>
      </c>
      <c r="B52" s="44">
        <v>9352.503787000001</v>
      </c>
      <c r="C52" s="44">
        <v>9382.881924000001</v>
      </c>
      <c r="D52" s="44">
        <v>9209.631687000001</v>
      </c>
      <c r="E52" s="45">
        <v>9333.238973</v>
      </c>
      <c r="F52" s="44">
        <v>6764.373215</v>
      </c>
      <c r="G52" s="44">
        <v>6873.259162</v>
      </c>
      <c r="H52" s="44">
        <v>7341.137872</v>
      </c>
      <c r="I52" s="44">
        <v>6265.9013319900005</v>
      </c>
    </row>
    <row r="53" spans="1:9" ht="14.25">
      <c r="A53" s="43" t="str">
        <f>HLOOKUP(INDICE!$F$2,Nombres!$C$3:$D$636,68,FALSE)</f>
        <v>Mutual funds</v>
      </c>
      <c r="B53" s="44">
        <v>0</v>
      </c>
      <c r="C53" s="44">
        <v>0</v>
      </c>
      <c r="D53" s="44">
        <v>0</v>
      </c>
      <c r="E53" s="45">
        <v>0</v>
      </c>
      <c r="F53" s="44">
        <v>0</v>
      </c>
      <c r="G53" s="44">
        <v>0</v>
      </c>
      <c r="H53" s="44">
        <v>0</v>
      </c>
      <c r="I53" s="44">
        <v>0</v>
      </c>
    </row>
    <row r="54" spans="1:9" ht="14.25">
      <c r="A54" s="88" t="str">
        <f>HLOOKUP(INDICE!$F$2,Nombres!$C$3:$D$636,69,FALSE)</f>
        <v>Pension funds</v>
      </c>
      <c r="B54" s="44">
        <v>494.78505432</v>
      </c>
      <c r="C54" s="44">
        <v>517.96026945</v>
      </c>
      <c r="D54" s="44">
        <v>529.31975174</v>
      </c>
      <c r="E54" s="45">
        <v>569.33256496</v>
      </c>
      <c r="F54" s="44">
        <v>529.59826012</v>
      </c>
      <c r="G54" s="44">
        <v>549.65363599</v>
      </c>
      <c r="H54" s="44">
        <v>566.58063193</v>
      </c>
      <c r="I54" s="44">
        <v>597.24904247</v>
      </c>
    </row>
    <row r="55" spans="1:9" ht="14.25">
      <c r="A55" s="88" t="str">
        <f>HLOOKUP(INDICE!$F$2,Nombres!$C$3:$D$636,70,FALSE)</f>
        <v>Other off balance-sheet funds</v>
      </c>
      <c r="B55" s="44">
        <v>0</v>
      </c>
      <c r="C55" s="44">
        <v>0</v>
      </c>
      <c r="D55" s="44">
        <v>0</v>
      </c>
      <c r="E55" s="45">
        <v>0</v>
      </c>
      <c r="F55" s="44">
        <v>0</v>
      </c>
      <c r="G55" s="44">
        <v>0</v>
      </c>
      <c r="H55" s="44">
        <v>0</v>
      </c>
      <c r="I55" s="44">
        <v>0</v>
      </c>
    </row>
    <row r="56" spans="1:9" ht="14.25">
      <c r="A56" s="92" t="str">
        <f>HLOOKUP(INDICE!$F$2,Nombres!$C$3:$D$636,71,FALSE)</f>
        <v>(*) Excluding repos. </v>
      </c>
      <c r="B56" s="58"/>
      <c r="C56" s="58"/>
      <c r="D56" s="58"/>
      <c r="E56" s="58"/>
      <c r="F56" s="44"/>
      <c r="G56" s="44"/>
      <c r="H56" s="44"/>
      <c r="I56" s="44"/>
    </row>
    <row r="57" spans="1:9" ht="14.25">
      <c r="A57" s="92">
        <f>HLOOKUP(INDICE!$F$2,Nombres!$C$3:$D$636,72,FALSE)</f>
        <v>0</v>
      </c>
      <c r="B57" s="30"/>
      <c r="C57" s="30"/>
      <c r="D57" s="30"/>
      <c r="E57" s="30"/>
      <c r="F57" s="70"/>
      <c r="G57" s="70"/>
      <c r="H57" s="70"/>
      <c r="I57" s="70"/>
    </row>
    <row r="58" spans="1:9" ht="14.25">
      <c r="A58" s="62"/>
      <c r="B58" s="30"/>
      <c r="C58" s="30"/>
      <c r="D58" s="30"/>
      <c r="E58" s="30"/>
      <c r="F58" s="70"/>
      <c r="G58" s="70"/>
      <c r="H58" s="70"/>
      <c r="I58" s="70"/>
    </row>
    <row r="59" spans="1:9" ht="16.5">
      <c r="A59" s="93" t="str">
        <f>HLOOKUP(INDICE!$F$2,Nombres!$C$3:$D$636,31,FALSE)</f>
        <v>Income statement  </v>
      </c>
      <c r="B59" s="34"/>
      <c r="C59" s="34"/>
      <c r="D59" s="34"/>
      <c r="E59" s="34"/>
      <c r="F59" s="69"/>
      <c r="G59" s="69"/>
      <c r="H59" s="69"/>
      <c r="I59" s="69"/>
    </row>
    <row r="60" spans="1:9" ht="14.25">
      <c r="A60" s="84" t="str">
        <f>HLOOKUP(INDICE!$F$2,Nombres!$C$3:$D$636,73,FALSE)</f>
        <v>(Constant million euros)    </v>
      </c>
      <c r="B60" s="30"/>
      <c r="C60" s="36"/>
      <c r="D60" s="36"/>
      <c r="E60" s="36"/>
      <c r="F60" s="70"/>
      <c r="G60" s="70"/>
      <c r="H60" s="70"/>
      <c r="I60" s="7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85" t="str">
        <f aca="true" t="shared" si="8" ref="B63:I63">+B$7</f>
        <v>1Q</v>
      </c>
      <c r="C63" s="85" t="str">
        <f t="shared" si="8"/>
        <v>2Q</v>
      </c>
      <c r="D63" s="85" t="str">
        <f t="shared" si="8"/>
        <v>3Q</v>
      </c>
      <c r="E63" s="86" t="str">
        <f t="shared" si="8"/>
        <v>4Q</v>
      </c>
      <c r="F63" s="85" t="str">
        <f t="shared" si="8"/>
        <v>1Q</v>
      </c>
      <c r="G63" s="85" t="str">
        <f t="shared" si="8"/>
        <v>2Q</v>
      </c>
      <c r="H63" s="85" t="str">
        <f t="shared" si="8"/>
        <v>3Q</v>
      </c>
      <c r="I63" s="85" t="str">
        <f t="shared" si="8"/>
        <v>4Q</v>
      </c>
    </row>
    <row r="64" spans="1:9" ht="14.25">
      <c r="A64" s="41" t="str">
        <f>HLOOKUP(INDICE!$F$2,Nombres!$C$3:$D$636,33,FALSE)</f>
        <v>Net interest income</v>
      </c>
      <c r="B64" s="41">
        <v>64.31380946538744</v>
      </c>
      <c r="C64" s="41">
        <v>80.05412757341381</v>
      </c>
      <c r="D64" s="41">
        <v>77.75051061132243</v>
      </c>
      <c r="E64" s="42">
        <v>75.09939083028591</v>
      </c>
      <c r="F64" s="50">
        <v>73.08436772629989</v>
      </c>
      <c r="G64" s="50">
        <v>68.31650341011601</v>
      </c>
      <c r="H64" s="50">
        <v>69.01559949068016</v>
      </c>
      <c r="I64" s="50">
        <v>70.64770014290394</v>
      </c>
    </row>
    <row r="65" spans="1:9" ht="14.25">
      <c r="A65" s="88" t="str">
        <f>HLOOKUP(INDICE!$F$2,Nombres!$C$3:$D$636,34,FALSE)</f>
        <v>Net fees and commissions</v>
      </c>
      <c r="B65" s="44">
        <v>80.91322925531746</v>
      </c>
      <c r="C65" s="44">
        <v>93.47482593742521</v>
      </c>
      <c r="D65" s="44">
        <v>83.77419149466749</v>
      </c>
      <c r="E65" s="45">
        <v>71.26045825983698</v>
      </c>
      <c r="F65" s="44">
        <v>73.56892984492532</v>
      </c>
      <c r="G65" s="44">
        <v>63.33155255769887</v>
      </c>
      <c r="H65" s="44">
        <v>53.04739993298756</v>
      </c>
      <c r="I65" s="44">
        <v>57.76139351438825</v>
      </c>
    </row>
    <row r="66" spans="1:9" ht="14.25">
      <c r="A66" s="88" t="str">
        <f>HLOOKUP(INDICE!$F$2,Nombres!$C$3:$D$636,35,FALSE)</f>
        <v>Net trading income</v>
      </c>
      <c r="B66" s="44">
        <v>49.36925245134411</v>
      </c>
      <c r="C66" s="44">
        <v>53.749250578362364</v>
      </c>
      <c r="D66" s="44">
        <v>30.52183528654585</v>
      </c>
      <c r="E66" s="45">
        <v>40.11072267303553</v>
      </c>
      <c r="F66" s="44">
        <v>64.97976984748904</v>
      </c>
      <c r="G66" s="44">
        <v>45.008731842904794</v>
      </c>
      <c r="H66" s="44">
        <v>47.012556612857566</v>
      </c>
      <c r="I66" s="44">
        <v>39.91993630674862</v>
      </c>
    </row>
    <row r="67" spans="1:9" ht="14.25">
      <c r="A67" s="88" t="str">
        <f>HLOOKUP(INDICE!$F$2,Nombres!$C$3:$D$636,36,FALSE)</f>
        <v>Other operating income and expenses</v>
      </c>
      <c r="B67" s="44">
        <v>11.467161552299924</v>
      </c>
      <c r="C67" s="44">
        <v>9.78516787849443</v>
      </c>
      <c r="D67" s="44">
        <v>11.999938101782394</v>
      </c>
      <c r="E67" s="45">
        <v>11.693473487897474</v>
      </c>
      <c r="F67" s="44">
        <v>8.614961745382534</v>
      </c>
      <c r="G67" s="44">
        <v>8.083736421033729</v>
      </c>
      <c r="H67" s="44">
        <v>-2.696199133331602</v>
      </c>
      <c r="I67" s="44">
        <v>1.6068156169153378</v>
      </c>
    </row>
    <row r="68" spans="1:9" ht="14.25">
      <c r="A68" s="41" t="str">
        <f>HLOOKUP(INDICE!$F$2,Nombres!$C$3:$D$636,37,FALSE)</f>
        <v>Gross income</v>
      </c>
      <c r="B68" s="41">
        <f aca="true" t="shared" si="9" ref="B68:I68">+SUM(B64:B67)</f>
        <v>206.06345272434893</v>
      </c>
      <c r="C68" s="41">
        <f t="shared" si="9"/>
        <v>237.06337196769582</v>
      </c>
      <c r="D68" s="41">
        <f t="shared" si="9"/>
        <v>204.04647549431814</v>
      </c>
      <c r="E68" s="42">
        <f t="shared" si="9"/>
        <v>198.1640452510559</v>
      </c>
      <c r="F68" s="50">
        <f t="shared" si="9"/>
        <v>220.24802916409678</v>
      </c>
      <c r="G68" s="50">
        <f t="shared" si="9"/>
        <v>184.7405242317534</v>
      </c>
      <c r="H68" s="50">
        <f t="shared" si="9"/>
        <v>166.3793569031937</v>
      </c>
      <c r="I68" s="50">
        <f t="shared" si="9"/>
        <v>169.93584558095614</v>
      </c>
    </row>
    <row r="69" spans="1:9" ht="14.25">
      <c r="A69" s="88" t="str">
        <f>HLOOKUP(INDICE!$F$2,Nombres!$C$3:$D$636,38,FALSE)</f>
        <v>Operating expenses</v>
      </c>
      <c r="B69" s="44">
        <v>-121.58671638803625</v>
      </c>
      <c r="C69" s="44">
        <v>-103.51950616121181</v>
      </c>
      <c r="D69" s="44">
        <v>-112.37185314352288</v>
      </c>
      <c r="E69" s="45">
        <v>-129.0303393073082</v>
      </c>
      <c r="F69" s="44">
        <v>-115.99068313786807</v>
      </c>
      <c r="G69" s="44">
        <v>-113.5277291813881</v>
      </c>
      <c r="H69" s="44">
        <v>-97.60963072293774</v>
      </c>
      <c r="I69" s="44">
        <v>-123.45776822780607</v>
      </c>
    </row>
    <row r="70" spans="1:9" ht="14.25">
      <c r="A70" s="88" t="str">
        <f>HLOOKUP(INDICE!$F$2,Nombres!$C$3:$D$636,39,FALSE)</f>
        <v>  Administration expenses</v>
      </c>
      <c r="B70" s="44">
        <v>-116.34045562937091</v>
      </c>
      <c r="C70" s="44">
        <v>-98.314602410902</v>
      </c>
      <c r="D70" s="44">
        <v>-107.35877920431263</v>
      </c>
      <c r="E70" s="45">
        <v>-124.13679551611065</v>
      </c>
      <c r="F70" s="44">
        <v>-111.16671426267004</v>
      </c>
      <c r="G70" s="44">
        <v>-108.57854834403378</v>
      </c>
      <c r="H70" s="44">
        <v>-91.80622580027976</v>
      </c>
      <c r="I70" s="44">
        <v>-118.8233948630164</v>
      </c>
    </row>
    <row r="71" spans="1:9" ht="14.25">
      <c r="A71" s="89" t="str">
        <f>HLOOKUP(INDICE!$F$2,Nombres!$C$3:$D$636,40,FALSE)</f>
        <v>  Personnel expenses</v>
      </c>
      <c r="B71" s="44">
        <v>-70.98133281539067</v>
      </c>
      <c r="C71" s="44">
        <v>-54.02516774618148</v>
      </c>
      <c r="D71" s="44">
        <v>-57.241027732569265</v>
      </c>
      <c r="E71" s="45">
        <v>-73.85449882230695</v>
      </c>
      <c r="F71" s="44">
        <v>-64.74316548988251</v>
      </c>
      <c r="G71" s="44">
        <v>-50.322075352274425</v>
      </c>
      <c r="H71" s="44">
        <v>-50.781694536780584</v>
      </c>
      <c r="I71" s="44">
        <v>-67.51632901106248</v>
      </c>
    </row>
    <row r="72" spans="1:9" ht="14.25">
      <c r="A72" s="89" t="str">
        <f>HLOOKUP(INDICE!$F$2,Nombres!$C$3:$D$636,41,FALSE)</f>
        <v>  General and administrative expenses</v>
      </c>
      <c r="B72" s="44">
        <v>-45.359122813980235</v>
      </c>
      <c r="C72" s="44">
        <v>-44.28943466472052</v>
      </c>
      <c r="D72" s="44">
        <v>-50.11775147174337</v>
      </c>
      <c r="E72" s="45">
        <v>-50.282296693803694</v>
      </c>
      <c r="F72" s="44">
        <v>-46.42354877278753</v>
      </c>
      <c r="G72" s="44">
        <v>-58.25647299175934</v>
      </c>
      <c r="H72" s="44">
        <v>-41.02453126349919</v>
      </c>
      <c r="I72" s="44">
        <v>-51.30706585195393</v>
      </c>
    </row>
    <row r="73" spans="1:9" ht="14.25">
      <c r="A73" s="88" t="str">
        <f>HLOOKUP(INDICE!$F$2,Nombres!$C$3:$D$636,42,FALSE)</f>
        <v>  Depreciation</v>
      </c>
      <c r="B73" s="44">
        <v>-5.246260758665335</v>
      </c>
      <c r="C73" s="44">
        <v>-5.204903750309805</v>
      </c>
      <c r="D73" s="44">
        <v>-5.013073939210257</v>
      </c>
      <c r="E73" s="45">
        <v>-4.893543791197549</v>
      </c>
      <c r="F73" s="44">
        <v>-4.823968875198032</v>
      </c>
      <c r="G73" s="44">
        <v>-4.949180837354339</v>
      </c>
      <c r="H73" s="44">
        <v>-5.803404922657961</v>
      </c>
      <c r="I73" s="44">
        <v>-4.634373364789669</v>
      </c>
    </row>
    <row r="74" spans="1:9" ht="14.25">
      <c r="A74" s="41" t="str">
        <f>HLOOKUP(INDICE!$F$2,Nombres!$C$3:$D$636,43,FALSE)</f>
        <v>Operating income</v>
      </c>
      <c r="B74" s="41">
        <f aca="true" t="shared" si="10" ref="B74:I74">+B68+B69</f>
        <v>84.47673633631268</v>
      </c>
      <c r="C74" s="41">
        <f t="shared" si="10"/>
        <v>133.543865806484</v>
      </c>
      <c r="D74" s="41">
        <f t="shared" si="10"/>
        <v>91.67462235079526</v>
      </c>
      <c r="E74" s="42">
        <f t="shared" si="10"/>
        <v>69.13370594374771</v>
      </c>
      <c r="F74" s="50">
        <f t="shared" si="10"/>
        <v>104.2573460262287</v>
      </c>
      <c r="G74" s="50">
        <f t="shared" si="10"/>
        <v>71.2127950503653</v>
      </c>
      <c r="H74" s="50">
        <f t="shared" si="10"/>
        <v>68.76972618025596</v>
      </c>
      <c r="I74" s="50">
        <f t="shared" si="10"/>
        <v>46.47807735315007</v>
      </c>
    </row>
    <row r="75" spans="1:9" ht="14.25">
      <c r="A75" s="88" t="str">
        <f>HLOOKUP(INDICE!$F$2,Nombres!$C$3:$D$636,44,FALSE)</f>
        <v>Impaiment on financial assets not measured at fair value through profit or loss</v>
      </c>
      <c r="B75" s="44">
        <v>-8.628742945105135</v>
      </c>
      <c r="C75" s="44">
        <v>-65.24024845856691</v>
      </c>
      <c r="D75" s="44">
        <v>-27.667225505286343</v>
      </c>
      <c r="E75" s="45">
        <v>13.003991661661948</v>
      </c>
      <c r="F75" s="44">
        <v>2.161486001178387</v>
      </c>
      <c r="G75" s="44">
        <v>14.0773659928021</v>
      </c>
      <c r="H75" s="44">
        <v>3.6428308757393424</v>
      </c>
      <c r="I75" s="44">
        <v>7.149119110280165</v>
      </c>
    </row>
    <row r="76" spans="1:9" ht="14.25">
      <c r="A76" s="88" t="str">
        <f>HLOOKUP(INDICE!$F$2,Nombres!$C$3:$D$636,45,FALSE)</f>
        <v>Provisions or reversal of provisions and other results</v>
      </c>
      <c r="B76" s="44">
        <v>10.724298317329533</v>
      </c>
      <c r="C76" s="44">
        <v>-16.69553100459744</v>
      </c>
      <c r="D76" s="44">
        <v>-5.121369264702324</v>
      </c>
      <c r="E76" s="45">
        <v>2.5766265083459956</v>
      </c>
      <c r="F76" s="44">
        <v>-12.60993411990101</v>
      </c>
      <c r="G76" s="44">
        <v>8.300872601977538</v>
      </c>
      <c r="H76" s="44">
        <v>0.5877389639757018</v>
      </c>
      <c r="I76" s="44">
        <v>-0.1463504460522323</v>
      </c>
    </row>
    <row r="77" spans="1:9" ht="14.25">
      <c r="A77" s="90" t="str">
        <f>HLOOKUP(INDICE!$F$2,Nombres!$C$3:$D$636,46,FALSE)</f>
        <v>Profit/(loss) before tax</v>
      </c>
      <c r="B77" s="41">
        <f aca="true" t="shared" si="11" ref="B77:I77">+B74+B75+B76</f>
        <v>86.57229170853708</v>
      </c>
      <c r="C77" s="41">
        <f t="shared" si="11"/>
        <v>51.608086343319655</v>
      </c>
      <c r="D77" s="41">
        <f t="shared" si="11"/>
        <v>58.8860275808066</v>
      </c>
      <c r="E77" s="42">
        <f t="shared" si="11"/>
        <v>84.71432411375565</v>
      </c>
      <c r="F77" s="50">
        <f t="shared" si="11"/>
        <v>93.80889790750608</v>
      </c>
      <c r="G77" s="50">
        <f t="shared" si="11"/>
        <v>93.59103364514493</v>
      </c>
      <c r="H77" s="50">
        <f t="shared" si="11"/>
        <v>73.000296019971</v>
      </c>
      <c r="I77" s="50">
        <f t="shared" si="11"/>
        <v>53.480846017378006</v>
      </c>
    </row>
    <row r="78" spans="1:9" ht="14.25">
      <c r="A78" s="43" t="str">
        <f>HLOOKUP(INDICE!$F$2,Nombres!$C$3:$D$636,47,FALSE)</f>
        <v>Income tax</v>
      </c>
      <c r="B78" s="44">
        <v>-19.565047511578584</v>
      </c>
      <c r="C78" s="44">
        <v>-11.306589706521898</v>
      </c>
      <c r="D78" s="44">
        <v>-10.4107048350414</v>
      </c>
      <c r="E78" s="45">
        <v>-16.42824535254435</v>
      </c>
      <c r="F78" s="44">
        <v>-17.542917543113614</v>
      </c>
      <c r="G78" s="44">
        <v>-22.455942346619295</v>
      </c>
      <c r="H78" s="44">
        <v>-14.51056959871184</v>
      </c>
      <c r="I78" s="44">
        <v>-5.700746631555251</v>
      </c>
    </row>
    <row r="79" spans="1:9" ht="14.25">
      <c r="A79" s="90" t="str">
        <f>HLOOKUP(INDICE!$F$2,Nombres!$C$3:$D$636,48,FALSE)</f>
        <v>Profit/(loss) for the year</v>
      </c>
      <c r="B79" s="41">
        <f aca="true" t="shared" si="12" ref="B79:I79">+B77+B78</f>
        <v>67.0072441969585</v>
      </c>
      <c r="C79" s="41">
        <f t="shared" si="12"/>
        <v>40.30149663679776</v>
      </c>
      <c r="D79" s="41">
        <f t="shared" si="12"/>
        <v>48.4753227457652</v>
      </c>
      <c r="E79" s="42">
        <f t="shared" si="12"/>
        <v>68.2860787612113</v>
      </c>
      <c r="F79" s="50">
        <f t="shared" si="12"/>
        <v>76.26598036439246</v>
      </c>
      <c r="G79" s="50">
        <f t="shared" si="12"/>
        <v>71.13509129852564</v>
      </c>
      <c r="H79" s="50">
        <f t="shared" si="12"/>
        <v>58.489726421259164</v>
      </c>
      <c r="I79" s="50">
        <f t="shared" si="12"/>
        <v>47.78009938582275</v>
      </c>
    </row>
    <row r="80" spans="1:9" ht="14.25">
      <c r="A80" s="88" t="str">
        <f>HLOOKUP(INDICE!$F$2,Nombres!$C$3:$D$636,49,FALSE)</f>
        <v>Non-controlling interests</v>
      </c>
      <c r="B80" s="44">
        <v>0</v>
      </c>
      <c r="C80" s="44">
        <v>0</v>
      </c>
      <c r="D80" s="44">
        <v>0</v>
      </c>
      <c r="E80" s="45">
        <v>0</v>
      </c>
      <c r="F80" s="44">
        <v>0</v>
      </c>
      <c r="G80" s="44">
        <v>0</v>
      </c>
      <c r="H80" s="44">
        <v>0</v>
      </c>
      <c r="I80" s="44">
        <v>0</v>
      </c>
    </row>
    <row r="81" spans="1:9" ht="14.25">
      <c r="A81" s="91" t="str">
        <f>HLOOKUP(INDICE!$F$2,Nombres!$C$3:$D$636,50,FALSE)</f>
        <v>Net attributable profit</v>
      </c>
      <c r="B81" s="47">
        <f aca="true" t="shared" si="13" ref="B81:I81">+B79+B80</f>
        <v>67.0072441969585</v>
      </c>
      <c r="C81" s="47">
        <f t="shared" si="13"/>
        <v>40.30149663679776</v>
      </c>
      <c r="D81" s="47">
        <f t="shared" si="13"/>
        <v>48.4753227457652</v>
      </c>
      <c r="E81" s="47">
        <f t="shared" si="13"/>
        <v>68.2860787612113</v>
      </c>
      <c r="F81" s="51">
        <f t="shared" si="13"/>
        <v>76.26598036439246</v>
      </c>
      <c r="G81" s="51">
        <f t="shared" si="13"/>
        <v>71.13509129852564</v>
      </c>
      <c r="H81" s="51">
        <f t="shared" si="13"/>
        <v>58.489726421259164</v>
      </c>
      <c r="I81" s="51">
        <f t="shared" si="13"/>
        <v>47.78009938582275</v>
      </c>
    </row>
    <row r="82" spans="1:9" ht="14.25">
      <c r="A82" s="92"/>
      <c r="B82" s="63">
        <v>0</v>
      </c>
      <c r="C82" s="63">
        <v>0</v>
      </c>
      <c r="D82" s="63">
        <v>0</v>
      </c>
      <c r="E82" s="63">
        <v>0</v>
      </c>
      <c r="F82" s="63">
        <v>0</v>
      </c>
      <c r="G82" s="63">
        <v>0</v>
      </c>
      <c r="H82" s="63">
        <v>0</v>
      </c>
      <c r="I82" s="63">
        <v>0</v>
      </c>
    </row>
    <row r="83" spans="1:9" ht="14.25">
      <c r="A83" s="41"/>
      <c r="B83" s="41"/>
      <c r="C83" s="41"/>
      <c r="D83" s="41"/>
      <c r="E83" s="41"/>
      <c r="F83" s="50"/>
      <c r="G83" s="50"/>
      <c r="H83" s="50"/>
      <c r="I83" s="50"/>
    </row>
    <row r="84" spans="1:9" ht="16.5">
      <c r="A84" s="93" t="str">
        <f>HLOOKUP(INDICE!$F$2,Nombres!$C$3:$D$636,51,FALSE)</f>
        <v>Balance sheets</v>
      </c>
      <c r="B84" s="34"/>
      <c r="C84" s="34"/>
      <c r="D84" s="34"/>
      <c r="E84" s="34"/>
      <c r="F84" s="69"/>
      <c r="G84" s="69"/>
      <c r="H84" s="69"/>
      <c r="I84" s="69"/>
    </row>
    <row r="85" spans="1:9" ht="14.25">
      <c r="A85" s="84" t="str">
        <f>HLOOKUP(INDICE!$F$2,Nombres!$C$3:$D$636,73,FALSE)</f>
        <v>(Constant million euros)    </v>
      </c>
      <c r="B85" s="30"/>
      <c r="C85" s="52"/>
      <c r="D85" s="52"/>
      <c r="E85" s="52"/>
      <c r="F85" s="70"/>
      <c r="G85" s="44"/>
      <c r="H85" s="44"/>
      <c r="I85" s="44"/>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88" t="str">
        <f>HLOOKUP(INDICE!$F$2,Nombres!$C$3:$D$636,52,FALSE)</f>
        <v>Cash, cash balances at central banks and other demand deposits</v>
      </c>
      <c r="B87" s="44">
        <v>6012.806355488738</v>
      </c>
      <c r="C87" s="44">
        <v>3280.6377930359754</v>
      </c>
      <c r="D87" s="44">
        <v>5227.3589908218855</v>
      </c>
      <c r="E87" s="45">
        <v>6614.655268712692</v>
      </c>
      <c r="F87" s="44">
        <v>5701.879162890322</v>
      </c>
      <c r="G87" s="44">
        <v>4203.501041314652</v>
      </c>
      <c r="H87" s="44">
        <v>4552.059177339879</v>
      </c>
      <c r="I87" s="44">
        <v>3970.3979819900005</v>
      </c>
    </row>
    <row r="88" spans="1:9" ht="14.25">
      <c r="A88" s="88" t="str">
        <f>HLOOKUP(INDICE!$F$2,Nombres!$C$3:$D$636,53,FALSE)</f>
        <v>Financial assets designated at fair value </v>
      </c>
      <c r="B88" s="58">
        <v>938.6437376032231</v>
      </c>
      <c r="C88" s="58">
        <v>885.2502971807559</v>
      </c>
      <c r="D88" s="58">
        <v>836.2542006101951</v>
      </c>
      <c r="E88" s="65">
        <v>1552.1950611486002</v>
      </c>
      <c r="F88" s="44">
        <v>2203.743872860527</v>
      </c>
      <c r="G88" s="44">
        <v>2524.2562742991668</v>
      </c>
      <c r="H88" s="44">
        <v>2591.2322135658296</v>
      </c>
      <c r="I88" s="44">
        <v>5683.94429839</v>
      </c>
    </row>
    <row r="89" spans="1:9" ht="14.25">
      <c r="A89" s="43" t="str">
        <f>HLOOKUP(INDICE!$F$2,Nombres!$C$3:$D$636,54,FALSE)</f>
        <v>Financial assets at amortized cost</v>
      </c>
      <c r="B89" s="44">
        <v>33950.703638845145</v>
      </c>
      <c r="C89" s="44">
        <v>34159.81104582674</v>
      </c>
      <c r="D89" s="44">
        <v>30514.580302007405</v>
      </c>
      <c r="E89" s="45">
        <v>27702.325808584064</v>
      </c>
      <c r="F89" s="44">
        <v>28185.908306488287</v>
      </c>
      <c r="G89" s="44">
        <v>27723.610666172895</v>
      </c>
      <c r="H89" s="44">
        <v>28654.83596656981</v>
      </c>
      <c r="I89" s="44">
        <v>30298.708554</v>
      </c>
    </row>
    <row r="90" spans="1:9" ht="14.25">
      <c r="A90" s="88" t="str">
        <f>HLOOKUP(INDICE!$F$2,Nombres!$C$3:$D$636,55,FALSE)</f>
        <v>    of which loans and advances to customers</v>
      </c>
      <c r="B90" s="44">
        <v>30546.090355971985</v>
      </c>
      <c r="C90" s="44">
        <v>30714.91485829027</v>
      </c>
      <c r="D90" s="44">
        <v>27303.518889941963</v>
      </c>
      <c r="E90" s="45">
        <v>24459.996109839347</v>
      </c>
      <c r="F90" s="44">
        <v>24643.160842029363</v>
      </c>
      <c r="G90" s="44">
        <v>24484.660134639642</v>
      </c>
      <c r="H90" s="44">
        <v>25107.760115720153</v>
      </c>
      <c r="I90" s="44">
        <v>26949.17448</v>
      </c>
    </row>
    <row r="91" spans="1:9" ht="14.25">
      <c r="A91" s="88" t="str">
        <f>HLOOKUP(INDICE!$F$2,Nombres!$C$3:$D$636,121,FALSE)</f>
        <v>Inter-area positions</v>
      </c>
      <c r="B91" s="44">
        <v>0</v>
      </c>
      <c r="C91" s="44">
        <v>0</v>
      </c>
      <c r="D91" s="44">
        <v>0</v>
      </c>
      <c r="E91" s="45">
        <v>0</v>
      </c>
      <c r="F91" s="44">
        <v>0</v>
      </c>
      <c r="G91" s="44">
        <v>0</v>
      </c>
      <c r="H91" s="44">
        <v>0</v>
      </c>
      <c r="I91" s="44">
        <v>0</v>
      </c>
    </row>
    <row r="92" spans="1:9" ht="14.25">
      <c r="A92" s="43" t="str">
        <f>HLOOKUP(INDICE!$F$2,Nombres!$C$3:$D$636,56,FALSE)</f>
        <v>Tangible assets</v>
      </c>
      <c r="B92" s="44">
        <v>81.94298324484505</v>
      </c>
      <c r="C92" s="44">
        <v>81.53668287673611</v>
      </c>
      <c r="D92" s="44">
        <v>77.80579060287133</v>
      </c>
      <c r="E92" s="45">
        <v>76.09162801575123</v>
      </c>
      <c r="F92" s="44">
        <v>73.30798419026968</v>
      </c>
      <c r="G92" s="44">
        <v>68.99670429208913</v>
      </c>
      <c r="H92" s="44">
        <v>65.28142299369077</v>
      </c>
      <c r="I92" s="44">
        <v>69.841946</v>
      </c>
    </row>
    <row r="93" spans="1:9" ht="14.25">
      <c r="A93" s="88" t="str">
        <f>HLOOKUP(INDICE!$F$2,Nombres!$C$3:$D$636,57,FALSE)</f>
        <v>Other assets</v>
      </c>
      <c r="B93" s="58">
        <f>+B94-B92-B89-B88-B87-B91</f>
        <v>705.4515017843441</v>
      </c>
      <c r="C93" s="58">
        <f aca="true" t="shared" si="15" ref="C93:I93">+C94-C92-C89-C88-C87</f>
        <v>521.507142433793</v>
      </c>
      <c r="D93" s="58">
        <f t="shared" si="15"/>
        <v>428.330691645383</v>
      </c>
      <c r="E93" s="65">
        <f t="shared" si="15"/>
        <v>301.2503009342836</v>
      </c>
      <c r="F93" s="44">
        <f t="shared" si="15"/>
        <v>344.3083783263628</v>
      </c>
      <c r="G93" s="44">
        <f t="shared" si="15"/>
        <v>427.4895399976831</v>
      </c>
      <c r="H93" s="44">
        <f t="shared" si="15"/>
        <v>367.70349558818725</v>
      </c>
      <c r="I93" s="44">
        <f t="shared" si="15"/>
        <v>291.24428700001044</v>
      </c>
    </row>
    <row r="94" spans="1:9" ht="14.25">
      <c r="A94" s="91" t="str">
        <f>HLOOKUP(INDICE!$F$2,Nombres!$C$3:$D$636,58,FALSE)</f>
        <v>Total assets / Liabilities and equity</v>
      </c>
      <c r="B94" s="47">
        <v>41689.548216966294</v>
      </c>
      <c r="C94" s="47">
        <v>38928.742961354</v>
      </c>
      <c r="D94" s="47">
        <v>37084.32997568774</v>
      </c>
      <c r="E94" s="71">
        <v>36246.518067395395</v>
      </c>
      <c r="F94" s="51">
        <v>36509.14770475577</v>
      </c>
      <c r="G94" s="51">
        <v>34947.85422607649</v>
      </c>
      <c r="H94" s="51">
        <v>36231.1122760574</v>
      </c>
      <c r="I94" s="51">
        <v>40314.13706738001</v>
      </c>
    </row>
    <row r="95" spans="1:9" ht="14.25">
      <c r="A95" s="88" t="str">
        <f>HLOOKUP(INDICE!$F$2,Nombres!$C$3:$D$636,59,FALSE)</f>
        <v>Financial liabilities held for trading and designated at fair value through profit or loss</v>
      </c>
      <c r="B95" s="58">
        <v>426.09730402415425</v>
      </c>
      <c r="C95" s="58">
        <v>288.26144307814036</v>
      </c>
      <c r="D95" s="58">
        <v>213.267526728748</v>
      </c>
      <c r="E95" s="65">
        <v>915.6356997340906</v>
      </c>
      <c r="F95" s="44">
        <v>1561.1078862560296</v>
      </c>
      <c r="G95" s="44">
        <v>1890.5084753696124</v>
      </c>
      <c r="H95" s="44">
        <v>1946.6038280293706</v>
      </c>
      <c r="I95" s="44">
        <v>5060.051628</v>
      </c>
    </row>
    <row r="96" spans="1:9" ht="14.25">
      <c r="A96" s="88" t="str">
        <f>HLOOKUP(INDICE!$F$2,Nombres!$C$3:$D$636,60,FALSE)</f>
        <v>Deposits from central banks and credit institutions</v>
      </c>
      <c r="B96" s="58">
        <v>1420.9797275449457</v>
      </c>
      <c r="C96" s="58">
        <v>1931.1452344968386</v>
      </c>
      <c r="D96" s="58">
        <v>1864.4779920062285</v>
      </c>
      <c r="E96" s="65">
        <v>1770.456051375951</v>
      </c>
      <c r="F96" s="44">
        <v>1585.4527595701688</v>
      </c>
      <c r="G96" s="44">
        <v>1518.6807547973744</v>
      </c>
      <c r="H96" s="44">
        <v>1822.305634876731</v>
      </c>
      <c r="I96" s="44">
        <v>1709.0559929999997</v>
      </c>
    </row>
    <row r="97" spans="1:9" ht="14.25">
      <c r="A97" s="88" t="str">
        <f>HLOOKUP(INDICE!$F$2,Nombres!$C$3:$D$636,61,FALSE)</f>
        <v>Deposits from customers</v>
      </c>
      <c r="B97" s="58">
        <v>9241.805972652572</v>
      </c>
      <c r="C97" s="58">
        <v>9357.858799547055</v>
      </c>
      <c r="D97" s="58">
        <v>9405.675003459031</v>
      </c>
      <c r="E97" s="65">
        <v>9771.499636534347</v>
      </c>
      <c r="F97" s="44">
        <v>6923.797929718143</v>
      </c>
      <c r="G97" s="44">
        <v>7043.850423445824</v>
      </c>
      <c r="H97" s="44">
        <v>7444.055419550035</v>
      </c>
      <c r="I97" s="44">
        <v>6265.9013319900005</v>
      </c>
    </row>
    <row r="98" spans="1:9" ht="14.25">
      <c r="A98" s="43" t="str">
        <f>HLOOKUP(INDICE!$F$2,Nombres!$C$3:$D$636,62,FALSE)</f>
        <v>Debt certificates</v>
      </c>
      <c r="B98" s="44">
        <v>1659.6261434076996</v>
      </c>
      <c r="C98" s="44">
        <v>1314.4847369079673</v>
      </c>
      <c r="D98" s="44">
        <v>1292.5394541212177</v>
      </c>
      <c r="E98" s="45">
        <v>1534.283016460644</v>
      </c>
      <c r="F98" s="44">
        <v>1137.245328801544</v>
      </c>
      <c r="G98" s="44">
        <v>1340.2409579888617</v>
      </c>
      <c r="H98" s="44">
        <v>1255.7209686829565</v>
      </c>
      <c r="I98" s="44">
        <v>1165.86672672</v>
      </c>
    </row>
    <row r="99" spans="1:9" ht="14.25">
      <c r="A99" s="88" t="str">
        <f>HLOOKUP(INDICE!$F$2,Nombres!$C$3:$D$636,122,FALSE)</f>
        <v>Inter-area positions</v>
      </c>
      <c r="B99" s="44">
        <v>25240.268569162185</v>
      </c>
      <c r="C99" s="44">
        <v>21770.02185977702</v>
      </c>
      <c r="D99" s="44">
        <v>20514.806133835315</v>
      </c>
      <c r="E99" s="45">
        <v>18515.481887570375</v>
      </c>
      <c r="F99" s="44">
        <v>21700.94329985131</v>
      </c>
      <c r="G99" s="44">
        <v>18801.514332925784</v>
      </c>
      <c r="H99" s="44">
        <v>19627.372666159645</v>
      </c>
      <c r="I99" s="44">
        <v>22103.396942750016</v>
      </c>
    </row>
    <row r="100" spans="1:9" ht="14.25">
      <c r="A100" s="43" t="str">
        <f>HLOOKUP(INDICE!$F$2,Nombres!$C$3:$D$636,63,FALSE)</f>
        <v>Other liabilities</v>
      </c>
      <c r="B100" s="58">
        <f aca="true" t="shared" si="16" ref="B100:I100">+B94-B95-B96-B97-B98-B101-B99</f>
        <v>587.8992374975824</v>
      </c>
      <c r="C100" s="58">
        <f t="shared" si="16"/>
        <v>850.7041105158569</v>
      </c>
      <c r="D100" s="58">
        <f t="shared" si="16"/>
        <v>616.2898592925121</v>
      </c>
      <c r="E100" s="65">
        <f t="shared" si="16"/>
        <v>625.5417365508329</v>
      </c>
      <c r="F100" s="58">
        <f t="shared" si="16"/>
        <v>570.5214465679637</v>
      </c>
      <c r="G100" s="58">
        <f t="shared" si="16"/>
        <v>863.1332871957493</v>
      </c>
      <c r="H100" s="58">
        <f t="shared" si="16"/>
        <v>806.5754691537331</v>
      </c>
      <c r="I100" s="58">
        <f t="shared" si="16"/>
        <v>722.6351859599927</v>
      </c>
    </row>
    <row r="101" spans="1:9" ht="14.25">
      <c r="A101" s="43" t="str">
        <f>HLOOKUP(INDICE!$F$2,Nombres!$C$3:$D$636,282,FALSE)</f>
        <v>Regulatory capital allocated</v>
      </c>
      <c r="B101" s="58">
        <v>3112.8712626771608</v>
      </c>
      <c r="C101" s="58">
        <v>3416.2667770311173</v>
      </c>
      <c r="D101" s="58">
        <v>3177.2740062446856</v>
      </c>
      <c r="E101" s="65">
        <v>3113.6200391691573</v>
      </c>
      <c r="F101" s="58">
        <v>3030.0790539906075</v>
      </c>
      <c r="G101" s="58">
        <v>3489.92599435328</v>
      </c>
      <c r="H101" s="58">
        <v>3328.4782896049287</v>
      </c>
      <c r="I101" s="58">
        <v>3287.2292589599997</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93" t="str">
        <f>HLOOKUP(INDICE!$F$2,Nombres!$C$3:$D$636,65,FALSE)</f>
        <v>Relevant business indicators</v>
      </c>
      <c r="B104" s="34"/>
      <c r="C104" s="34"/>
      <c r="D104" s="34"/>
      <c r="E104" s="34"/>
      <c r="F104" s="69"/>
      <c r="G104" s="69"/>
      <c r="H104" s="69"/>
      <c r="I104" s="69"/>
    </row>
    <row r="105" spans="1:9" ht="14.25">
      <c r="A105" s="84" t="str">
        <f>HLOOKUP(INDICE!$F$2,Nombres!$C$3:$D$636,73,FALSE)</f>
        <v>(Constant million euros)    </v>
      </c>
      <c r="B105" s="30"/>
      <c r="C105" s="30"/>
      <c r="D105" s="30"/>
      <c r="E105" s="30"/>
      <c r="F105" s="70"/>
      <c r="G105" s="44"/>
      <c r="H105" s="44"/>
      <c r="I105" s="44"/>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88" t="str">
        <f>HLOOKUP(INDICE!$F$2,Nombres!$C$3:$D$636,66,FALSE)</f>
        <v>Loans and advances to customers (gross) (*)</v>
      </c>
      <c r="B107" s="44">
        <v>30888.801385611234</v>
      </c>
      <c r="C107" s="44">
        <v>31065.839459917333</v>
      </c>
      <c r="D107" s="44">
        <v>27675.913063585467</v>
      </c>
      <c r="E107" s="45">
        <v>24797.77783077814</v>
      </c>
      <c r="F107" s="44">
        <v>24957.622720891533</v>
      </c>
      <c r="G107" s="44">
        <v>24781.90537952663</v>
      </c>
      <c r="H107" s="44">
        <v>25399.239862302536</v>
      </c>
      <c r="I107" s="44">
        <v>27234.031751</v>
      </c>
    </row>
    <row r="108" spans="1:9" ht="14.25">
      <c r="A108" s="88" t="str">
        <f>HLOOKUP(INDICE!$F$2,Nombres!$C$3:$D$636,67,FALSE)</f>
        <v>Customer deposits under management (*)</v>
      </c>
      <c r="B108" s="44">
        <v>9241.805972652572</v>
      </c>
      <c r="C108" s="44">
        <v>9357.858799547055</v>
      </c>
      <c r="D108" s="44">
        <v>9405.675003459033</v>
      </c>
      <c r="E108" s="45">
        <v>9771.499636534347</v>
      </c>
      <c r="F108" s="44">
        <v>6923.797929718142</v>
      </c>
      <c r="G108" s="44">
        <v>7043.850423445825</v>
      </c>
      <c r="H108" s="44">
        <v>7444.055419550035</v>
      </c>
      <c r="I108" s="44">
        <v>6265.9013319900005</v>
      </c>
    </row>
    <row r="109" spans="1:9" ht="14.25">
      <c r="A109" s="43" t="str">
        <f>HLOOKUP(INDICE!$F$2,Nombres!$C$3:$D$636,68,FALSE)</f>
        <v>Mutual funds</v>
      </c>
      <c r="B109" s="44">
        <v>0</v>
      </c>
      <c r="C109" s="44">
        <v>0</v>
      </c>
      <c r="D109" s="44">
        <v>0</v>
      </c>
      <c r="E109" s="45">
        <v>0</v>
      </c>
      <c r="F109" s="44">
        <v>0</v>
      </c>
      <c r="G109" s="44">
        <v>0</v>
      </c>
      <c r="H109" s="44">
        <v>0</v>
      </c>
      <c r="I109" s="44">
        <v>0</v>
      </c>
    </row>
    <row r="110" spans="1:9" ht="14.25">
      <c r="A110" s="88" t="str">
        <f>HLOOKUP(INDICE!$F$2,Nombres!$C$3:$D$636,69,FALSE)</f>
        <v>Pension funds</v>
      </c>
      <c r="B110" s="44">
        <v>494.78505432</v>
      </c>
      <c r="C110" s="44">
        <v>517.96026945</v>
      </c>
      <c r="D110" s="44">
        <v>529.31975174</v>
      </c>
      <c r="E110" s="45">
        <v>569.33256496</v>
      </c>
      <c r="F110" s="44">
        <v>529.59826012</v>
      </c>
      <c r="G110" s="44">
        <v>549.65363599</v>
      </c>
      <c r="H110" s="44">
        <v>566.58063193</v>
      </c>
      <c r="I110" s="44">
        <v>597.24904247</v>
      </c>
    </row>
    <row r="111" spans="1:9" ht="14.25">
      <c r="A111" s="88" t="str">
        <f>HLOOKUP(INDICE!$F$2,Nombres!$C$3:$D$636,70,FALSE)</f>
        <v>Other off balance-sheet funds</v>
      </c>
      <c r="B111" s="44">
        <v>0</v>
      </c>
      <c r="C111" s="44">
        <v>0</v>
      </c>
      <c r="D111" s="44">
        <v>0</v>
      </c>
      <c r="E111" s="45">
        <v>0</v>
      </c>
      <c r="F111" s="44">
        <v>0</v>
      </c>
      <c r="G111" s="44">
        <v>0</v>
      </c>
      <c r="H111" s="44">
        <v>0</v>
      </c>
      <c r="I111" s="44">
        <v>0</v>
      </c>
    </row>
    <row r="112" spans="1:9" ht="14.25">
      <c r="A112" s="92" t="str">
        <f>HLOOKUP(INDICE!$F$2,Nombres!$C$3:$D$636,71,FALSE)</f>
        <v>(*) Excluding repos. </v>
      </c>
      <c r="B112" s="58"/>
      <c r="C112" s="58"/>
      <c r="D112" s="58"/>
      <c r="E112" s="58"/>
      <c r="F112" s="58"/>
      <c r="G112" s="58"/>
      <c r="H112" s="58"/>
      <c r="I112" s="58"/>
    </row>
    <row r="113" spans="1:9" ht="14.25">
      <c r="A113" s="92">
        <f>HLOOKUP(INDICE!$F$2,Nombres!$C$3:$D$636,72,FALSE)</f>
        <v>0</v>
      </c>
      <c r="B113" s="30"/>
      <c r="C113" s="30"/>
      <c r="D113" s="30"/>
      <c r="E113" s="30"/>
      <c r="F113" s="30"/>
      <c r="G113" s="30"/>
      <c r="H113" s="30"/>
      <c r="I113" s="30"/>
    </row>
    <row r="114" spans="1:9" ht="14.25">
      <c r="A114" s="62"/>
      <c r="B114" s="58"/>
      <c r="C114" s="44"/>
      <c r="D114" s="44"/>
      <c r="E114" s="44"/>
      <c r="F114" s="44"/>
      <c r="G114" s="30"/>
      <c r="H114" s="30"/>
      <c r="I114" s="30"/>
    </row>
    <row r="120" spans="6:9" ht="14.25">
      <c r="F120" s="82"/>
      <c r="G120" s="82"/>
      <c r="H120" s="82"/>
      <c r="I120" s="82"/>
    </row>
    <row r="121" spans="6:9" ht="14.25">
      <c r="F121" s="82"/>
      <c r="G121" s="82"/>
      <c r="H121" s="82"/>
      <c r="I121" s="82"/>
    </row>
    <row r="122" spans="6:9" ht="14.25">
      <c r="F122" s="82"/>
      <c r="G122" s="82"/>
      <c r="H122" s="82"/>
      <c r="I122" s="82"/>
    </row>
    <row r="123" spans="6:9" ht="14.25">
      <c r="F123" s="82"/>
      <c r="G123" s="82"/>
      <c r="H123" s="82"/>
      <c r="I123" s="82"/>
    </row>
    <row r="124" spans="6:9" ht="14.25">
      <c r="F124" s="82"/>
      <c r="G124" s="82"/>
      <c r="H124" s="82"/>
      <c r="I124" s="82"/>
    </row>
    <row r="125" spans="6:9" ht="14.25">
      <c r="F125" s="82"/>
      <c r="G125" s="82"/>
      <c r="H125" s="82"/>
      <c r="I125" s="82"/>
    </row>
    <row r="126" spans="6:9" ht="14.25">
      <c r="F126" s="82"/>
      <c r="G126" s="82"/>
      <c r="H126" s="82"/>
      <c r="I126" s="82"/>
    </row>
    <row r="127" spans="6:9" ht="14.25">
      <c r="F127" s="82"/>
      <c r="G127" s="82"/>
      <c r="H127" s="82"/>
      <c r="I127" s="82"/>
    </row>
    <row r="128" spans="6:9" ht="14.25">
      <c r="F128" s="82"/>
      <c r="G128" s="82"/>
      <c r="H128" s="82"/>
      <c r="I128" s="82"/>
    </row>
    <row r="129" spans="6:9" ht="14.25">
      <c r="F129" s="82"/>
      <c r="G129" s="82"/>
      <c r="H129" s="82"/>
      <c r="I129" s="82"/>
    </row>
    <row r="130" spans="6:9" ht="14.25">
      <c r="F130" s="82"/>
      <c r="G130" s="82"/>
      <c r="H130" s="82"/>
      <c r="I130" s="82"/>
    </row>
    <row r="131" spans="6:9" ht="14.25">
      <c r="F131" s="82"/>
      <c r="G131" s="82"/>
      <c r="H131" s="82"/>
      <c r="I131" s="82"/>
    </row>
    <row r="132" spans="6:9" ht="14.25">
      <c r="F132" s="82"/>
      <c r="G132" s="82"/>
      <c r="H132" s="82"/>
      <c r="I132" s="82"/>
    </row>
    <row r="133" spans="6:9" ht="14.25">
      <c r="F133" s="82"/>
      <c r="G133" s="82"/>
      <c r="H133" s="82"/>
      <c r="I133" s="82"/>
    </row>
    <row r="134" spans="6:9" ht="14.25">
      <c r="F134" s="82"/>
      <c r="G134" s="82"/>
      <c r="H134" s="82"/>
      <c r="I134" s="82"/>
    </row>
    <row r="135" spans="6:9" ht="14.25">
      <c r="F135" s="82"/>
      <c r="G135" s="82"/>
      <c r="H135" s="82"/>
      <c r="I135" s="82"/>
    </row>
    <row r="136" spans="6:9" ht="14.25">
      <c r="F136" s="82"/>
      <c r="G136" s="82"/>
      <c r="H136" s="82"/>
      <c r="I136" s="82"/>
    </row>
    <row r="137" spans="6:9" ht="14.25">
      <c r="F137" s="82"/>
      <c r="G137" s="82"/>
      <c r="H137" s="82"/>
      <c r="I137" s="82"/>
    </row>
    <row r="138" spans="6:9" ht="14.25">
      <c r="F138" s="82"/>
      <c r="G138" s="82"/>
      <c r="H138" s="82"/>
      <c r="I138" s="82"/>
    </row>
    <row r="139" spans="6:9" ht="14.25">
      <c r="F139" s="82"/>
      <c r="G139" s="82"/>
      <c r="H139" s="82"/>
      <c r="I139" s="82"/>
    </row>
    <row r="140" spans="6:9" ht="14.25">
      <c r="F140" s="82"/>
      <c r="G140" s="82"/>
      <c r="H140" s="82"/>
      <c r="I140" s="82"/>
    </row>
    <row r="141" spans="6:9" ht="14.25">
      <c r="F141" s="82"/>
      <c r="G141" s="82"/>
      <c r="H141" s="82"/>
      <c r="I141" s="82"/>
    </row>
    <row r="142" spans="6:9" ht="14.25">
      <c r="F142" s="82"/>
      <c r="G142" s="82"/>
      <c r="H142" s="82"/>
      <c r="I142" s="82"/>
    </row>
    <row r="143" spans="6:9" ht="14.25">
      <c r="F143" s="82"/>
      <c r="G143" s="82"/>
      <c r="H143" s="82"/>
      <c r="I143" s="82"/>
    </row>
    <row r="144" spans="6:9" ht="14.25">
      <c r="F144" s="82"/>
      <c r="G144" s="82"/>
      <c r="H144" s="82"/>
      <c r="I144" s="82"/>
    </row>
    <row r="145" spans="6:9" ht="14.25">
      <c r="F145" s="82"/>
      <c r="G145" s="82"/>
      <c r="H145" s="82"/>
      <c r="I145" s="82"/>
    </row>
    <row r="146" spans="6:9" ht="14.25">
      <c r="F146" s="82"/>
      <c r="G146" s="82"/>
      <c r="H146" s="82"/>
      <c r="I146" s="82"/>
    </row>
    <row r="147" spans="6:9" ht="14.25">
      <c r="F147" s="82"/>
      <c r="G147" s="82"/>
      <c r="H147" s="82"/>
      <c r="I147" s="82"/>
    </row>
    <row r="148" spans="6:9" ht="14.25">
      <c r="F148" s="82"/>
      <c r="G148" s="82"/>
      <c r="H148" s="82"/>
      <c r="I148" s="82"/>
    </row>
    <row r="149" spans="6:9" ht="14.25">
      <c r="F149" s="82"/>
      <c r="G149" s="82"/>
      <c r="H149" s="82"/>
      <c r="I149" s="82"/>
    </row>
    <row r="150" spans="6:9" ht="14.25">
      <c r="F150" s="82"/>
      <c r="G150" s="82"/>
      <c r="H150" s="82"/>
      <c r="I150" s="82"/>
    </row>
    <row r="151" spans="6:9" ht="14.25">
      <c r="F151" s="82"/>
      <c r="G151" s="82"/>
      <c r="H151" s="82"/>
      <c r="I151" s="82"/>
    </row>
    <row r="152" spans="6:9" ht="14.25">
      <c r="F152" s="82"/>
      <c r="G152" s="82"/>
      <c r="H152" s="82"/>
      <c r="I152" s="82"/>
    </row>
    <row r="153" spans="6:9" ht="14.25">
      <c r="F153" s="82"/>
      <c r="G153" s="82"/>
      <c r="H153" s="82"/>
      <c r="I153" s="82"/>
    </row>
    <row r="154" spans="6:9" ht="14.25">
      <c r="F154" s="82"/>
      <c r="G154" s="82"/>
      <c r="H154" s="82"/>
      <c r="I154" s="82"/>
    </row>
    <row r="155" spans="6:9" ht="14.25">
      <c r="F155" s="82"/>
      <c r="G155" s="82"/>
      <c r="H155" s="82"/>
      <c r="I155" s="82"/>
    </row>
    <row r="156" spans="6:9" ht="14.25">
      <c r="F156" s="82"/>
      <c r="G156" s="82"/>
      <c r="H156" s="82"/>
      <c r="I156" s="82"/>
    </row>
    <row r="157" spans="6:9" ht="14.25">
      <c r="F157" s="82"/>
      <c r="G157" s="82"/>
      <c r="H157" s="82"/>
      <c r="I157" s="82"/>
    </row>
    <row r="158" spans="6:9" ht="14.25">
      <c r="F158" s="82"/>
      <c r="G158" s="82"/>
      <c r="H158" s="82"/>
      <c r="I158" s="82"/>
    </row>
    <row r="159" spans="6:9" ht="14.25">
      <c r="F159" s="82"/>
      <c r="G159" s="82"/>
      <c r="H159" s="82"/>
      <c r="I159" s="82"/>
    </row>
    <row r="160" spans="6:9" ht="14.25">
      <c r="F160" s="82"/>
      <c r="G160" s="82"/>
      <c r="H160" s="82"/>
      <c r="I160" s="82"/>
    </row>
    <row r="161" spans="6:9" ht="14.25">
      <c r="F161" s="82"/>
      <c r="G161" s="82"/>
      <c r="H161" s="82"/>
      <c r="I161" s="82"/>
    </row>
    <row r="162" spans="6:9" ht="14.25">
      <c r="F162" s="82"/>
      <c r="G162" s="82"/>
      <c r="H162" s="82"/>
      <c r="I162" s="82"/>
    </row>
    <row r="163" spans="6:9" ht="14.25">
      <c r="F163" s="82"/>
      <c r="G163" s="82"/>
      <c r="H163" s="82"/>
      <c r="I163" s="82"/>
    </row>
    <row r="164" spans="6:9" ht="14.25">
      <c r="F164" s="82"/>
      <c r="G164" s="82"/>
      <c r="H164" s="82"/>
      <c r="I164" s="82"/>
    </row>
    <row r="165" spans="6:9" ht="14.25">
      <c r="F165" s="82"/>
      <c r="G165" s="82"/>
      <c r="H165" s="82"/>
      <c r="I165" s="82"/>
    </row>
    <row r="166" spans="6:9" ht="14.25">
      <c r="F166" s="82"/>
      <c r="G166" s="82"/>
      <c r="H166" s="82"/>
      <c r="I166" s="82"/>
    </row>
    <row r="1000" ht="14.25">
      <c r="A1000" s="31" t="s">
        <v>396</v>
      </c>
    </row>
  </sheetData>
  <sheetProtection/>
  <mergeCells count="4">
    <mergeCell ref="B6:E6"/>
    <mergeCell ref="B62:E62"/>
    <mergeCell ref="F6:I6"/>
    <mergeCell ref="F62:I62"/>
  </mergeCells>
  <conditionalFormatting sqref="B26:I26">
    <cfRule type="cellIs" priority="2" dxfId="114" operator="notBetween">
      <formula>0.5</formula>
      <formula>-0.5</formula>
    </cfRule>
  </conditionalFormatting>
  <conditionalFormatting sqref="B82:I82">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O168"/>
  <sheetViews>
    <sheetView showGridLines="0" zoomScalePageLayoutView="0" workbookViewId="0" topLeftCell="A1">
      <selection activeCell="A1" sqref="A1"/>
    </sheetView>
  </sheetViews>
  <sheetFormatPr defaultColWidth="11.421875" defaultRowHeight="15"/>
  <cols>
    <col min="1" max="1" width="96.7109375" style="31" customWidth="1"/>
    <col min="2" max="2" width="10.421875" style="31" customWidth="1"/>
    <col min="3" max="16384" width="11.421875" style="31" customWidth="1"/>
  </cols>
  <sheetData>
    <row r="1" spans="1:9" ht="16.5">
      <c r="A1" s="83" t="str">
        <f>HLOOKUP(INDICE!$F$2,Nombres!$C$3:$D$636,19,FALSE)</f>
        <v>Corporate Center </v>
      </c>
      <c r="B1" s="30"/>
      <c r="C1" s="30"/>
      <c r="D1" s="30"/>
      <c r="E1" s="30"/>
      <c r="F1" s="30"/>
      <c r="G1" s="30"/>
      <c r="H1" s="30"/>
      <c r="I1" s="30"/>
    </row>
    <row r="2" spans="1:9" ht="19.5">
      <c r="A2" s="32"/>
      <c r="B2" s="30"/>
      <c r="C2" s="30"/>
      <c r="D2" s="30"/>
      <c r="E2" s="30"/>
      <c r="F2" s="30"/>
      <c r="G2" s="30"/>
      <c r="H2" s="30"/>
      <c r="I2" s="30"/>
    </row>
    <row r="3" spans="1:9" ht="16.5">
      <c r="A3" s="93" t="str">
        <f>HLOOKUP(INDICE!$F$2,Nombres!$C$3:$D$636,31,FALSE)</f>
        <v>Income statement  </v>
      </c>
      <c r="B3" s="34"/>
      <c r="C3" s="34"/>
      <c r="D3" s="34"/>
      <c r="E3" s="34"/>
      <c r="F3" s="34"/>
      <c r="G3" s="34"/>
      <c r="H3" s="34"/>
      <c r="I3" s="34"/>
    </row>
    <row r="4" spans="1:9" ht="14.25">
      <c r="A4" s="84"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85" t="str">
        <f>+España!B7</f>
        <v>1Q</v>
      </c>
      <c r="C7" s="85" t="str">
        <f>+España!C7</f>
        <v>2Q</v>
      </c>
      <c r="D7" s="85" t="str">
        <f>+España!D7</f>
        <v>3Q</v>
      </c>
      <c r="E7" s="86" t="str">
        <f>+España!E7</f>
        <v>4Q</v>
      </c>
      <c r="F7" s="85" t="str">
        <f>+España!F7</f>
        <v>1Q</v>
      </c>
      <c r="G7" s="85" t="str">
        <f>+España!G7</f>
        <v>2Q</v>
      </c>
      <c r="H7" s="85" t="str">
        <f>+España!H7</f>
        <v>3Q</v>
      </c>
      <c r="I7" s="85" t="str">
        <f>+España!I7</f>
        <v>4Q</v>
      </c>
    </row>
    <row r="8" spans="1:15" ht="14.25">
      <c r="A8" s="41" t="str">
        <f>HLOOKUP(INDICE!$F$2,Nombres!$C$3:$D$636,33,FALSE)</f>
        <v>Net interest income</v>
      </c>
      <c r="B8" s="41">
        <v>-47.055076810000074</v>
      </c>
      <c r="C8" s="41">
        <v>-32.26434003999989</v>
      </c>
      <c r="D8" s="41">
        <v>-35.99118196999993</v>
      </c>
      <c r="E8" s="42">
        <v>-48.589085819999795</v>
      </c>
      <c r="F8" s="50">
        <v>-43.85290882999996</v>
      </c>
      <c r="G8" s="50">
        <v>-38.06992179000004</v>
      </c>
      <c r="H8" s="244">
        <v>-46.28257633999999</v>
      </c>
      <c r="I8" s="244">
        <v>-35.02632461999995</v>
      </c>
      <c r="J8" s="87"/>
      <c r="K8" s="87"/>
      <c r="L8" s="87"/>
      <c r="M8" s="87"/>
      <c r="N8" s="87"/>
      <c r="O8" s="87"/>
    </row>
    <row r="9" spans="1:9" ht="14.25">
      <c r="A9" s="88" t="str">
        <f>HLOOKUP(INDICE!$F$2,Nombres!$C$3:$D$636,34,FALSE)</f>
        <v>Net fees and commissions</v>
      </c>
      <c r="B9" s="44">
        <v>-8.573050729999979</v>
      </c>
      <c r="C9" s="44">
        <v>-29.27252246000003</v>
      </c>
      <c r="D9" s="44">
        <v>-15.310159790000004</v>
      </c>
      <c r="E9" s="45">
        <v>-12.417189980000023</v>
      </c>
      <c r="F9" s="44">
        <v>-2.8937995999999706</v>
      </c>
      <c r="G9" s="44">
        <v>-19.98526829</v>
      </c>
      <c r="H9" s="44">
        <v>-6.331155229999984</v>
      </c>
      <c r="I9" s="44">
        <v>-6.5274991</v>
      </c>
    </row>
    <row r="10" spans="1:9" ht="14.25">
      <c r="A10" s="88" t="str">
        <f>HLOOKUP(INDICE!$F$2,Nombres!$C$3:$D$636,35,FALSE)</f>
        <v>Net trading income</v>
      </c>
      <c r="B10" s="44">
        <v>208.42607193000003</v>
      </c>
      <c r="C10" s="44">
        <v>6.726411070000005</v>
      </c>
      <c r="D10" s="44">
        <v>0.7390275400000341</v>
      </c>
      <c r="E10" s="45">
        <v>-71.59923100000002</v>
      </c>
      <c r="F10" s="44">
        <v>46.397079110000014</v>
      </c>
      <c r="G10" s="44">
        <v>121.14912622000003</v>
      </c>
      <c r="H10" s="44">
        <v>100.69057497999995</v>
      </c>
      <c r="I10" s="44">
        <v>-2.4766653100000013</v>
      </c>
    </row>
    <row r="11" spans="1:9" ht="14.25">
      <c r="A11" s="88" t="str">
        <f>HLOOKUP(INDICE!$F$2,Nombres!$C$3:$D$636,36,FALSE)</f>
        <v>Other operating income and expenses</v>
      </c>
      <c r="B11" s="44">
        <v>-25.304007719999994</v>
      </c>
      <c r="C11" s="44">
        <v>33.239516950000116</v>
      </c>
      <c r="D11" s="44">
        <v>-22.827044260000047</v>
      </c>
      <c r="E11" s="45">
        <v>37.181960630000106</v>
      </c>
      <c r="F11" s="44">
        <v>-17.859285009999983</v>
      </c>
      <c r="G11" s="44">
        <v>101.63862162000012</v>
      </c>
      <c r="H11" s="44">
        <v>11.070859999999932</v>
      </c>
      <c r="I11" s="44">
        <v>50.846825519999875</v>
      </c>
    </row>
    <row r="12" spans="1:9" ht="14.25">
      <c r="A12" s="41" t="str">
        <f>HLOOKUP(INDICE!$F$2,Nombres!$C$3:$D$636,37,FALSE)</f>
        <v>Gross income</v>
      </c>
      <c r="B12" s="41">
        <f aca="true" t="shared" si="0" ref="B12:I12">+SUM(B8:B11)</f>
        <v>127.49393667000001</v>
      </c>
      <c r="C12" s="41">
        <f t="shared" si="0"/>
        <v>-21.570934479999792</v>
      </c>
      <c r="D12" s="41">
        <f t="shared" si="0"/>
        <v>-73.38935847999994</v>
      </c>
      <c r="E12" s="42">
        <f t="shared" si="0"/>
        <v>-95.42354616999972</v>
      </c>
      <c r="F12" s="50">
        <f t="shared" si="0"/>
        <v>-18.208914329999903</v>
      </c>
      <c r="G12" s="50">
        <f t="shared" si="0"/>
        <v>164.7325577600001</v>
      </c>
      <c r="H12" s="50">
        <f t="shared" si="0"/>
        <v>59.147703409999906</v>
      </c>
      <c r="I12" s="50">
        <f t="shared" si="0"/>
        <v>6.816336489999927</v>
      </c>
    </row>
    <row r="13" spans="1:9" ht="14.25">
      <c r="A13" s="88" t="str">
        <f>HLOOKUP(INDICE!$F$2,Nombres!$C$3:$D$636,38,FALSE)</f>
        <v>Operating expenses</v>
      </c>
      <c r="B13" s="44">
        <v>-210.8874681600001</v>
      </c>
      <c r="C13" s="44">
        <v>-202.13285829999992</v>
      </c>
      <c r="D13" s="44">
        <v>-205.24954835000005</v>
      </c>
      <c r="E13" s="45">
        <v>-217.25666457000008</v>
      </c>
      <c r="F13" s="44">
        <v>-212.17693998999997</v>
      </c>
      <c r="G13" s="44">
        <v>-211.3452443000001</v>
      </c>
      <c r="H13" s="44">
        <v>-225.86830799999996</v>
      </c>
      <c r="I13" s="44">
        <v>-231.13966415</v>
      </c>
    </row>
    <row r="14" spans="1:9" ht="14.25">
      <c r="A14" s="88" t="str">
        <f>HLOOKUP(INDICE!$F$2,Nombres!$C$3:$D$636,39,FALSE)</f>
        <v>  Administration expenses</v>
      </c>
      <c r="B14" s="44">
        <v>-163.30472440000003</v>
      </c>
      <c r="C14" s="44">
        <v>-154.00731253999993</v>
      </c>
      <c r="D14" s="44">
        <v>-156.57168757000005</v>
      </c>
      <c r="E14" s="45">
        <v>-168.1046232300002</v>
      </c>
      <c r="F14" s="44">
        <v>-165.11286656000001</v>
      </c>
      <c r="G14" s="44">
        <v>-163.71882301000014</v>
      </c>
      <c r="H14" s="44">
        <v>-176.62432237999997</v>
      </c>
      <c r="I14" s="44">
        <v>-181.52029798</v>
      </c>
    </row>
    <row r="15" spans="1:9" ht="14.25">
      <c r="A15" s="89" t="str">
        <f>HLOOKUP(INDICE!$F$2,Nombres!$C$3:$D$636,40,FALSE)</f>
        <v>  Personnel expenses</v>
      </c>
      <c r="B15" s="44">
        <v>-116.80718312000002</v>
      </c>
      <c r="C15" s="44">
        <v>-115.15472833000001</v>
      </c>
      <c r="D15" s="44">
        <v>-125.39259477999998</v>
      </c>
      <c r="E15" s="45">
        <v>-135.6019537200001</v>
      </c>
      <c r="F15" s="44">
        <v>-129.45738859</v>
      </c>
      <c r="G15" s="44">
        <v>-138.08783414000004</v>
      </c>
      <c r="H15" s="44">
        <v>-141.70301090999996</v>
      </c>
      <c r="I15" s="44">
        <v>-148.6748127</v>
      </c>
    </row>
    <row r="16" spans="1:9" ht="14.25">
      <c r="A16" s="89" t="str">
        <f>HLOOKUP(INDICE!$F$2,Nombres!$C$3:$D$636,41,FALSE)</f>
        <v>  General and administrative expenses</v>
      </c>
      <c r="B16" s="44">
        <v>-46.49754128000002</v>
      </c>
      <c r="C16" s="44">
        <v>-38.852584209999954</v>
      </c>
      <c r="D16" s="44">
        <v>-31.17909278999999</v>
      </c>
      <c r="E16" s="45">
        <v>-32.50266951000003</v>
      </c>
      <c r="F16" s="44">
        <v>-35.655477969999964</v>
      </c>
      <c r="G16" s="44">
        <v>-25.63098887000005</v>
      </c>
      <c r="H16" s="44">
        <v>-34.921311469999964</v>
      </c>
      <c r="I16" s="44">
        <v>-32.84548528</v>
      </c>
    </row>
    <row r="17" spans="1:9" ht="14.25">
      <c r="A17" s="88" t="str">
        <f>HLOOKUP(INDICE!$F$2,Nombres!$C$3:$D$636,42,FALSE)</f>
        <v>  Depreciation</v>
      </c>
      <c r="B17" s="44">
        <v>-47.58274375999999</v>
      </c>
      <c r="C17" s="44">
        <v>-48.12554576000001</v>
      </c>
      <c r="D17" s="44">
        <v>-48.677860779999996</v>
      </c>
      <c r="E17" s="45">
        <v>-49.152041340000004</v>
      </c>
      <c r="F17" s="44">
        <v>-47.06407342999999</v>
      </c>
      <c r="G17" s="44">
        <v>-47.62642129</v>
      </c>
      <c r="H17" s="44">
        <v>-49.24398562000002</v>
      </c>
      <c r="I17" s="44">
        <v>-49.61936616999999</v>
      </c>
    </row>
    <row r="18" spans="1:9" ht="14.25">
      <c r="A18" s="41" t="str">
        <f>HLOOKUP(INDICE!$F$2,Nombres!$C$3:$D$636,43,FALSE)</f>
        <v>Operating income</v>
      </c>
      <c r="B18" s="41">
        <f aca="true" t="shared" si="1" ref="B18:I18">+B12+B13</f>
        <v>-83.3935314900001</v>
      </c>
      <c r="C18" s="41">
        <f t="shared" si="1"/>
        <v>-223.70379277999973</v>
      </c>
      <c r="D18" s="41">
        <f t="shared" si="1"/>
        <v>-278.63890683</v>
      </c>
      <c r="E18" s="42">
        <f t="shared" si="1"/>
        <v>-312.6802107399998</v>
      </c>
      <c r="F18" s="50">
        <f t="shared" si="1"/>
        <v>-230.38585431999988</v>
      </c>
      <c r="G18" s="50">
        <f t="shared" si="1"/>
        <v>-46.61268654</v>
      </c>
      <c r="H18" s="50">
        <f t="shared" si="1"/>
        <v>-166.72060459000005</v>
      </c>
      <c r="I18" s="50">
        <f t="shared" si="1"/>
        <v>-224.32332766000007</v>
      </c>
    </row>
    <row r="19" spans="1:9" ht="14.25">
      <c r="A19" s="88" t="str">
        <f>HLOOKUP(INDICE!$F$2,Nombres!$C$3:$D$636,44,FALSE)</f>
        <v>Impaiment on financial assets not measured at fair value through profit or loss</v>
      </c>
      <c r="B19" s="44">
        <v>-0.0251740800000037</v>
      </c>
      <c r="C19" s="44">
        <v>0.44119642000001424</v>
      </c>
      <c r="D19" s="44">
        <v>-0.0011676399999749434</v>
      </c>
      <c r="E19" s="45">
        <v>4.054889259999961</v>
      </c>
      <c r="F19" s="44">
        <v>-0.0005037100000008419</v>
      </c>
      <c r="G19" s="44">
        <v>0.21530097000000128</v>
      </c>
      <c r="H19" s="44">
        <v>-1.8477096999999891</v>
      </c>
      <c r="I19" s="44">
        <v>0.013001589999996534</v>
      </c>
    </row>
    <row r="20" spans="1:9" ht="14.25">
      <c r="A20" s="88" t="str">
        <f>HLOOKUP(INDICE!$F$2,Nombres!$C$3:$D$636,45,FALSE)</f>
        <v>Provisions or reversal of provisions and other results</v>
      </c>
      <c r="B20" s="44">
        <v>-24.602517879999915</v>
      </c>
      <c r="C20" s="44">
        <v>-84.41909953000001</v>
      </c>
      <c r="D20" s="44">
        <v>-122.92274500999997</v>
      </c>
      <c r="E20" s="45">
        <v>-56.99554261000023</v>
      </c>
      <c r="F20" s="44">
        <v>8.925271209999982</v>
      </c>
      <c r="G20" s="44">
        <v>-27.99695481000005</v>
      </c>
      <c r="H20" s="44">
        <v>5.549369000000079</v>
      </c>
      <c r="I20" s="44">
        <v>45.07765825999991</v>
      </c>
    </row>
    <row r="21" spans="1:9" ht="14.25">
      <c r="A21" s="90" t="str">
        <f>HLOOKUP(INDICE!$F$2,Nombres!$C$3:$D$636,46,FALSE)</f>
        <v>Profit/(loss) before tax</v>
      </c>
      <c r="B21" s="41">
        <f aca="true" t="shared" si="2" ref="B21:I21">+B18+B19+B20</f>
        <v>-108.02122345000001</v>
      </c>
      <c r="C21" s="41">
        <f t="shared" si="2"/>
        <v>-307.68169588999973</v>
      </c>
      <c r="D21" s="41">
        <f t="shared" si="2"/>
        <v>-401.5628194799999</v>
      </c>
      <c r="E21" s="42">
        <f t="shared" si="2"/>
        <v>-365.62086409000005</v>
      </c>
      <c r="F21" s="50">
        <f t="shared" si="2"/>
        <v>-221.4610868199999</v>
      </c>
      <c r="G21" s="50">
        <f t="shared" si="2"/>
        <v>-74.39434038000005</v>
      </c>
      <c r="H21" s="50">
        <f t="shared" si="2"/>
        <v>-163.01894528999998</v>
      </c>
      <c r="I21" s="50">
        <f t="shared" si="2"/>
        <v>-179.23266781000018</v>
      </c>
    </row>
    <row r="22" spans="1:9" ht="14.25">
      <c r="A22" s="43" t="str">
        <f>HLOOKUP(INDICE!$F$2,Nombres!$C$3:$D$636,47,FALSE)</f>
        <v>Income tax</v>
      </c>
      <c r="B22" s="44">
        <v>30.897878089999992</v>
      </c>
      <c r="C22" s="44">
        <v>35.28298148000006</v>
      </c>
      <c r="D22" s="44">
        <v>106.83870416999999</v>
      </c>
      <c r="E22" s="45">
        <v>94.76312492999998</v>
      </c>
      <c r="F22" s="44">
        <v>10.872089020000002</v>
      </c>
      <c r="G22" s="44">
        <v>-2.050762049999939</v>
      </c>
      <c r="H22" s="44">
        <v>32.128476019999965</v>
      </c>
      <c r="I22" s="44">
        <v>53.15986158000001</v>
      </c>
    </row>
    <row r="23" spans="1:9" ht="14.25">
      <c r="A23" s="41" t="str">
        <f>HLOOKUP(INDICE!$F$2,Nombres!$C$3:$D$636,48,FALSE)</f>
        <v>Profit/(loss) for the year</v>
      </c>
      <c r="B23" s="41">
        <f aca="true" t="shared" si="3" ref="B23:I23">+B21+B22</f>
        <v>-77.12334536000002</v>
      </c>
      <c r="C23" s="41">
        <f t="shared" si="3"/>
        <v>-272.3987144099997</v>
      </c>
      <c r="D23" s="41">
        <f t="shared" si="3"/>
        <v>-294.72411530999995</v>
      </c>
      <c r="E23" s="42">
        <f t="shared" si="3"/>
        <v>-270.85773916000005</v>
      </c>
      <c r="F23" s="50">
        <f t="shared" si="3"/>
        <v>-210.5889977999999</v>
      </c>
      <c r="G23" s="50">
        <f t="shared" si="3"/>
        <v>-76.44510242999999</v>
      </c>
      <c r="H23" s="50">
        <f t="shared" si="3"/>
        <v>-130.89046927</v>
      </c>
      <c r="I23" s="50">
        <f t="shared" si="3"/>
        <v>-126.07280623000017</v>
      </c>
    </row>
    <row r="24" spans="1:9" ht="14.25">
      <c r="A24" s="43" t="str">
        <f>HLOOKUP(INDICE!$F$2,Nombres!$C$3:$D$636,49,FALSE)</f>
        <v>Non-controlling interests</v>
      </c>
      <c r="B24" s="44">
        <v>-0.28234462999999976</v>
      </c>
      <c r="C24" s="44">
        <v>-0.51301793</v>
      </c>
      <c r="D24" s="44">
        <v>0.75410717</v>
      </c>
      <c r="E24" s="45">
        <v>0.1258005299999999</v>
      </c>
      <c r="F24" s="44">
        <v>-0.6575781699999999</v>
      </c>
      <c r="G24" s="44">
        <v>-4.24266055</v>
      </c>
      <c r="H24" s="44">
        <v>-10.52869901</v>
      </c>
      <c r="I24" s="44">
        <v>-4.820760240000001</v>
      </c>
    </row>
    <row r="25" spans="1:9" ht="14.25">
      <c r="A25" s="47" t="str">
        <f>HLOOKUP(INDICE!$F$2,Nombres!$C$3:$D$636,305,FALSE)</f>
        <v>Net attributable profit excluding non recurring impacts</v>
      </c>
      <c r="B25" s="47">
        <f aca="true" t="shared" si="4" ref="B25:I25">+B23+B24</f>
        <v>-77.40568999000001</v>
      </c>
      <c r="C25" s="47">
        <f t="shared" si="4"/>
        <v>-272.9117323399997</v>
      </c>
      <c r="D25" s="47">
        <f t="shared" si="4"/>
        <v>-293.97000813999995</v>
      </c>
      <c r="E25" s="47">
        <f t="shared" si="4"/>
        <v>-270.73193863000006</v>
      </c>
      <c r="F25" s="47">
        <f t="shared" si="4"/>
        <v>-211.2465759699999</v>
      </c>
      <c r="G25" s="47">
        <f t="shared" si="4"/>
        <v>-80.68776297999999</v>
      </c>
      <c r="H25" s="47">
        <f t="shared" si="4"/>
        <v>-141.41916828</v>
      </c>
      <c r="I25" s="47">
        <f t="shared" si="4"/>
        <v>-130.89356647000017</v>
      </c>
    </row>
    <row r="26" spans="1:9" ht="14.25">
      <c r="A26" s="41" t="str">
        <f>HLOOKUP(INDICE!$F$2,Nombres!$C$3:$D$636,311,FALSE)</f>
        <v>Corporate &amp; discontinued operations</v>
      </c>
      <c r="B26" s="201">
        <f aca="true" t="shared" si="5" ref="B26:I26">+B27+B28+B29</f>
        <v>-2223.7850000000003</v>
      </c>
      <c r="C26" s="201">
        <f t="shared" si="5"/>
        <v>119.91999999999999</v>
      </c>
      <c r="D26" s="201">
        <f t="shared" si="5"/>
        <v>73.239</v>
      </c>
      <c r="E26" s="300">
        <f t="shared" si="5"/>
        <v>606.3115058600004</v>
      </c>
      <c r="F26" s="201">
        <f t="shared" si="5"/>
        <v>177.04100000000003</v>
      </c>
      <c r="G26" s="201">
        <f t="shared" si="5"/>
        <v>-593.0077980200002</v>
      </c>
      <c r="H26" s="201">
        <f t="shared" si="5"/>
        <v>0</v>
      </c>
      <c r="I26" s="201">
        <f t="shared" si="5"/>
        <v>-9.999999184273634E-07</v>
      </c>
    </row>
    <row r="27" spans="1:9" ht="14.25">
      <c r="A27" s="43" t="str">
        <f>HLOOKUP(INDICE!$F$2,Nombres!$C$3:$D$636,306,FALSE)</f>
        <v>Profit/(loss) after tax form discontinued operations (1)</v>
      </c>
      <c r="B27" s="44">
        <v>-2223.7850000000003</v>
      </c>
      <c r="C27" s="44">
        <v>119.91999999999999</v>
      </c>
      <c r="D27" s="44">
        <v>73.239</v>
      </c>
      <c r="E27" s="45">
        <v>301.8430058600003</v>
      </c>
      <c r="F27" s="44">
        <v>177.04100000000003</v>
      </c>
      <c r="G27" s="44">
        <v>102.65999999999976</v>
      </c>
      <c r="H27" s="44">
        <v>0</v>
      </c>
      <c r="I27" s="44">
        <v>-9.999999184273634E-07</v>
      </c>
    </row>
    <row r="28" spans="1:9" ht="14.25">
      <c r="A28" s="43" t="str">
        <f>HLOOKUP(INDICE!$F$2,Nombres!$C$3:$D$636,307,FALSE)</f>
        <v>Corporate Operations (2)</v>
      </c>
      <c r="B28" s="44">
        <v>0</v>
      </c>
      <c r="C28" s="44">
        <v>0</v>
      </c>
      <c r="D28" s="44">
        <v>0</v>
      </c>
      <c r="E28" s="45">
        <v>304.4685</v>
      </c>
      <c r="F28" s="44">
        <v>0</v>
      </c>
      <c r="G28" s="44">
        <v>0</v>
      </c>
      <c r="H28" s="44">
        <v>0</v>
      </c>
      <c r="I28" s="44">
        <v>0</v>
      </c>
    </row>
    <row r="29" spans="1:9" ht="14.25">
      <c r="A29" s="43" t="str">
        <f>HLOOKUP(INDICE!$F$2,Nombres!$C$3:$D$636,308,FALSE)</f>
        <v>Net cost related to the reestructuring process.</v>
      </c>
      <c r="B29" s="44">
        <v>0</v>
      </c>
      <c r="C29" s="44">
        <v>0</v>
      </c>
      <c r="D29" s="44">
        <v>0</v>
      </c>
      <c r="E29" s="45">
        <v>0</v>
      </c>
      <c r="F29" s="44">
        <v>0</v>
      </c>
      <c r="G29" s="44">
        <v>-695.66779802</v>
      </c>
      <c r="H29" s="44">
        <v>0</v>
      </c>
      <c r="I29" s="44">
        <v>0</v>
      </c>
    </row>
    <row r="30" spans="1:9" ht="14.25">
      <c r="A30" s="47" t="str">
        <f>HLOOKUP(INDICE!$F$2,Nombres!$C$3:$D$636,50,FALSE)</f>
        <v>Net attributable profit</v>
      </c>
      <c r="B30" s="47">
        <f aca="true" t="shared" si="6" ref="B30:I30">+B25+B26</f>
        <v>-2301.1906899900005</v>
      </c>
      <c r="C30" s="47">
        <f t="shared" si="6"/>
        <v>-152.9917323399997</v>
      </c>
      <c r="D30" s="47">
        <f t="shared" si="6"/>
        <v>-220.73100813999994</v>
      </c>
      <c r="E30" s="47">
        <f t="shared" si="6"/>
        <v>335.5795672300003</v>
      </c>
      <c r="F30" s="47">
        <f t="shared" si="6"/>
        <v>-34.20557596999987</v>
      </c>
      <c r="G30" s="47">
        <f t="shared" si="6"/>
        <v>-673.6955610000002</v>
      </c>
      <c r="H30" s="47">
        <f t="shared" si="6"/>
        <v>-141.41916828</v>
      </c>
      <c r="I30" s="47">
        <f t="shared" si="6"/>
        <v>-130.89356747000008</v>
      </c>
    </row>
    <row r="31" spans="1:9" ht="14.25">
      <c r="A31" s="282" t="s">
        <v>5</v>
      </c>
      <c r="B31" s="44"/>
      <c r="C31" s="44"/>
      <c r="D31" s="44"/>
      <c r="E31" s="44"/>
      <c r="F31" s="44"/>
      <c r="G31" s="44"/>
      <c r="H31" s="44"/>
      <c r="I31" s="44"/>
    </row>
    <row r="32" spans="1:9" ht="14.25" customHeight="1">
      <c r="A32" s="305" t="str">
        <f>HLOOKUP(INDICE!$F$2,Nombres!$C$3:$D$636,309,FALSE)</f>
        <v>(1) Includes USA as discontinued operation and the goodwill impaiment in USA for 2084 millions of euros registered in the 1stQ of 2020.</v>
      </c>
      <c r="B32" s="305"/>
      <c r="C32" s="305"/>
      <c r="D32" s="305"/>
      <c r="E32" s="305"/>
      <c r="F32" s="305"/>
      <c r="G32" s="305"/>
      <c r="H32" s="305"/>
      <c r="I32" s="305"/>
    </row>
    <row r="33" spans="1:9" ht="14.25" customHeight="1">
      <c r="A33" s="305" t="str">
        <f>HLOOKUP(INDICE!$F$2,Nombres!$C$3:$D$636,310,FALSE)</f>
        <v>(2) Includes the net capital gain from the sale to Allianz of the half plus one share of the company created to jointly develop the non-life insurance business in Spain, excluding the health insurance line </v>
      </c>
      <c r="B33" s="305"/>
      <c r="C33" s="305"/>
      <c r="D33" s="305"/>
      <c r="E33" s="305"/>
      <c r="F33" s="305"/>
      <c r="G33" s="305"/>
      <c r="H33" s="305"/>
      <c r="I33" s="305"/>
    </row>
    <row r="34" spans="1:9" ht="14.25">
      <c r="A34" s="41"/>
      <c r="B34" s="63">
        <v>4.547473508864641E-13</v>
      </c>
      <c r="C34" s="63">
        <v>0</v>
      </c>
      <c r="D34" s="63">
        <v>0</v>
      </c>
      <c r="E34" s="63">
        <v>0</v>
      </c>
      <c r="F34" s="63">
        <v>0</v>
      </c>
      <c r="G34" s="63">
        <v>2.7000623958883807E-13</v>
      </c>
      <c r="H34" s="63">
        <v>0</v>
      </c>
      <c r="I34" s="63">
        <v>0</v>
      </c>
    </row>
    <row r="35" spans="1:9" ht="14.25">
      <c r="A35" s="41"/>
      <c r="B35" s="41"/>
      <c r="C35" s="41"/>
      <c r="D35" s="41"/>
      <c r="E35" s="41"/>
      <c r="F35" s="41"/>
      <c r="G35" s="41"/>
      <c r="H35" s="41"/>
      <c r="I35" s="41"/>
    </row>
    <row r="36" spans="1:9" ht="16.5">
      <c r="A36" s="93" t="str">
        <f>HLOOKUP(INDICE!$F$2,Nombres!$C$3:$D$636,51,FALSE)</f>
        <v>Balance sheets</v>
      </c>
      <c r="B36" s="34"/>
      <c r="C36" s="34"/>
      <c r="D36" s="34"/>
      <c r="E36" s="34"/>
      <c r="F36" s="81"/>
      <c r="G36" s="81"/>
      <c r="H36" s="81"/>
      <c r="I36" s="81"/>
    </row>
    <row r="37" spans="1:9" ht="14.25">
      <c r="A37" s="84" t="str">
        <f>HLOOKUP(INDICE!$F$2,Nombres!$C$3:$D$636,32,FALSE)</f>
        <v>(Million euros)</v>
      </c>
      <c r="B37" s="30"/>
      <c r="C37" s="52"/>
      <c r="D37" s="52"/>
      <c r="E37" s="52"/>
      <c r="F37" s="79"/>
      <c r="G37" s="77"/>
      <c r="H37" s="77"/>
      <c r="I37" s="77"/>
    </row>
    <row r="38" spans="1:9" ht="14.25">
      <c r="A38" s="30"/>
      <c r="B38" s="53">
        <f>+España!B30</f>
        <v>43921</v>
      </c>
      <c r="C38" s="53">
        <f>+España!C30</f>
        <v>44012</v>
      </c>
      <c r="D38" s="53">
        <f>+España!D30</f>
        <v>44104</v>
      </c>
      <c r="E38" s="68">
        <f>+España!E30</f>
        <v>44196</v>
      </c>
      <c r="F38" s="53">
        <f>+España!F30</f>
        <v>44286</v>
      </c>
      <c r="G38" s="53">
        <f>+España!G30</f>
        <v>44377</v>
      </c>
      <c r="H38" s="53">
        <f>+España!H30</f>
        <v>44469</v>
      </c>
      <c r="I38" s="53">
        <f>+España!I30</f>
        <v>44561</v>
      </c>
    </row>
    <row r="39" spans="1:9" ht="14.25">
      <c r="A39" s="88" t="str">
        <f>HLOOKUP(INDICE!$F$2,Nombres!$C$3:$D$636,52,FALSE)</f>
        <v>Cash, cash balances at central banks and other demand deposits</v>
      </c>
      <c r="B39" s="44">
        <v>830.3840019999981</v>
      </c>
      <c r="C39" s="44">
        <v>889.8779950000022</v>
      </c>
      <c r="D39" s="44">
        <v>821.1040000000008</v>
      </c>
      <c r="E39" s="45">
        <v>873.8519959999968</v>
      </c>
      <c r="F39" s="44">
        <v>923.0540969999975</v>
      </c>
      <c r="G39" s="44">
        <v>10200.758577</v>
      </c>
      <c r="H39" s="44">
        <v>10188.903583</v>
      </c>
      <c r="I39" s="44">
        <v>9609.331895000003</v>
      </c>
    </row>
    <row r="40" spans="1:9" ht="14.25">
      <c r="A40" s="88" t="str">
        <f>HLOOKUP(INDICE!$F$2,Nombres!$C$3:$D$636,53,FALSE)</f>
        <v>Financial assets designated at fair value </v>
      </c>
      <c r="B40" s="58">
        <v>1780.8215814000012</v>
      </c>
      <c r="C40" s="58">
        <v>1879.5348080600006</v>
      </c>
      <c r="D40" s="58">
        <v>1450.3653814600002</v>
      </c>
      <c r="E40" s="65">
        <v>1464.46171155</v>
      </c>
      <c r="F40" s="58">
        <v>1679.5687306799996</v>
      </c>
      <c r="G40" s="58">
        <v>1902.8554403500002</v>
      </c>
      <c r="H40" s="58">
        <v>2057.83634224</v>
      </c>
      <c r="I40" s="58">
        <v>2098.74475648</v>
      </c>
    </row>
    <row r="41" spans="1:9" ht="14.25">
      <c r="A41" s="43" t="str">
        <f>HLOOKUP(INDICE!$F$2,Nombres!$C$3:$D$636,54,FALSE)</f>
        <v>Financial assets at amortized cost</v>
      </c>
      <c r="B41" s="44">
        <v>1881.9313669999974</v>
      </c>
      <c r="C41" s="44">
        <v>1918.4545914300309</v>
      </c>
      <c r="D41" s="44">
        <v>1915.1642939999856</v>
      </c>
      <c r="E41" s="45">
        <v>1717.801835</v>
      </c>
      <c r="F41" s="44">
        <v>1782.3869010000071</v>
      </c>
      <c r="G41" s="44">
        <v>1659.7929520000012</v>
      </c>
      <c r="H41" s="44">
        <v>1576.5927729999994</v>
      </c>
      <c r="I41" s="44">
        <v>2175.279227999999</v>
      </c>
    </row>
    <row r="42" spans="1:9" ht="14.25">
      <c r="A42" s="88" t="str">
        <f>HLOOKUP(INDICE!$F$2,Nombres!$C$3:$D$636,55,FALSE)</f>
        <v>    of which loans and advances to customers</v>
      </c>
      <c r="B42" s="44">
        <v>354.7427700000073</v>
      </c>
      <c r="C42" s="44">
        <v>427.70760743001824</v>
      </c>
      <c r="D42" s="44">
        <v>288.2759780000109</v>
      </c>
      <c r="E42" s="45">
        <v>504.5246399999926</v>
      </c>
      <c r="F42" s="44">
        <v>668.7451439999999</v>
      </c>
      <c r="G42" s="44">
        <v>574.5940129999998</v>
      </c>
      <c r="H42" s="44">
        <v>170.45724900000087</v>
      </c>
      <c r="I42" s="44">
        <v>1005.9331779999998</v>
      </c>
    </row>
    <row r="43" spans="1:9" ht="14.25">
      <c r="A43" s="88" t="str">
        <f>HLOOKUP(INDICE!$F$2,Nombres!$C$3:$D$636,121,FALSE)</f>
        <v>Inter-area positions</v>
      </c>
      <c r="B43" s="44">
        <v>1.199805410578847E-07</v>
      </c>
      <c r="C43" s="44">
        <v>0.01766683997993823</v>
      </c>
      <c r="D43" s="44">
        <v>0.2936261699651368</v>
      </c>
      <c r="E43" s="45">
        <v>0</v>
      </c>
      <c r="F43" s="44">
        <v>-1.129992597270757E-06</v>
      </c>
      <c r="G43" s="44">
        <v>1.500011421740055E-07</v>
      </c>
      <c r="H43" s="44">
        <v>0</v>
      </c>
      <c r="I43" s="44">
        <v>-2.6330002583563328E-05</v>
      </c>
    </row>
    <row r="44" spans="1:9" ht="15.75" customHeight="1">
      <c r="A44" s="43" t="str">
        <f>HLOOKUP(INDICE!$F$2,Nombres!$C$3:$D$636,56,FALSE)</f>
        <v>Tangible assets</v>
      </c>
      <c r="B44" s="44">
        <v>2176.688747</v>
      </c>
      <c r="C44" s="44">
        <v>2126.2533180000005</v>
      </c>
      <c r="D44" s="44">
        <v>2121.074613</v>
      </c>
      <c r="E44" s="45">
        <v>2062.7604020000003</v>
      </c>
      <c r="F44" s="44">
        <v>2038.8515439999996</v>
      </c>
      <c r="G44" s="44">
        <v>2019.6463440000002</v>
      </c>
      <c r="H44" s="44">
        <v>1988.1729079999998</v>
      </c>
      <c r="I44" s="44">
        <v>1963.5125279999997</v>
      </c>
    </row>
    <row r="45" spans="1:9" ht="14.25">
      <c r="A45" s="88" t="str">
        <f>HLOOKUP(INDICE!$F$2,Nombres!$C$3:$D$636,57,FALSE)</f>
        <v>Other assets</v>
      </c>
      <c r="B45" s="44">
        <v>102340.09597659</v>
      </c>
      <c r="C45" s="44">
        <v>106743.53107094001</v>
      </c>
      <c r="D45" s="44">
        <v>103677.47378254</v>
      </c>
      <c r="E45" s="45">
        <v>99297.51923184999</v>
      </c>
      <c r="F45" s="44">
        <v>102929.1741058</v>
      </c>
      <c r="G45" s="44">
        <v>15358.58276591</v>
      </c>
      <c r="H45" s="44">
        <v>15307.8097385</v>
      </c>
      <c r="I45" s="44">
        <v>14987.669017239996</v>
      </c>
    </row>
    <row r="46" spans="1:9" ht="14.25">
      <c r="A46" s="91" t="str">
        <f>HLOOKUP(INDICE!$F$2,Nombres!$C$3:$D$636,58,FALSE)</f>
        <v>Total assets / Liabilities and equity</v>
      </c>
      <c r="B46" s="51">
        <f aca="true" t="shared" si="7" ref="B46:I46">+B39+B40+B41+B43+B44+B45</f>
        <v>109009.92167410998</v>
      </c>
      <c r="C46" s="51">
        <f t="shared" si="7"/>
        <v>113557.66945027003</v>
      </c>
      <c r="D46" s="51">
        <f t="shared" si="7"/>
        <v>109985.47569716995</v>
      </c>
      <c r="E46" s="80">
        <f t="shared" si="7"/>
        <v>105416.3951764</v>
      </c>
      <c r="F46" s="51">
        <f t="shared" si="7"/>
        <v>109353.03537735001</v>
      </c>
      <c r="G46" s="51">
        <f t="shared" si="7"/>
        <v>31141.636079410004</v>
      </c>
      <c r="H46" s="51">
        <f t="shared" si="7"/>
        <v>31119.31534474</v>
      </c>
      <c r="I46" s="51">
        <f t="shared" si="7"/>
        <v>30834.537398389995</v>
      </c>
    </row>
    <row r="47" spans="1:9" ht="14.25">
      <c r="A47" s="88" t="str">
        <f>HLOOKUP(INDICE!$F$2,Nombres!$C$3:$D$636,59,FALSE)</f>
        <v>Financial liabilities held for trading and designated at fair value through profit or loss</v>
      </c>
      <c r="B47" s="44">
        <v>181.39863200000005</v>
      </c>
      <c r="C47" s="44">
        <v>110.11049999999999</v>
      </c>
      <c r="D47" s="44">
        <v>90.95825199999996</v>
      </c>
      <c r="E47" s="45">
        <v>71.54622399999997</v>
      </c>
      <c r="F47" s="44">
        <v>60.11018000000022</v>
      </c>
      <c r="G47" s="44">
        <v>7.505910999999773</v>
      </c>
      <c r="H47" s="44">
        <v>8.221091999999999</v>
      </c>
      <c r="I47" s="44">
        <v>83.911289</v>
      </c>
    </row>
    <row r="48" spans="1:9" ht="14.25">
      <c r="A48" s="88" t="str">
        <f>HLOOKUP(INDICE!$F$2,Nombres!$C$3:$D$636,60,FALSE)</f>
        <v>Deposits from central banks and credit institutions</v>
      </c>
      <c r="B48" s="44">
        <v>882.6989400000007</v>
      </c>
      <c r="C48" s="44">
        <v>897.9802210000012</v>
      </c>
      <c r="D48" s="44">
        <v>887.829414999998</v>
      </c>
      <c r="E48" s="45">
        <v>845.2698359999996</v>
      </c>
      <c r="F48" s="44">
        <v>858.9708349999993</v>
      </c>
      <c r="G48" s="44">
        <v>829.7628249999999</v>
      </c>
      <c r="H48" s="44">
        <v>846.620849</v>
      </c>
      <c r="I48" s="44">
        <v>825.2378679999999</v>
      </c>
    </row>
    <row r="49" spans="1:9" ht="14.25">
      <c r="A49" s="88" t="str">
        <f>HLOOKUP(INDICE!$F$2,Nombres!$C$3:$D$636,61,FALSE)</f>
        <v>Deposits from customers</v>
      </c>
      <c r="B49" s="44">
        <v>323.06331100000085</v>
      </c>
      <c r="C49" s="44">
        <v>308.4758510000023</v>
      </c>
      <c r="D49" s="44">
        <v>297.6699890000037</v>
      </c>
      <c r="E49" s="45">
        <v>362.7727920000083</v>
      </c>
      <c r="F49" s="44">
        <v>176.72810500000043</v>
      </c>
      <c r="G49" s="44">
        <v>172.892991</v>
      </c>
      <c r="H49" s="44">
        <v>179.817772</v>
      </c>
      <c r="I49" s="44">
        <v>175.186462</v>
      </c>
    </row>
    <row r="50" spans="1:9" ht="14.25">
      <c r="A50" s="43" t="str">
        <f>HLOOKUP(INDICE!$F$2,Nombres!$C$3:$D$636,62,FALSE)</f>
        <v>Debt certificates</v>
      </c>
      <c r="B50" s="44">
        <v>2575.3184890700004</v>
      </c>
      <c r="C50" s="44">
        <v>2296.0677641100006</v>
      </c>
      <c r="D50" s="44">
        <v>4161.2864997</v>
      </c>
      <c r="E50" s="45">
        <v>4344.0197249799985</v>
      </c>
      <c r="F50" s="44">
        <v>3383.116619570001</v>
      </c>
      <c r="G50" s="44">
        <v>1882.2815565000024</v>
      </c>
      <c r="H50" s="44">
        <v>1602.5345867100018</v>
      </c>
      <c r="I50" s="44">
        <v>1556.3347038600004</v>
      </c>
    </row>
    <row r="51" spans="1:9" ht="14.25">
      <c r="A51" s="88" t="str">
        <f>HLOOKUP(INDICE!$F$2,Nombres!$C$3:$D$636,122,FALSE)</f>
        <v>Inter-area positions</v>
      </c>
      <c r="B51" s="44">
        <v>4897.194646269985</v>
      </c>
      <c r="C51" s="44">
        <v>4857.093192460088</v>
      </c>
      <c r="D51" s="44">
        <v>1332.2403736899869</v>
      </c>
      <c r="E51" s="45">
        <v>63.86956714997359</v>
      </c>
      <c r="F51" s="44">
        <v>495.6647034899943</v>
      </c>
      <c r="G51" s="44">
        <v>6842.26328375001</v>
      </c>
      <c r="H51" s="44">
        <v>7279.65206851</v>
      </c>
      <c r="I51" s="44">
        <v>7758.031638010016</v>
      </c>
    </row>
    <row r="52" spans="1:9" ht="14.25">
      <c r="A52" s="43" t="str">
        <f>HLOOKUP(INDICE!$F$2,Nombres!$C$3:$D$636,63,FALSE)</f>
        <v>Other liabilities</v>
      </c>
      <c r="B52" s="44">
        <f aca="true" t="shared" si="8" ref="B52:I52">+B46-B47-B48-B49-B50-B51-B54-B53</f>
        <v>86761.56249852997</v>
      </c>
      <c r="C52" s="44">
        <f t="shared" si="8"/>
        <v>91099.97897047995</v>
      </c>
      <c r="D52" s="44">
        <f t="shared" si="8"/>
        <v>88154.75219911998</v>
      </c>
      <c r="E52" s="45">
        <f t="shared" si="8"/>
        <v>83707.30302859002</v>
      </c>
      <c r="F52" s="44">
        <f t="shared" si="8"/>
        <v>87418.23253749</v>
      </c>
      <c r="G52" s="44">
        <f t="shared" si="8"/>
        <v>5871.181720359982</v>
      </c>
      <c r="H52" s="44">
        <f t="shared" si="8"/>
        <v>6101.580429310001</v>
      </c>
      <c r="I52" s="44">
        <f t="shared" si="8"/>
        <v>6932.2378906599915</v>
      </c>
    </row>
    <row r="53" spans="1:9" ht="14.25">
      <c r="A53" s="43" t="str">
        <f>HLOOKUP(INDICE!$F$2,Nombres!$C$3:$D$636,282,FALSE)</f>
        <v>Regulatory capital allocated</v>
      </c>
      <c r="B53" s="44">
        <f>-España!B45-Mexico!B45-Turquia!B45-AdS!B45-'Resto de Negocios'!B45</f>
        <v>-35785.5598368</v>
      </c>
      <c r="C53" s="44">
        <f>-España!C45-Mexico!C45-Turquia!C45-AdS!C45-'Resto de Negocios'!C45</f>
        <v>-35566.85705479</v>
      </c>
      <c r="D53" s="44">
        <f>-España!D45-Mexico!D45-Turquia!D45-AdS!D45-'Resto de Negocios'!D45</f>
        <v>-33460.786026320005</v>
      </c>
      <c r="E53" s="45">
        <f>-España!E45-Mexico!E45-Turquia!E45-AdS!E45-'Resto de Negocios'!E45</f>
        <v>-33998.21599224</v>
      </c>
      <c r="F53" s="44">
        <f>-España!F45-Mexico!F45-Turquia!F45-AdS!F45-'Resto de Negocios'!F45</f>
        <v>-33751.07960414</v>
      </c>
      <c r="G53" s="44">
        <f>-España!G45-Mexico!G45-Turquia!G45-AdS!G45-'Resto de Negocios'!G45</f>
        <v>-34408.421212249996</v>
      </c>
      <c r="H53" s="44">
        <f>-España!H45-Mexico!H45-Turquia!H45-AdS!H45-'Resto de Negocios'!H45</f>
        <v>-35466.034445749996</v>
      </c>
      <c r="I53" s="44">
        <f>-España!I45-Mexico!I45-Turquia!I45-AdS!I45-'Resto de Negocios'!I45</f>
        <v>-35256.52044916</v>
      </c>
    </row>
    <row r="54" spans="1:9" ht="14.25">
      <c r="A54" s="88" t="str">
        <f>HLOOKUP(INDICE!$F$2,Nombres!$C$3:$D$636,150,FALSE)</f>
        <v>Total equity</v>
      </c>
      <c r="B54" s="44">
        <v>49174.24499404001</v>
      </c>
      <c r="C54" s="44">
        <v>49554.82000600999</v>
      </c>
      <c r="D54" s="44">
        <v>48521.524994980005</v>
      </c>
      <c r="E54" s="45">
        <v>50019.82999592</v>
      </c>
      <c r="F54" s="44">
        <v>50711.29200094001</v>
      </c>
      <c r="G54" s="44">
        <v>49944.16900405</v>
      </c>
      <c r="H54" s="44">
        <v>50566.92299296</v>
      </c>
      <c r="I54" s="44">
        <v>48760.11799601999</v>
      </c>
    </row>
    <row r="55" spans="1:9" ht="14.25">
      <c r="A55" s="43"/>
      <c r="B55" s="58"/>
      <c r="C55" s="58"/>
      <c r="D55" s="58"/>
      <c r="E55" s="58"/>
      <c r="F55" s="58"/>
      <c r="G55" s="58"/>
      <c r="H55" s="58"/>
      <c r="I55" s="58"/>
    </row>
    <row r="56" spans="1:9" ht="14.25">
      <c r="A56" s="43"/>
      <c r="B56" s="58"/>
      <c r="C56" s="58"/>
      <c r="D56" s="58"/>
      <c r="E56" s="58"/>
      <c r="F56" s="58"/>
      <c r="G56" s="58"/>
      <c r="H56" s="58"/>
      <c r="I56" s="58"/>
    </row>
    <row r="57" spans="1:9" ht="14.25">
      <c r="A57" s="43"/>
      <c r="B57" s="58"/>
      <c r="C57" s="58"/>
      <c r="D57" s="58"/>
      <c r="E57" s="58"/>
      <c r="F57" s="44"/>
      <c r="G57" s="44"/>
      <c r="H57" s="44"/>
      <c r="I57" s="44"/>
    </row>
    <row r="58" spans="1:9" ht="14.25">
      <c r="A58" s="43"/>
      <c r="B58" s="30"/>
      <c r="C58" s="283"/>
      <c r="D58" s="30"/>
      <c r="E58" s="30"/>
      <c r="F58" s="70"/>
      <c r="G58" s="44"/>
      <c r="H58" s="44"/>
      <c r="I58" s="44"/>
    </row>
    <row r="59" spans="1:9" ht="14.25">
      <c r="A59" s="43"/>
      <c r="B59" s="30"/>
      <c r="C59" s="53"/>
      <c r="D59" s="53"/>
      <c r="E59" s="53"/>
      <c r="F59" s="53"/>
      <c r="G59" s="53"/>
      <c r="H59" s="53"/>
      <c r="I59" s="53"/>
    </row>
    <row r="60" spans="1:9" ht="14.25">
      <c r="A60" s="43"/>
      <c r="B60" s="44"/>
      <c r="C60" s="44"/>
      <c r="D60" s="44"/>
      <c r="E60" s="44"/>
      <c r="F60" s="44"/>
      <c r="G60" s="44"/>
      <c r="H60" s="44"/>
      <c r="I60" s="44"/>
    </row>
    <row r="61" spans="1:9" ht="14.25">
      <c r="A61" s="41"/>
      <c r="B61" s="44"/>
      <c r="C61" s="44"/>
      <c r="D61" s="44"/>
      <c r="E61" s="44"/>
      <c r="F61" s="44"/>
      <c r="G61" s="44"/>
      <c r="H61" s="44"/>
      <c r="I61" s="44"/>
    </row>
    <row r="62" spans="1:9" ht="14.25">
      <c r="A62" s="43"/>
      <c r="B62" s="44"/>
      <c r="C62" s="44"/>
      <c r="D62" s="44"/>
      <c r="E62" s="44"/>
      <c r="F62" s="44"/>
      <c r="G62" s="44"/>
      <c r="H62" s="44"/>
      <c r="I62" s="44"/>
    </row>
    <row r="63" spans="1:9" ht="14.25">
      <c r="A63" s="43"/>
      <c r="B63" s="44"/>
      <c r="D63" s="44"/>
      <c r="E63" s="44"/>
      <c r="F63" s="44"/>
      <c r="G63" s="44"/>
      <c r="H63" s="44"/>
      <c r="I63" s="44"/>
    </row>
    <row r="64" spans="1:9" ht="14.25">
      <c r="A64" s="43"/>
      <c r="B64" s="44"/>
      <c r="D64" s="44"/>
      <c r="E64" s="44"/>
      <c r="F64" s="44"/>
      <c r="G64" s="44"/>
      <c r="H64" s="44"/>
      <c r="I64" s="44"/>
    </row>
    <row r="65" spans="1:9" ht="14.25">
      <c r="A65" s="62"/>
      <c r="B65" s="58"/>
      <c r="D65" s="58"/>
      <c r="E65" s="58"/>
      <c r="F65" s="44"/>
      <c r="G65" s="44"/>
      <c r="H65" s="44"/>
      <c r="I65" s="44"/>
    </row>
    <row r="66" spans="1:9" ht="14.25">
      <c r="A66" s="62"/>
      <c r="B66" s="58"/>
      <c r="D66" s="30"/>
      <c r="E66" s="30"/>
      <c r="F66" s="70"/>
      <c r="G66" s="70"/>
      <c r="H66" s="70"/>
      <c r="I66" s="70"/>
    </row>
    <row r="67" spans="1:9" ht="14.25">
      <c r="A67" s="62"/>
      <c r="B67" s="58"/>
      <c r="D67" s="30"/>
      <c r="E67" s="30"/>
      <c r="F67" s="70"/>
      <c r="G67" s="70"/>
      <c r="H67" s="70"/>
      <c r="I67" s="70"/>
    </row>
    <row r="68" spans="2:9" ht="14.25">
      <c r="B68" s="54"/>
      <c r="C68" s="54"/>
      <c r="D68" s="54"/>
      <c r="E68" s="74"/>
      <c r="F68" s="94"/>
      <c r="G68" s="82"/>
      <c r="H68" s="82"/>
      <c r="I68" s="82"/>
    </row>
    <row r="69" spans="2:9" ht="14.25">
      <c r="B69" s="54"/>
      <c r="F69" s="82"/>
      <c r="G69" s="82"/>
      <c r="H69" s="82"/>
      <c r="I69" s="82"/>
    </row>
    <row r="70" spans="2:9" ht="14.25">
      <c r="B70" s="54"/>
      <c r="F70" s="82"/>
      <c r="G70" s="82"/>
      <c r="H70" s="82"/>
      <c r="I70" s="82"/>
    </row>
    <row r="71" spans="2:9" ht="14.25">
      <c r="B71" s="54"/>
      <c r="F71" s="82"/>
      <c r="G71" s="82"/>
      <c r="H71" s="82"/>
      <c r="I71" s="82"/>
    </row>
    <row r="72" spans="2:9" ht="14.25">
      <c r="B72" s="54"/>
      <c r="F72" s="82"/>
      <c r="G72" s="82"/>
      <c r="H72" s="82"/>
      <c r="I72" s="82"/>
    </row>
    <row r="73" spans="2:9" ht="14.25">
      <c r="B73" s="54"/>
      <c r="F73" s="82"/>
      <c r="G73" s="82"/>
      <c r="H73" s="82"/>
      <c r="I73" s="82"/>
    </row>
    <row r="74" spans="2:9" ht="14.25">
      <c r="B74" s="54"/>
      <c r="F74" s="82"/>
      <c r="G74" s="82"/>
      <c r="H74" s="82"/>
      <c r="I74" s="82"/>
    </row>
    <row r="75" spans="2:9" ht="14.25">
      <c r="B75" s="54"/>
      <c r="F75" s="82"/>
      <c r="G75" s="82"/>
      <c r="H75" s="82"/>
      <c r="I75" s="82"/>
    </row>
    <row r="76" spans="6:9" ht="14.25">
      <c r="F76" s="82"/>
      <c r="G76" s="82"/>
      <c r="H76" s="82"/>
      <c r="I76" s="82"/>
    </row>
    <row r="77" spans="6:9" ht="14.25">
      <c r="F77" s="82"/>
      <c r="G77" s="82"/>
      <c r="H77" s="82"/>
      <c r="I77" s="82"/>
    </row>
    <row r="78" spans="6:9" ht="14.25">
      <c r="F78" s="82"/>
      <c r="G78" s="82"/>
      <c r="H78" s="82"/>
      <c r="I78" s="82"/>
    </row>
    <row r="79" spans="6:9" ht="14.25">
      <c r="F79" s="82"/>
      <c r="G79" s="82"/>
      <c r="H79" s="82"/>
      <c r="I79" s="82"/>
    </row>
    <row r="80" spans="6:9" ht="14.25">
      <c r="F80" s="82"/>
      <c r="G80" s="82"/>
      <c r="H80" s="82"/>
      <c r="I80" s="82"/>
    </row>
    <row r="81" spans="6:9" ht="14.25">
      <c r="F81" s="82"/>
      <c r="G81" s="82"/>
      <c r="H81" s="82"/>
      <c r="I81" s="82"/>
    </row>
    <row r="82" spans="6:9" ht="14.25">
      <c r="F82" s="82"/>
      <c r="G82" s="82"/>
      <c r="H82" s="82"/>
      <c r="I82" s="82"/>
    </row>
    <row r="83" spans="6:9" ht="14.25">
      <c r="F83" s="82"/>
      <c r="G83" s="82"/>
      <c r="H83" s="82"/>
      <c r="I83" s="82"/>
    </row>
    <row r="84" spans="6:9" ht="14.25">
      <c r="F84" s="82"/>
      <c r="G84" s="82"/>
      <c r="H84" s="82"/>
      <c r="I84" s="82"/>
    </row>
    <row r="85" spans="6:9" ht="14.25">
      <c r="F85" s="82"/>
      <c r="G85" s="82"/>
      <c r="H85" s="82"/>
      <c r="I85" s="82"/>
    </row>
    <row r="86" spans="6:9" ht="14.25">
      <c r="F86" s="82"/>
      <c r="G86" s="82"/>
      <c r="H86" s="82"/>
      <c r="I86" s="82"/>
    </row>
    <row r="87" spans="6:9" ht="14.25">
      <c r="F87" s="82"/>
      <c r="G87" s="82"/>
      <c r="H87" s="82"/>
      <c r="I87" s="82"/>
    </row>
    <row r="88" spans="6:9" ht="14.25">
      <c r="F88" s="82"/>
      <c r="G88" s="82"/>
      <c r="H88" s="82"/>
      <c r="I88" s="82"/>
    </row>
    <row r="89" spans="6:9" ht="14.25">
      <c r="F89" s="82"/>
      <c r="G89" s="82"/>
      <c r="H89" s="82"/>
      <c r="I89" s="82"/>
    </row>
    <row r="90" spans="6:9" ht="14.25">
      <c r="F90" s="82"/>
      <c r="G90" s="82"/>
      <c r="H90" s="82"/>
      <c r="I90" s="82"/>
    </row>
    <row r="91" spans="6:9" ht="14.25">
      <c r="F91" s="82"/>
      <c r="G91" s="82"/>
      <c r="H91" s="82"/>
      <c r="I91" s="82"/>
    </row>
    <row r="92" spans="6:9" ht="14.25">
      <c r="F92" s="82"/>
      <c r="G92" s="82"/>
      <c r="H92" s="82"/>
      <c r="I92" s="82"/>
    </row>
    <row r="93" spans="6:9" ht="14.25">
      <c r="F93" s="82"/>
      <c r="G93" s="82"/>
      <c r="H93" s="82"/>
      <c r="I93" s="82"/>
    </row>
    <row r="94" spans="6:9" ht="14.25">
      <c r="F94" s="82"/>
      <c r="G94" s="82"/>
      <c r="H94" s="82"/>
      <c r="I94" s="82"/>
    </row>
    <row r="95" spans="6:9" ht="14.25">
      <c r="F95" s="82"/>
      <c r="G95" s="82"/>
      <c r="H95" s="82"/>
      <c r="I95" s="82"/>
    </row>
    <row r="96" spans="6:9" ht="14.25">
      <c r="F96" s="82"/>
      <c r="G96" s="82"/>
      <c r="H96" s="82"/>
      <c r="I96" s="82"/>
    </row>
    <row r="97" spans="6:9" ht="14.25">
      <c r="F97" s="82"/>
      <c r="G97" s="82"/>
      <c r="H97" s="82"/>
      <c r="I97" s="82"/>
    </row>
    <row r="98" spans="6:9" ht="14.25">
      <c r="F98" s="82"/>
      <c r="G98" s="82"/>
      <c r="H98" s="82"/>
      <c r="I98" s="82"/>
    </row>
    <row r="99" spans="6:9" ht="14.25">
      <c r="F99" s="82"/>
      <c r="G99" s="82"/>
      <c r="H99" s="82"/>
      <c r="I99" s="82"/>
    </row>
    <row r="100" spans="6:9" ht="14.25">
      <c r="F100" s="82"/>
      <c r="G100" s="82"/>
      <c r="H100" s="82"/>
      <c r="I100" s="82"/>
    </row>
    <row r="101" spans="6:9" ht="14.25">
      <c r="F101" s="82"/>
      <c r="G101" s="82"/>
      <c r="H101" s="82"/>
      <c r="I101" s="82"/>
    </row>
    <row r="102" spans="6:9" ht="14.25">
      <c r="F102" s="82"/>
      <c r="G102" s="82"/>
      <c r="H102" s="82"/>
      <c r="I102" s="82"/>
    </row>
    <row r="103" spans="6:9" ht="14.25">
      <c r="F103" s="82"/>
      <c r="G103" s="82"/>
      <c r="H103" s="82"/>
      <c r="I103" s="82"/>
    </row>
    <row r="104" spans="6:9" ht="14.25">
      <c r="F104" s="82"/>
      <c r="G104" s="82"/>
      <c r="H104" s="82"/>
      <c r="I104" s="82"/>
    </row>
    <row r="105" spans="6:9" ht="14.25">
      <c r="F105" s="82"/>
      <c r="G105" s="82"/>
      <c r="H105" s="82"/>
      <c r="I105" s="82"/>
    </row>
    <row r="106" spans="6:9" ht="14.25">
      <c r="F106" s="82"/>
      <c r="G106" s="82"/>
      <c r="H106" s="82"/>
      <c r="I106" s="82"/>
    </row>
    <row r="107" spans="6:9" ht="14.25">
      <c r="F107" s="82"/>
      <c r="G107" s="82"/>
      <c r="H107" s="82"/>
      <c r="I107" s="82"/>
    </row>
    <row r="108" spans="6:9" ht="14.25">
      <c r="F108" s="82"/>
      <c r="G108" s="82"/>
      <c r="H108" s="82"/>
      <c r="I108" s="82"/>
    </row>
    <row r="109" spans="6:9" ht="14.25">
      <c r="F109" s="82"/>
      <c r="G109" s="82"/>
      <c r="H109" s="82"/>
      <c r="I109" s="82"/>
    </row>
    <row r="110" spans="6:9" ht="14.25">
      <c r="F110" s="82"/>
      <c r="G110" s="82"/>
      <c r="H110" s="82"/>
      <c r="I110" s="82"/>
    </row>
    <row r="111" spans="6:9" ht="14.25">
      <c r="F111" s="82"/>
      <c r="G111" s="82"/>
      <c r="H111" s="82"/>
      <c r="I111" s="82"/>
    </row>
    <row r="112" spans="6:9" ht="14.25">
      <c r="F112" s="82"/>
      <c r="G112" s="82"/>
      <c r="H112" s="82"/>
      <c r="I112" s="82"/>
    </row>
    <row r="113" spans="6:9" ht="14.25">
      <c r="F113" s="82"/>
      <c r="G113" s="82"/>
      <c r="H113" s="82"/>
      <c r="I113" s="82"/>
    </row>
    <row r="122" spans="6:9" ht="14.25">
      <c r="F122" s="82"/>
      <c r="G122" s="82"/>
      <c r="H122" s="82"/>
      <c r="I122" s="82"/>
    </row>
    <row r="123" spans="6:9" ht="14.25">
      <c r="F123" s="82"/>
      <c r="G123" s="82"/>
      <c r="H123" s="82"/>
      <c r="I123" s="82"/>
    </row>
    <row r="124" spans="6:9" ht="14.25">
      <c r="F124" s="82"/>
      <c r="G124" s="82"/>
      <c r="H124" s="82"/>
      <c r="I124" s="82"/>
    </row>
    <row r="125" spans="6:9" ht="14.25">
      <c r="F125" s="82"/>
      <c r="G125" s="82"/>
      <c r="H125" s="82"/>
      <c r="I125" s="82"/>
    </row>
    <row r="126" spans="6:9" ht="14.25">
      <c r="F126" s="82"/>
      <c r="G126" s="82"/>
      <c r="H126" s="82"/>
      <c r="I126" s="82"/>
    </row>
    <row r="127" spans="6:9" ht="14.25">
      <c r="F127" s="82"/>
      <c r="G127" s="82"/>
      <c r="H127" s="82"/>
      <c r="I127" s="82"/>
    </row>
    <row r="128" spans="6:9" ht="14.25">
      <c r="F128" s="82"/>
      <c r="G128" s="82"/>
      <c r="H128" s="82"/>
      <c r="I128" s="82"/>
    </row>
    <row r="129" spans="6:9" ht="14.25">
      <c r="F129" s="82"/>
      <c r="G129" s="82"/>
      <c r="H129" s="82"/>
      <c r="I129" s="82"/>
    </row>
    <row r="130" spans="6:9" ht="14.25">
      <c r="F130" s="82"/>
      <c r="G130" s="82"/>
      <c r="H130" s="82"/>
      <c r="I130" s="82"/>
    </row>
    <row r="131" spans="6:9" ht="14.25">
      <c r="F131" s="82"/>
      <c r="G131" s="82"/>
      <c r="H131" s="82"/>
      <c r="I131" s="82"/>
    </row>
    <row r="132" spans="6:9" ht="14.25">
      <c r="F132" s="82"/>
      <c r="G132" s="82"/>
      <c r="H132" s="82"/>
      <c r="I132" s="82"/>
    </row>
    <row r="133" spans="6:9" ht="14.25">
      <c r="F133" s="82"/>
      <c r="G133" s="82"/>
      <c r="H133" s="82"/>
      <c r="I133" s="82"/>
    </row>
    <row r="134" spans="6:9" ht="14.25">
      <c r="F134" s="82"/>
      <c r="G134" s="82"/>
      <c r="H134" s="82"/>
      <c r="I134" s="82"/>
    </row>
    <row r="135" spans="6:9" ht="14.25">
      <c r="F135" s="82"/>
      <c r="G135" s="82"/>
      <c r="H135" s="82"/>
      <c r="I135" s="82"/>
    </row>
    <row r="136" spans="6:9" ht="14.25">
      <c r="F136" s="82"/>
      <c r="G136" s="82"/>
      <c r="H136" s="82"/>
      <c r="I136" s="82"/>
    </row>
    <row r="137" spans="6:9" ht="14.25">
      <c r="F137" s="82"/>
      <c r="G137" s="82"/>
      <c r="H137" s="82"/>
      <c r="I137" s="82"/>
    </row>
    <row r="138" spans="6:9" ht="14.25">
      <c r="F138" s="82"/>
      <c r="G138" s="82"/>
      <c r="H138" s="82"/>
      <c r="I138" s="82"/>
    </row>
    <row r="139" spans="6:9" ht="14.25">
      <c r="F139" s="82"/>
      <c r="G139" s="82"/>
      <c r="H139" s="82"/>
      <c r="I139" s="82"/>
    </row>
    <row r="140" spans="6:9" ht="14.25">
      <c r="F140" s="82"/>
      <c r="G140" s="82"/>
      <c r="H140" s="82"/>
      <c r="I140" s="82"/>
    </row>
    <row r="141" spans="6:9" ht="14.25">
      <c r="F141" s="82"/>
      <c r="G141" s="82"/>
      <c r="H141" s="82"/>
      <c r="I141" s="82"/>
    </row>
    <row r="142" spans="6:9" ht="14.25">
      <c r="F142" s="82"/>
      <c r="G142" s="82"/>
      <c r="H142" s="82"/>
      <c r="I142" s="82"/>
    </row>
    <row r="143" spans="6:9" ht="14.25">
      <c r="F143" s="82"/>
      <c r="G143" s="82"/>
      <c r="H143" s="82"/>
      <c r="I143" s="82"/>
    </row>
    <row r="144" spans="6:9" ht="14.25">
      <c r="F144" s="82"/>
      <c r="G144" s="82"/>
      <c r="H144" s="82"/>
      <c r="I144" s="82"/>
    </row>
    <row r="145" spans="6:9" ht="14.25">
      <c r="F145" s="82"/>
      <c r="G145" s="82"/>
      <c r="H145" s="82"/>
      <c r="I145" s="82"/>
    </row>
    <row r="146" spans="6:9" ht="14.25">
      <c r="F146" s="82"/>
      <c r="G146" s="82"/>
      <c r="H146" s="82"/>
      <c r="I146" s="82"/>
    </row>
    <row r="147" spans="6:9" ht="14.25">
      <c r="F147" s="82"/>
      <c r="G147" s="82"/>
      <c r="H147" s="82"/>
      <c r="I147" s="82"/>
    </row>
    <row r="148" spans="6:9" ht="14.25">
      <c r="F148" s="82"/>
      <c r="G148" s="82"/>
      <c r="H148" s="82"/>
      <c r="I148" s="82"/>
    </row>
    <row r="149" spans="6:9" ht="14.25">
      <c r="F149" s="82"/>
      <c r="G149" s="82"/>
      <c r="H149" s="82"/>
      <c r="I149" s="82"/>
    </row>
    <row r="150" spans="6:9" ht="14.25">
      <c r="F150" s="82"/>
      <c r="G150" s="82"/>
      <c r="H150" s="82"/>
      <c r="I150" s="82"/>
    </row>
    <row r="151" spans="6:9" ht="14.25">
      <c r="F151" s="82"/>
      <c r="G151" s="82"/>
      <c r="H151" s="82"/>
      <c r="I151" s="82"/>
    </row>
    <row r="152" spans="6:9" ht="14.25">
      <c r="F152" s="82"/>
      <c r="G152" s="82"/>
      <c r="H152" s="82"/>
      <c r="I152" s="82"/>
    </row>
    <row r="153" spans="6:9" ht="14.25">
      <c r="F153" s="82"/>
      <c r="G153" s="82"/>
      <c r="H153" s="82"/>
      <c r="I153" s="82"/>
    </row>
    <row r="154" spans="6:9" ht="14.25">
      <c r="F154" s="82"/>
      <c r="G154" s="82"/>
      <c r="H154" s="82"/>
      <c r="I154" s="82"/>
    </row>
    <row r="155" spans="6:9" ht="14.25">
      <c r="F155" s="82"/>
      <c r="G155" s="82"/>
      <c r="H155" s="82"/>
      <c r="I155" s="82"/>
    </row>
    <row r="156" spans="6:9" ht="14.25">
      <c r="F156" s="82"/>
      <c r="G156" s="82"/>
      <c r="H156" s="82"/>
      <c r="I156" s="82"/>
    </row>
    <row r="157" spans="6:9" ht="14.25">
      <c r="F157" s="82"/>
      <c r="G157" s="82"/>
      <c r="H157" s="82"/>
      <c r="I157" s="82"/>
    </row>
    <row r="158" spans="6:9" ht="14.25">
      <c r="F158" s="82"/>
      <c r="G158" s="82"/>
      <c r="H158" s="82"/>
      <c r="I158" s="82"/>
    </row>
    <row r="159" spans="6:9" ht="14.25">
      <c r="F159" s="82"/>
      <c r="G159" s="82"/>
      <c r="H159" s="82"/>
      <c r="I159" s="82"/>
    </row>
    <row r="160" spans="6:9" ht="14.25">
      <c r="F160" s="82"/>
      <c r="G160" s="82"/>
      <c r="H160" s="82"/>
      <c r="I160" s="82"/>
    </row>
    <row r="161" spans="6:9" ht="14.25">
      <c r="F161" s="82"/>
      <c r="G161" s="82"/>
      <c r="H161" s="82"/>
      <c r="I161" s="82"/>
    </row>
    <row r="162" spans="6:9" ht="14.25">
      <c r="F162" s="82"/>
      <c r="G162" s="82"/>
      <c r="H162" s="82"/>
      <c r="I162" s="82"/>
    </row>
    <row r="163" spans="6:9" ht="14.25">
      <c r="F163" s="82"/>
      <c r="G163" s="82"/>
      <c r="H163" s="82"/>
      <c r="I163" s="82"/>
    </row>
    <row r="164" spans="6:9" ht="14.25">
      <c r="F164" s="82"/>
      <c r="G164" s="82"/>
      <c r="H164" s="82"/>
      <c r="I164" s="82"/>
    </row>
    <row r="165" spans="6:9" ht="14.25">
      <c r="F165" s="82"/>
      <c r="G165" s="82"/>
      <c r="H165" s="82"/>
      <c r="I165" s="82"/>
    </row>
    <row r="166" spans="6:9" ht="14.25">
      <c r="F166" s="82"/>
      <c r="G166" s="82"/>
      <c r="H166" s="82"/>
      <c r="I166" s="82"/>
    </row>
    <row r="167" spans="6:9" ht="14.25">
      <c r="F167" s="82"/>
      <c r="G167" s="82"/>
      <c r="H167" s="82"/>
      <c r="I167" s="82"/>
    </row>
    <row r="168" spans="6:9" ht="14.25">
      <c r="F168" s="82"/>
      <c r="G168" s="82"/>
      <c r="H168" s="82"/>
      <c r="I168" s="82"/>
    </row>
  </sheetData>
  <sheetProtection/>
  <mergeCells count="4">
    <mergeCell ref="B6:E6"/>
    <mergeCell ref="F6:I6"/>
    <mergeCell ref="A32:I32"/>
    <mergeCell ref="A33:I33"/>
  </mergeCells>
  <conditionalFormatting sqref="B34:I34">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I1000"/>
  <sheetViews>
    <sheetView showGridLines="0" zoomScalePageLayoutView="0" workbookViewId="0" topLeftCell="A1">
      <selection activeCell="A1" sqref="A1"/>
    </sheetView>
  </sheetViews>
  <sheetFormatPr defaultColWidth="11.421875" defaultRowHeight="15"/>
  <cols>
    <col min="1" max="1" width="62.00390625" style="31" customWidth="1"/>
    <col min="2" max="16384" width="11.421875" style="31" customWidth="1"/>
  </cols>
  <sheetData>
    <row r="1" spans="1:9" ht="16.5">
      <c r="A1" s="29" t="str">
        <f>HLOOKUP(INDICE!$F$2,Nombres!$C$3:$D$636,280,FALSE)</f>
        <v>Corporate &amp; Investment Banking (*)</v>
      </c>
      <c r="B1" s="30"/>
      <c r="C1" s="30"/>
      <c r="D1" s="30"/>
      <c r="E1" s="30"/>
      <c r="F1" s="30"/>
      <c r="G1" s="30"/>
      <c r="H1" s="30"/>
      <c r="I1" s="30"/>
    </row>
    <row r="2" spans="1:9" ht="14.25">
      <c r="A2" s="305" t="str">
        <f>HLOOKUP(INDICE!$F$2,Nombres!$C$3:$D$636,281,FALSE)</f>
        <v>(*) Excludes  the CIB Business sold to PNC.</v>
      </c>
      <c r="B2" s="305"/>
      <c r="C2" s="305"/>
      <c r="D2" s="305"/>
      <c r="E2" s="305"/>
      <c r="F2" s="305"/>
      <c r="G2" s="305"/>
      <c r="H2" s="305"/>
      <c r="I2" s="305"/>
    </row>
    <row r="3" spans="1:9" ht="16.5">
      <c r="A3" s="33" t="str">
        <f>HLOOKUP(INDICE!$F$2,Nombres!$C$3:$D$636,31,FALSE)</f>
        <v>Income statement  </v>
      </c>
      <c r="B3" s="34"/>
      <c r="C3" s="34"/>
      <c r="D3" s="34"/>
      <c r="E3" s="34"/>
      <c r="F3" s="34"/>
      <c r="G3" s="34"/>
      <c r="H3" s="34"/>
      <c r="I3" s="34"/>
    </row>
    <row r="4" spans="1:9" ht="14.25">
      <c r="A4" s="35"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4.25">
      <c r="A8" s="41" t="str">
        <f>HLOOKUP(INDICE!$F$2,Nombres!$C$3:$D$636,33,FALSE)</f>
        <v>Net interest income</v>
      </c>
      <c r="B8" s="41">
        <v>357.56602584</v>
      </c>
      <c r="C8" s="41">
        <v>394.77856554999994</v>
      </c>
      <c r="D8" s="41">
        <v>358.52760286</v>
      </c>
      <c r="E8" s="42">
        <v>370.95510364000006</v>
      </c>
      <c r="F8" s="50">
        <v>381.29258699</v>
      </c>
      <c r="G8" s="50">
        <v>370.54351188</v>
      </c>
      <c r="H8" s="50">
        <v>403.88620781000003</v>
      </c>
      <c r="I8" s="50">
        <v>420.02184434000003</v>
      </c>
    </row>
    <row r="9" spans="1:9" ht="14.25">
      <c r="A9" s="43" t="str">
        <f>HLOOKUP(INDICE!$F$2,Nombres!$C$3:$D$636,34,FALSE)</f>
        <v>Net fees and commissions</v>
      </c>
      <c r="B9" s="44">
        <v>184.48124925</v>
      </c>
      <c r="C9" s="44">
        <v>199.18133853</v>
      </c>
      <c r="D9" s="44">
        <v>195.67699916000004</v>
      </c>
      <c r="E9" s="45">
        <v>171.61122332000002</v>
      </c>
      <c r="F9" s="44">
        <v>192.20334071999997</v>
      </c>
      <c r="G9" s="44">
        <v>194.29422526</v>
      </c>
      <c r="H9" s="44">
        <v>196.41635784000005</v>
      </c>
      <c r="I9" s="44">
        <v>210.81020989</v>
      </c>
    </row>
    <row r="10" spans="1:9" ht="14.25">
      <c r="A10" s="43" t="str">
        <f>HLOOKUP(INDICE!$F$2,Nombres!$C$3:$D$636,35,FALSE)</f>
        <v>Net trading income</v>
      </c>
      <c r="B10" s="44">
        <v>171.79554944</v>
      </c>
      <c r="C10" s="44">
        <v>220.95454060000006</v>
      </c>
      <c r="D10" s="44">
        <v>201.53798054</v>
      </c>
      <c r="E10" s="45">
        <v>144.56472738</v>
      </c>
      <c r="F10" s="44">
        <v>272.72820229999996</v>
      </c>
      <c r="G10" s="44">
        <v>227.23399022</v>
      </c>
      <c r="H10" s="44">
        <v>135.55511238000003</v>
      </c>
      <c r="I10" s="44">
        <v>269.87177845</v>
      </c>
    </row>
    <row r="11" spans="1:9" ht="14.25">
      <c r="A11" s="43" t="str">
        <f>HLOOKUP(INDICE!$F$2,Nombres!$C$3:$D$636,36,FALSE)</f>
        <v>Other operating income and expenses</v>
      </c>
      <c r="B11" s="44">
        <v>-11.649163249999999</v>
      </c>
      <c r="C11" s="44">
        <v>-8.8943631</v>
      </c>
      <c r="D11" s="44">
        <v>-8.124054129999998</v>
      </c>
      <c r="E11" s="45">
        <v>-9.119876120000004</v>
      </c>
      <c r="F11" s="44">
        <v>-10.777639520000001</v>
      </c>
      <c r="G11" s="44">
        <v>-6.95802839</v>
      </c>
      <c r="H11" s="44">
        <v>-10.40183254</v>
      </c>
      <c r="I11" s="44">
        <v>-11.782524430000002</v>
      </c>
    </row>
    <row r="12" spans="1:9" ht="14.25">
      <c r="A12" s="41" t="str">
        <f>HLOOKUP(INDICE!$F$2,Nombres!$C$3:$D$636,37,FALSE)</f>
        <v>Gross income</v>
      </c>
      <c r="B12" s="41">
        <f>+SUM(B8:B11)</f>
        <v>702.1936612799999</v>
      </c>
      <c r="C12" s="41">
        <f aca="true" t="shared" si="0" ref="C12:I12">+SUM(C8:C11)</f>
        <v>806.02008158</v>
      </c>
      <c r="D12" s="41">
        <f t="shared" si="0"/>
        <v>747.6185284300001</v>
      </c>
      <c r="E12" s="42">
        <f t="shared" si="0"/>
        <v>678.0111782200001</v>
      </c>
      <c r="F12" s="50">
        <f t="shared" si="0"/>
        <v>835.44649049</v>
      </c>
      <c r="G12" s="50">
        <f t="shared" si="0"/>
        <v>785.11369897</v>
      </c>
      <c r="H12" s="50">
        <f t="shared" si="0"/>
        <v>725.4558454900002</v>
      </c>
      <c r="I12" s="50">
        <f t="shared" si="0"/>
        <v>888.92130825</v>
      </c>
    </row>
    <row r="13" spans="1:9" ht="14.25">
      <c r="A13" s="43" t="str">
        <f>HLOOKUP(INDICE!$F$2,Nombres!$C$3:$D$636,38,FALSE)</f>
        <v>Operating expenses</v>
      </c>
      <c r="B13" s="44">
        <v>-253.82480341000002</v>
      </c>
      <c r="C13" s="44">
        <v>-197.58986168</v>
      </c>
      <c r="D13" s="44">
        <v>-219.17793269999999</v>
      </c>
      <c r="E13" s="45">
        <v>-251.79492152000003</v>
      </c>
      <c r="F13" s="44">
        <v>-231.51141617000002</v>
      </c>
      <c r="G13" s="44">
        <v>-234.94686456</v>
      </c>
      <c r="H13" s="44">
        <v>-235.15196282000005</v>
      </c>
      <c r="I13" s="44">
        <v>-285.07906249999996</v>
      </c>
    </row>
    <row r="14" spans="1:9" ht="14.25">
      <c r="A14" s="43" t="str">
        <f>HLOOKUP(INDICE!$F$2,Nombres!$C$3:$D$636,39,FALSE)</f>
        <v>  Administration expenses</v>
      </c>
      <c r="B14" s="44">
        <v>-224.32390685</v>
      </c>
      <c r="C14" s="44">
        <v>-168.29633151</v>
      </c>
      <c r="D14" s="44">
        <v>-190.31110582999997</v>
      </c>
      <c r="E14" s="45">
        <v>-224.27593569000004</v>
      </c>
      <c r="F14" s="44">
        <v>-204.50501931999997</v>
      </c>
      <c r="G14" s="44">
        <v>-207.86738302</v>
      </c>
      <c r="H14" s="44">
        <v>-207.84041636</v>
      </c>
      <c r="I14" s="44">
        <v>-258.98046625</v>
      </c>
    </row>
    <row r="15" spans="1:9" ht="14.25">
      <c r="A15" s="46" t="str">
        <f>HLOOKUP(INDICE!$F$2,Nombres!$C$3:$D$636,40,FALSE)</f>
        <v>  Personnel expenses</v>
      </c>
      <c r="B15" s="44">
        <v>-119.93243466</v>
      </c>
      <c r="C15" s="44">
        <v>-74.66623368</v>
      </c>
      <c r="D15" s="44">
        <v>-89.29042893</v>
      </c>
      <c r="E15" s="45">
        <v>-125.25417997</v>
      </c>
      <c r="F15" s="44">
        <v>-106.12042787000001</v>
      </c>
      <c r="G15" s="44">
        <v>-106.18169408000001</v>
      </c>
      <c r="H15" s="44">
        <v>-111.42435185000001</v>
      </c>
      <c r="I15" s="44">
        <v>-150.41261334</v>
      </c>
    </row>
    <row r="16" spans="1:9" ht="14.25">
      <c r="A16" s="46" t="str">
        <f>HLOOKUP(INDICE!$F$2,Nombres!$C$3:$D$636,41,FALSE)</f>
        <v>  General and administrative expenses</v>
      </c>
      <c r="B16" s="44">
        <v>-104.39147219</v>
      </c>
      <c r="C16" s="44">
        <v>-93.63009783</v>
      </c>
      <c r="D16" s="44">
        <v>-101.02067689999998</v>
      </c>
      <c r="E16" s="45">
        <v>-99.02175572000002</v>
      </c>
      <c r="F16" s="44">
        <v>-98.38459144999996</v>
      </c>
      <c r="G16" s="44">
        <v>-101.68568894000002</v>
      </c>
      <c r="H16" s="44">
        <v>-96.41606451000001</v>
      </c>
      <c r="I16" s="44">
        <v>-108.56785290999998</v>
      </c>
    </row>
    <row r="17" spans="1:9" ht="14.25">
      <c r="A17" s="43" t="str">
        <f>HLOOKUP(INDICE!$F$2,Nombres!$C$3:$D$636,42,FALSE)</f>
        <v>  Depreciation</v>
      </c>
      <c r="B17" s="44">
        <v>-29.50089656</v>
      </c>
      <c r="C17" s="44">
        <v>-29.293530169999997</v>
      </c>
      <c r="D17" s="44">
        <v>-28.866826870000004</v>
      </c>
      <c r="E17" s="45">
        <v>-27.518985829999995</v>
      </c>
      <c r="F17" s="44">
        <v>-27.006396849999998</v>
      </c>
      <c r="G17" s="44">
        <v>-27.07948154</v>
      </c>
      <c r="H17" s="44">
        <v>-27.311546460000002</v>
      </c>
      <c r="I17" s="44">
        <v>-26.098596249999996</v>
      </c>
    </row>
    <row r="18" spans="1:9" ht="14.25">
      <c r="A18" s="41" t="str">
        <f>HLOOKUP(INDICE!$F$2,Nombres!$C$3:$D$636,43,FALSE)</f>
        <v>Operating income</v>
      </c>
      <c r="B18" s="41">
        <f>+B12+B13</f>
        <v>448.3688578699999</v>
      </c>
      <c r="C18" s="41">
        <f aca="true" t="shared" si="1" ref="C18:I18">+C12+C13</f>
        <v>608.4302199</v>
      </c>
      <c r="D18" s="41">
        <f t="shared" si="1"/>
        <v>528.44059573</v>
      </c>
      <c r="E18" s="42">
        <f t="shared" si="1"/>
        <v>426.21625670000014</v>
      </c>
      <c r="F18" s="50">
        <f t="shared" si="1"/>
        <v>603.93507432</v>
      </c>
      <c r="G18" s="50">
        <f t="shared" si="1"/>
        <v>550.16683441</v>
      </c>
      <c r="H18" s="50">
        <f t="shared" si="1"/>
        <v>490.3038826700002</v>
      </c>
      <c r="I18" s="50">
        <f t="shared" si="1"/>
        <v>603.8422457500001</v>
      </c>
    </row>
    <row r="19" spans="1:9" ht="14.25">
      <c r="A19" s="43" t="str">
        <f>HLOOKUP(INDICE!$F$2,Nombres!$C$3:$D$636,44,FALSE)</f>
        <v>Impaiment on financial assets not measured at fair value through profit or loss</v>
      </c>
      <c r="B19" s="44">
        <v>-206.98898181</v>
      </c>
      <c r="C19" s="44">
        <v>-111.12452154</v>
      </c>
      <c r="D19" s="44">
        <v>-24.82528512000001</v>
      </c>
      <c r="E19" s="45">
        <v>-110.60543652000001</v>
      </c>
      <c r="F19" s="44">
        <v>-42.86934371000001</v>
      </c>
      <c r="G19" s="44">
        <v>-10.941994219999991</v>
      </c>
      <c r="H19" s="44">
        <v>40.77339573999997</v>
      </c>
      <c r="I19" s="44">
        <v>-55.626966719999984</v>
      </c>
    </row>
    <row r="20" spans="1:9" ht="14.25">
      <c r="A20" s="43" t="str">
        <f>HLOOKUP(INDICE!$F$2,Nombres!$C$3:$D$636,45,FALSE)</f>
        <v>Provisions or reversal of provisions and other results</v>
      </c>
      <c r="B20" s="44">
        <v>7.3410485700000025</v>
      </c>
      <c r="C20" s="44">
        <v>-23.24987413</v>
      </c>
      <c r="D20" s="44">
        <v>-27.652123720000002</v>
      </c>
      <c r="E20" s="45">
        <v>-10.72368814</v>
      </c>
      <c r="F20" s="44">
        <v>-22.13165421</v>
      </c>
      <c r="G20" s="44">
        <v>5.69190444</v>
      </c>
      <c r="H20" s="44">
        <v>16.47833947</v>
      </c>
      <c r="I20" s="44">
        <v>-11.748136590000003</v>
      </c>
    </row>
    <row r="21" spans="1:9" ht="14.25">
      <c r="A21" s="41" t="str">
        <f>HLOOKUP(INDICE!$F$2,Nombres!$C$3:$D$636,46,FALSE)</f>
        <v>Profit/(loss) before tax</v>
      </c>
      <c r="B21" s="41">
        <f>+B18+B19+B20</f>
        <v>248.72092462999987</v>
      </c>
      <c r="C21" s="41">
        <f aca="true" t="shared" si="2" ref="C21:I21">+C18+C19+C20</f>
        <v>474.05582423</v>
      </c>
      <c r="D21" s="41">
        <f t="shared" si="2"/>
        <v>475.96318689000003</v>
      </c>
      <c r="E21" s="42">
        <f t="shared" si="2"/>
        <v>304.88713204000015</v>
      </c>
      <c r="F21" s="50">
        <f t="shared" si="2"/>
        <v>538.9340764</v>
      </c>
      <c r="G21" s="50">
        <f t="shared" si="2"/>
        <v>544.91674463</v>
      </c>
      <c r="H21" s="50">
        <f t="shared" si="2"/>
        <v>547.5556178800002</v>
      </c>
      <c r="I21" s="50">
        <f t="shared" si="2"/>
        <v>536.4671424400001</v>
      </c>
    </row>
    <row r="22" spans="1:9" ht="14.25">
      <c r="A22" s="43" t="str">
        <f>HLOOKUP(INDICE!$F$2,Nombres!$C$3:$D$636,47,FALSE)</f>
        <v>Income tax</v>
      </c>
      <c r="B22" s="44">
        <v>-62.52903628000002</v>
      </c>
      <c r="C22" s="44">
        <v>-133.77168296</v>
      </c>
      <c r="D22" s="44">
        <v>-125.83911237999996</v>
      </c>
      <c r="E22" s="45">
        <v>-72.18783151999999</v>
      </c>
      <c r="F22" s="44">
        <v>-138.08503040000002</v>
      </c>
      <c r="G22" s="44">
        <v>-164.68503557999998</v>
      </c>
      <c r="H22" s="44">
        <v>-154.18430452</v>
      </c>
      <c r="I22" s="44">
        <v>-135.92031631</v>
      </c>
    </row>
    <row r="23" spans="1:9" ht="14.25">
      <c r="A23" s="41" t="str">
        <f>HLOOKUP(INDICE!$F$2,Nombres!$C$3:$D$636,48,FALSE)</f>
        <v>Profit/(loss) for the year</v>
      </c>
      <c r="B23" s="41">
        <f>+B21+B22</f>
        <v>186.19188834999986</v>
      </c>
      <c r="C23" s="41">
        <f aca="true" t="shared" si="3" ref="C23:I23">+C21+C22</f>
        <v>340.28414126999996</v>
      </c>
      <c r="D23" s="41">
        <f t="shared" si="3"/>
        <v>350.12407451000007</v>
      </c>
      <c r="E23" s="42">
        <f t="shared" si="3"/>
        <v>232.69930052000018</v>
      </c>
      <c r="F23" s="50">
        <f t="shared" si="3"/>
        <v>400.84904599999993</v>
      </c>
      <c r="G23" s="50">
        <f t="shared" si="3"/>
        <v>380.23170905000006</v>
      </c>
      <c r="H23" s="50">
        <f t="shared" si="3"/>
        <v>393.3713133600002</v>
      </c>
      <c r="I23" s="50">
        <f t="shared" si="3"/>
        <v>400.5468261300001</v>
      </c>
    </row>
    <row r="24" spans="1:9" ht="14.25">
      <c r="A24" s="43" t="str">
        <f>HLOOKUP(INDICE!$F$2,Nombres!$C$3:$D$636,49,FALSE)</f>
        <v>Non-controlling interests</v>
      </c>
      <c r="B24" s="44">
        <v>-24.241784989999996</v>
      </c>
      <c r="C24" s="44">
        <v>-63.656055300000006</v>
      </c>
      <c r="D24" s="44">
        <v>-83.11364824</v>
      </c>
      <c r="E24" s="45">
        <v>-49.14954062999999</v>
      </c>
      <c r="F24" s="44">
        <v>-77.89472169999999</v>
      </c>
      <c r="G24" s="44">
        <v>-64.79629771</v>
      </c>
      <c r="H24" s="44">
        <v>-77.18137475</v>
      </c>
      <c r="I24" s="44">
        <v>-106.67130897000001</v>
      </c>
    </row>
    <row r="25" spans="1:9" ht="14.25">
      <c r="A25" s="47" t="str">
        <f>HLOOKUP(INDICE!$F$2,Nombres!$C$3:$D$636,50,FALSE)</f>
        <v>Net attributable profit</v>
      </c>
      <c r="B25" s="47">
        <f>+B23+B24</f>
        <v>161.95010335999987</v>
      </c>
      <c r="C25" s="47">
        <f aca="true" t="shared" si="4" ref="C25:I25">+C23+C24</f>
        <v>276.62808597</v>
      </c>
      <c r="D25" s="47">
        <f t="shared" si="4"/>
        <v>267.01042627000004</v>
      </c>
      <c r="E25" s="47">
        <f t="shared" si="4"/>
        <v>183.5497598900002</v>
      </c>
      <c r="F25" s="51">
        <f t="shared" si="4"/>
        <v>322.95432429999994</v>
      </c>
      <c r="G25" s="51">
        <f t="shared" si="4"/>
        <v>315.4354113400001</v>
      </c>
      <c r="H25" s="51">
        <f t="shared" si="4"/>
        <v>316.18993861000024</v>
      </c>
      <c r="I25" s="51">
        <f t="shared" si="4"/>
        <v>293.8755171600001</v>
      </c>
    </row>
    <row r="26" spans="1:9" ht="14.25">
      <c r="A26" s="305"/>
      <c r="B26" s="305"/>
      <c r="C26" s="305"/>
      <c r="D26" s="305"/>
      <c r="E26" s="305"/>
      <c r="F26" s="305"/>
      <c r="G26" s="305"/>
      <c r="H26" s="305"/>
      <c r="I26" s="305"/>
    </row>
    <row r="27" spans="1:9" ht="14.25">
      <c r="A27" s="41"/>
      <c r="B27" s="41"/>
      <c r="C27" s="41"/>
      <c r="D27" s="41"/>
      <c r="E27" s="41"/>
      <c r="F27" s="41"/>
      <c r="G27" s="41"/>
      <c r="H27" s="41"/>
      <c r="I27" s="41"/>
    </row>
    <row r="28" spans="1:9" ht="16.5">
      <c r="A28" s="33" t="str">
        <f>HLOOKUP(INDICE!$F$2,Nombres!$C$3:$D$636,51,FALSE)</f>
        <v>Balance sheets</v>
      </c>
      <c r="B28" s="34"/>
      <c r="C28" s="34"/>
      <c r="D28" s="34"/>
      <c r="E28" s="34"/>
      <c r="F28" s="34"/>
      <c r="G28" s="34"/>
      <c r="H28" s="34"/>
      <c r="I28" s="34"/>
    </row>
    <row r="29" spans="1:9" ht="14.25">
      <c r="A29" s="35" t="str">
        <f>HLOOKUP(INDICE!$F$2,Nombres!$C$3:$D$636,32,FALSE)</f>
        <v>(Million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4.25">
      <c r="A31" s="43" t="str">
        <f>HLOOKUP(INDICE!$F$2,Nombres!$C$3:$D$636,52,FALSE)</f>
        <v>Cash, cash balances at central banks and other demand deposits</v>
      </c>
      <c r="B31" s="44">
        <v>5938.631999369999</v>
      </c>
      <c r="C31" s="44">
        <v>4179.689813610002</v>
      </c>
      <c r="D31" s="44">
        <v>5884.895129830002</v>
      </c>
      <c r="E31" s="45">
        <v>7490.881852899999</v>
      </c>
      <c r="F31" s="44">
        <v>4756.907981670004</v>
      </c>
      <c r="G31" s="44">
        <v>4748.889295559999</v>
      </c>
      <c r="H31" s="44">
        <v>5118.13634932</v>
      </c>
      <c r="I31" s="44">
        <v>5125.256835370001</v>
      </c>
    </row>
    <row r="32" spans="1:9" ht="14.25">
      <c r="A32" s="43" t="str">
        <f>HLOOKUP(INDICE!$F$2,Nombres!$C$3:$D$636,53,FALSE)</f>
        <v>Financial assets designated at fair value </v>
      </c>
      <c r="B32" s="58">
        <v>133831.78271704</v>
      </c>
      <c r="C32" s="58">
        <v>117878.94013537</v>
      </c>
      <c r="D32" s="58">
        <v>106717.70792921001</v>
      </c>
      <c r="E32" s="65">
        <v>107838.19846828002</v>
      </c>
      <c r="F32" s="44">
        <v>102467.68854435002</v>
      </c>
      <c r="G32" s="44">
        <v>107855.91808476002</v>
      </c>
      <c r="H32" s="44">
        <v>111931.94124350003</v>
      </c>
      <c r="I32" s="44">
        <v>131710.73868866</v>
      </c>
    </row>
    <row r="33" spans="1:9" ht="14.25">
      <c r="A33" s="43" t="str">
        <f>HLOOKUP(INDICE!$F$2,Nombres!$C$3:$D$636,54,FALSE)</f>
        <v>Financial assets at amortized cost</v>
      </c>
      <c r="B33" s="44">
        <v>81912.71188181</v>
      </c>
      <c r="C33" s="44">
        <v>82461.02327095998</v>
      </c>
      <c r="D33" s="44">
        <v>71974.52405491</v>
      </c>
      <c r="E33" s="45">
        <v>71030.88248484001</v>
      </c>
      <c r="F33" s="44">
        <v>68969.52906482</v>
      </c>
      <c r="G33" s="44">
        <v>68486.47815959</v>
      </c>
      <c r="H33" s="44">
        <v>68979.34210170999</v>
      </c>
      <c r="I33" s="44">
        <v>72363.16147075</v>
      </c>
    </row>
    <row r="34" spans="1:9" ht="14.25">
      <c r="A34" s="43" t="str">
        <f>HLOOKUP(INDICE!$F$2,Nombres!$C$3:$D$636,55,FALSE)</f>
        <v>    of which loans and advances to customers</v>
      </c>
      <c r="B34" s="44">
        <v>69104.7624071</v>
      </c>
      <c r="C34" s="44">
        <v>69719.88077972001</v>
      </c>
      <c r="D34" s="44">
        <v>61780.859829170004</v>
      </c>
      <c r="E34" s="45">
        <v>59225.036179090006</v>
      </c>
      <c r="F34" s="44">
        <v>58026.6382368</v>
      </c>
      <c r="G34" s="44">
        <v>57870.137506349995</v>
      </c>
      <c r="H34" s="44">
        <v>58400.68174508</v>
      </c>
      <c r="I34" s="44">
        <v>62042.49925676</v>
      </c>
    </row>
    <row r="35" spans="1:9" ht="14.25">
      <c r="A35" s="43" t="str">
        <f>HLOOKUP(INDICE!$F$2,Nombres!$C$3:$D$636,121,FALSE)</f>
        <v>Inter-area positions</v>
      </c>
      <c r="B35" s="44">
        <v>0</v>
      </c>
      <c r="C35" s="44">
        <v>0</v>
      </c>
      <c r="D35" s="44">
        <v>0</v>
      </c>
      <c r="E35" s="45">
        <v>0</v>
      </c>
      <c r="F35" s="44">
        <v>0</v>
      </c>
      <c r="G35" s="44">
        <v>0</v>
      </c>
      <c r="H35" s="44">
        <v>0</v>
      </c>
      <c r="I35" s="44">
        <v>0</v>
      </c>
    </row>
    <row r="36" spans="1:9" ht="14.25">
      <c r="A36" s="43" t="str">
        <f>HLOOKUP(INDICE!$F$2,Nombres!$C$3:$D$636,56,FALSE)</f>
        <v>Tangible assets</v>
      </c>
      <c r="B36" s="44">
        <v>57.37874926</v>
      </c>
      <c r="C36" s="44">
        <v>55.06547653</v>
      </c>
      <c r="D36" s="44">
        <v>50.91730626000001</v>
      </c>
      <c r="E36" s="45">
        <v>49.57883355999999</v>
      </c>
      <c r="F36" s="44">
        <v>45.187679179999996</v>
      </c>
      <c r="G36" s="44">
        <v>42.16608239999999</v>
      </c>
      <c r="H36" s="44">
        <v>39.26288666</v>
      </c>
      <c r="I36" s="44">
        <v>42.97531898</v>
      </c>
    </row>
    <row r="37" spans="1:9" ht="14.25">
      <c r="A37" s="43" t="str">
        <f>HLOOKUP(INDICE!$F$2,Nombres!$C$3:$D$636,57,FALSE)</f>
        <v>Other assets</v>
      </c>
      <c r="B37" s="58">
        <f>+B38-B36-B33-B32-B31-B35</f>
        <v>1783.1437149399744</v>
      </c>
      <c r="C37" s="58">
        <f aca="true" t="shared" si="5" ref="C37:I37">+C38-C36-C33-C32-C31-C35</f>
        <v>1553.601851029981</v>
      </c>
      <c r="D37" s="58">
        <f t="shared" si="5"/>
        <v>1697.994969710002</v>
      </c>
      <c r="E37" s="65">
        <f t="shared" si="5"/>
        <v>843.2144207100346</v>
      </c>
      <c r="F37" s="58">
        <f t="shared" si="5"/>
        <v>1214.7694588500372</v>
      </c>
      <c r="G37" s="58">
        <f t="shared" si="5"/>
        <v>2355.044819160019</v>
      </c>
      <c r="H37" s="58">
        <f t="shared" si="5"/>
        <v>1725.9821304099796</v>
      </c>
      <c r="I37" s="58">
        <f t="shared" si="5"/>
        <v>109.90630291001071</v>
      </c>
    </row>
    <row r="38" spans="1:9" ht="14.25">
      <c r="A38" s="47" t="str">
        <f>HLOOKUP(INDICE!$F$2,Nombres!$C$3:$D$636,58,FALSE)</f>
        <v>Total assets / Liabilities and equity</v>
      </c>
      <c r="B38" s="47">
        <v>223523.64906241998</v>
      </c>
      <c r="C38" s="47">
        <v>206128.32054749996</v>
      </c>
      <c r="D38" s="47">
        <v>186326.03938992</v>
      </c>
      <c r="E38" s="71">
        <v>187252.75606029006</v>
      </c>
      <c r="F38" s="51">
        <v>177454.08272887007</v>
      </c>
      <c r="G38" s="51">
        <v>183488.49644147005</v>
      </c>
      <c r="H38" s="51">
        <v>187794.6647116</v>
      </c>
      <c r="I38" s="51">
        <v>209352.03861667</v>
      </c>
    </row>
    <row r="39" spans="1:9" ht="14.25">
      <c r="A39" s="43" t="str">
        <f>HLOOKUP(INDICE!$F$2,Nombres!$C$3:$D$636,59,FALSE)</f>
        <v>Financial liabilities held for trading and designated at fair value through profit or loss</v>
      </c>
      <c r="B39" s="58">
        <v>115835.35742145001</v>
      </c>
      <c r="C39" s="58">
        <v>105658.39301010002</v>
      </c>
      <c r="D39" s="58">
        <v>91681.61017559</v>
      </c>
      <c r="E39" s="65">
        <v>85128.75901787002</v>
      </c>
      <c r="F39" s="44">
        <v>81075.84844107002</v>
      </c>
      <c r="G39" s="44">
        <v>82208.51664821</v>
      </c>
      <c r="H39" s="44">
        <v>83088.08032127</v>
      </c>
      <c r="I39" s="44">
        <v>95283.13941246</v>
      </c>
    </row>
    <row r="40" spans="1:9" ht="14.25">
      <c r="A40" s="43" t="str">
        <f>HLOOKUP(INDICE!$F$2,Nombres!$C$3:$D$636,60,FALSE)</f>
        <v>Deposits from central banks and credit institutions</v>
      </c>
      <c r="B40" s="58">
        <v>19470.529110820004</v>
      </c>
      <c r="C40" s="58">
        <v>15157.794969679999</v>
      </c>
      <c r="D40" s="58">
        <v>12186.52930124</v>
      </c>
      <c r="E40" s="65">
        <v>15957.88126212</v>
      </c>
      <c r="F40" s="44">
        <v>14230.34351329</v>
      </c>
      <c r="G40" s="44">
        <v>14878.946080910002</v>
      </c>
      <c r="H40" s="44">
        <v>15307.926067229997</v>
      </c>
      <c r="I40" s="44">
        <v>12883.517656659998</v>
      </c>
    </row>
    <row r="41" spans="1:9" ht="15.75" customHeight="1">
      <c r="A41" s="43" t="str">
        <f>HLOOKUP(INDICE!$F$2,Nombres!$C$3:$D$636,61,FALSE)</f>
        <v>Deposits from customers</v>
      </c>
      <c r="B41" s="58">
        <v>37208.7609319</v>
      </c>
      <c r="C41" s="58">
        <v>39220.98264958</v>
      </c>
      <c r="D41" s="58">
        <v>39117.053663369996</v>
      </c>
      <c r="E41" s="65">
        <v>42966.24815662</v>
      </c>
      <c r="F41" s="44">
        <v>36489.330017750006</v>
      </c>
      <c r="G41" s="44">
        <v>37169.56320771</v>
      </c>
      <c r="H41" s="44">
        <v>36686.46877219</v>
      </c>
      <c r="I41" s="44">
        <v>38359.8209804</v>
      </c>
    </row>
    <row r="42" spans="1:9" ht="14.25">
      <c r="A42" s="43" t="str">
        <f>HLOOKUP(INDICE!$F$2,Nombres!$C$3:$D$636,62,FALSE)</f>
        <v>Debt certificates</v>
      </c>
      <c r="B42" s="44">
        <v>2183.18460059</v>
      </c>
      <c r="C42" s="44">
        <v>1855.0227352500003</v>
      </c>
      <c r="D42" s="44">
        <v>1860.6350731300004</v>
      </c>
      <c r="E42" s="45">
        <v>2095.74526486</v>
      </c>
      <c r="F42" s="44">
        <v>2194.2447050700002</v>
      </c>
      <c r="G42" s="44">
        <v>2713.23074014</v>
      </c>
      <c r="H42" s="44">
        <v>3132.30489521</v>
      </c>
      <c r="I42" s="44">
        <v>5746.027308900001</v>
      </c>
    </row>
    <row r="43" spans="1:9" ht="14.25">
      <c r="A43" s="43" t="str">
        <f>HLOOKUP(INDICE!$F$2,Nombres!$C$3:$D$636,122,FALSE)</f>
        <v>Inter-area positions</v>
      </c>
      <c r="B43" s="44">
        <v>37212.50572775216</v>
      </c>
      <c r="C43" s="44">
        <v>32513.941164620443</v>
      </c>
      <c r="D43" s="44">
        <v>29813.05811604148</v>
      </c>
      <c r="E43" s="45">
        <v>30217.874870070085</v>
      </c>
      <c r="F43" s="44">
        <v>33168.557803337506</v>
      </c>
      <c r="G43" s="44">
        <v>33855.73585443443</v>
      </c>
      <c r="H43" s="44">
        <v>37137.22775206195</v>
      </c>
      <c r="I43" s="44">
        <v>44183.537322375596</v>
      </c>
    </row>
    <row r="44" spans="1:9" ht="14.25">
      <c r="A44" s="43" t="str">
        <f>HLOOKUP(INDICE!$F$2,Nombres!$C$3:$D$636,63,FALSE)</f>
        <v>Other liabilities</v>
      </c>
      <c r="B44" s="44">
        <f>+B38-B39-B40-B41-B42-B45-B43</f>
        <v>1215.5898984392043</v>
      </c>
      <c r="C44" s="44">
        <f aca="true" t="shared" si="6" ref="C44:I44">+C38-C39-C40-C41-C42-C45-C43</f>
        <v>1415.4371559901883</v>
      </c>
      <c r="D44" s="44">
        <f t="shared" si="6"/>
        <v>2408.0897039589436</v>
      </c>
      <c r="E44" s="45">
        <f t="shared" si="6"/>
        <v>2108.307797783451</v>
      </c>
      <c r="F44" s="44">
        <f t="shared" si="6"/>
        <v>1565.8576179148804</v>
      </c>
      <c r="G44" s="44">
        <f t="shared" si="6"/>
        <v>2811.8526165229123</v>
      </c>
      <c r="H44" s="44">
        <f t="shared" si="6"/>
        <v>2528.8460746528</v>
      </c>
      <c r="I44" s="44">
        <f t="shared" si="6"/>
        <v>2912.596350016247</v>
      </c>
    </row>
    <row r="45" spans="1:9" ht="14.25">
      <c r="A45" s="43" t="str">
        <f>HLOOKUP(INDICE!$F$2,Nombres!$C$3:$D$636,282,FALSE)</f>
        <v>Regulatory capital allocated</v>
      </c>
      <c r="B45" s="44">
        <v>10397.7213714686</v>
      </c>
      <c r="C45" s="44">
        <v>10306.748862279299</v>
      </c>
      <c r="D45" s="44">
        <v>9259.063356589602</v>
      </c>
      <c r="E45" s="45">
        <v>8777.9396909665</v>
      </c>
      <c r="F45" s="44">
        <v>8729.900630437653</v>
      </c>
      <c r="G45" s="44">
        <v>9850.651293542698</v>
      </c>
      <c r="H45" s="44">
        <v>9913.810828985252</v>
      </c>
      <c r="I45" s="44">
        <v>9983.399585858153</v>
      </c>
    </row>
    <row r="46" spans="1:9" ht="14.25">
      <c r="A46" s="62"/>
      <c r="B46" s="58"/>
      <c r="C46" s="58"/>
      <c r="D46" s="58"/>
      <c r="E46" s="58"/>
      <c r="F46" s="77"/>
      <c r="G46" s="77"/>
      <c r="H46" s="77"/>
      <c r="I46" s="77"/>
    </row>
    <row r="47" spans="1:9" ht="14.25">
      <c r="A47" s="43"/>
      <c r="B47" s="58"/>
      <c r="C47" s="58"/>
      <c r="D47" s="58"/>
      <c r="E47" s="58"/>
      <c r="F47" s="77"/>
      <c r="G47" s="77"/>
      <c r="H47" s="77"/>
      <c r="I47" s="77"/>
    </row>
    <row r="48" spans="1:9" ht="16.5">
      <c r="A48" s="33" t="str">
        <f>HLOOKUP(INDICE!$F$2,Nombres!$C$3:$D$636,65,FALSE)</f>
        <v>Relevant business indicators</v>
      </c>
      <c r="B48" s="34"/>
      <c r="C48" s="34"/>
      <c r="D48" s="34"/>
      <c r="E48" s="34"/>
      <c r="F48" s="81"/>
      <c r="G48" s="81"/>
      <c r="H48" s="81"/>
      <c r="I48" s="81"/>
    </row>
    <row r="49" spans="1:9" ht="14.25">
      <c r="A49" s="35" t="str">
        <f>HLOOKUP(INDICE!$F$2,Nombres!$C$3:$D$636,32,FALSE)</f>
        <v>(Million euros)</v>
      </c>
      <c r="B49" s="30"/>
      <c r="C49" s="30"/>
      <c r="D49" s="30"/>
      <c r="E49" s="30"/>
      <c r="F49" s="79"/>
      <c r="G49" s="77"/>
      <c r="H49" s="77"/>
      <c r="I49" s="77"/>
    </row>
    <row r="50" spans="1:9" ht="14.25">
      <c r="A50" s="30"/>
      <c r="B50" s="53">
        <f aca="true" t="shared" si="7" ref="B50:I50">+B$30</f>
        <v>43921</v>
      </c>
      <c r="C50" s="53">
        <f t="shared" si="7"/>
        <v>44012</v>
      </c>
      <c r="D50" s="53">
        <f t="shared" si="7"/>
        <v>44104</v>
      </c>
      <c r="E50" s="68">
        <f t="shared" si="7"/>
        <v>44196</v>
      </c>
      <c r="F50" s="76">
        <f t="shared" si="7"/>
        <v>44286</v>
      </c>
      <c r="G50" s="76">
        <f t="shared" si="7"/>
        <v>44377</v>
      </c>
      <c r="H50" s="76">
        <f t="shared" si="7"/>
        <v>44469</v>
      </c>
      <c r="I50" s="76">
        <f t="shared" si="7"/>
        <v>44561</v>
      </c>
    </row>
    <row r="51" spans="1:9" ht="15" customHeight="1">
      <c r="A51" s="43" t="str">
        <f>HLOOKUP(INDICE!$F$2,Nombres!$C$3:$D$636,66,FALSE)</f>
        <v>Loans and advances to customers (gross) (*)</v>
      </c>
      <c r="B51" s="44">
        <v>69740.22189575002</v>
      </c>
      <c r="C51" s="44">
        <v>70237.93752371</v>
      </c>
      <c r="D51" s="44">
        <v>61987.80026845001</v>
      </c>
      <c r="E51" s="45">
        <v>58782.968713500006</v>
      </c>
      <c r="F51" s="77">
        <v>58932.06356522001</v>
      </c>
      <c r="G51" s="77">
        <v>58822.29361006</v>
      </c>
      <c r="H51" s="77">
        <v>59120.4147664</v>
      </c>
      <c r="I51" s="77">
        <v>62896.06160824</v>
      </c>
    </row>
    <row r="52" spans="1:9" ht="14.25">
      <c r="A52" s="43" t="str">
        <f>HLOOKUP(INDICE!$F$2,Nombres!$C$3:$D$636,67,FALSE)</f>
        <v>Customer deposits under management (*)</v>
      </c>
      <c r="B52" s="44">
        <v>36885.178716439994</v>
      </c>
      <c r="C52" s="44">
        <v>39112.72839146</v>
      </c>
      <c r="D52" s="44">
        <v>38524.903283839994</v>
      </c>
      <c r="E52" s="45">
        <v>42313.35598713</v>
      </c>
      <c r="F52" s="44">
        <v>35881.371084340004</v>
      </c>
      <c r="G52" s="44">
        <v>36524.306084339994</v>
      </c>
      <c r="H52" s="44">
        <v>36036.59698625</v>
      </c>
      <c r="I52" s="44">
        <v>37445.11090575</v>
      </c>
    </row>
    <row r="53" spans="1:9" ht="14.25">
      <c r="A53" s="43" t="str">
        <f>HLOOKUP(INDICE!$F$2,Nombres!$C$3:$D$636,68,FALSE)</f>
        <v>Mutual funds</v>
      </c>
      <c r="B53" s="44">
        <v>593.74191791</v>
      </c>
      <c r="C53" s="44">
        <v>1241.6800483700001</v>
      </c>
      <c r="D53" s="44">
        <v>993.9543257399998</v>
      </c>
      <c r="E53" s="45">
        <v>948.6530913400001</v>
      </c>
      <c r="F53" s="44">
        <v>1004.22217181</v>
      </c>
      <c r="G53" s="44">
        <v>973.3377573900002</v>
      </c>
      <c r="H53" s="44">
        <v>1052.24828341</v>
      </c>
      <c r="I53" s="44">
        <v>1144.9263371299999</v>
      </c>
    </row>
    <row r="54" spans="1:9" ht="14.25">
      <c r="A54" s="43" t="str">
        <f>HLOOKUP(INDICE!$F$2,Nombres!$C$3:$D$636,69,FALSE)</f>
        <v>Pension funds</v>
      </c>
      <c r="B54" s="44">
        <v>0</v>
      </c>
      <c r="C54" s="44">
        <v>0</v>
      </c>
      <c r="D54" s="44">
        <v>0</v>
      </c>
      <c r="E54" s="45">
        <v>0</v>
      </c>
      <c r="F54" s="44">
        <v>0</v>
      </c>
      <c r="G54" s="44">
        <v>0</v>
      </c>
      <c r="H54" s="44">
        <v>0</v>
      </c>
      <c r="I54" s="44">
        <v>0</v>
      </c>
    </row>
    <row r="55" spans="1:9" ht="14.25">
      <c r="A55" s="43" t="str">
        <f>HLOOKUP(INDICE!$F$2,Nombres!$C$3:$D$636,70,FALSE)</f>
        <v>Other off balance-sheet funds</v>
      </c>
      <c r="B55" s="44">
        <v>129.95471164</v>
      </c>
      <c r="C55" s="44">
        <v>155.2092641</v>
      </c>
      <c r="D55" s="44">
        <v>101.69233328</v>
      </c>
      <c r="E55" s="45">
        <v>80.88990516999999</v>
      </c>
      <c r="F55" s="44">
        <v>92.72548207999999</v>
      </c>
      <c r="G55" s="44">
        <v>116.31582259</v>
      </c>
      <c r="H55" s="44">
        <v>112.85494168</v>
      </c>
      <c r="I55" s="44">
        <v>104.17368884999999</v>
      </c>
    </row>
    <row r="56" spans="1:9" ht="14.25">
      <c r="A56" s="62" t="str">
        <f>HLOOKUP(INDICE!$F$2,Nombres!$C$3:$D$636,71,FALSE)</f>
        <v>(*) Excluding repos. </v>
      </c>
      <c r="B56" s="58"/>
      <c r="C56" s="58"/>
      <c r="D56" s="58"/>
      <c r="E56" s="58"/>
      <c r="F56" s="58"/>
      <c r="G56" s="58"/>
      <c r="H56" s="58"/>
      <c r="I56" s="58"/>
    </row>
    <row r="57" spans="1:9" ht="14.25">
      <c r="A57" s="62">
        <f>HLOOKUP(INDICE!$F$2,Nombres!$C$3:$D$636,72,FALSE)</f>
        <v>0</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Income statement  </v>
      </c>
      <c r="B59" s="34"/>
      <c r="C59" s="34"/>
      <c r="D59" s="34"/>
      <c r="E59" s="34"/>
      <c r="F59" s="34"/>
      <c r="G59" s="34"/>
      <c r="H59" s="34"/>
      <c r="I59" s="34"/>
    </row>
    <row r="60" spans="1:9" ht="14.25">
      <c r="A60" s="35" t="str">
        <f>HLOOKUP(INDICE!$F$2,Nombres!$C$3:$D$636,73,FALSE)</f>
        <v>(Constant million euros)    </v>
      </c>
      <c r="B60" s="30"/>
      <c r="C60" s="36"/>
      <c r="D60" s="36"/>
      <c r="E60" s="36"/>
      <c r="F60" s="30"/>
      <c r="G60" s="30"/>
      <c r="H60" s="30"/>
      <c r="I60" s="3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39" t="str">
        <f>+B$7</f>
        <v>1Q</v>
      </c>
      <c r="C63" s="39" t="str">
        <f aca="true" t="shared" si="8" ref="C63:I63">+C$7</f>
        <v>2Q</v>
      </c>
      <c r="D63" s="39" t="str">
        <f t="shared" si="8"/>
        <v>3Q</v>
      </c>
      <c r="E63" s="40" t="str">
        <f t="shared" si="8"/>
        <v>4Q</v>
      </c>
      <c r="F63" s="39" t="str">
        <f t="shared" si="8"/>
        <v>1Q</v>
      </c>
      <c r="G63" s="39" t="str">
        <f t="shared" si="8"/>
        <v>2Q</v>
      </c>
      <c r="H63" s="39" t="str">
        <f t="shared" si="8"/>
        <v>3Q</v>
      </c>
      <c r="I63" s="39" t="str">
        <f t="shared" si="8"/>
        <v>4Q</v>
      </c>
    </row>
    <row r="64" spans="1:9" ht="14.25">
      <c r="A64" s="41" t="str">
        <f>HLOOKUP(INDICE!$F$2,Nombres!$C$3:$D$636,33,FALSE)</f>
        <v>Net interest income</v>
      </c>
      <c r="B64" s="41">
        <v>307.4210477617714</v>
      </c>
      <c r="C64" s="41">
        <v>364.6137114461805</v>
      </c>
      <c r="D64" s="41">
        <v>355.9293047975446</v>
      </c>
      <c r="E64" s="42">
        <v>376.9801733685412</v>
      </c>
      <c r="F64" s="50">
        <v>372.03521220374125</v>
      </c>
      <c r="G64" s="50">
        <v>369.6860196392463</v>
      </c>
      <c r="H64" s="50">
        <v>400.16630021621893</v>
      </c>
      <c r="I64" s="50">
        <v>433.8566189607935</v>
      </c>
    </row>
    <row r="65" spans="1:9" ht="14.25">
      <c r="A65" s="43" t="str">
        <f>HLOOKUP(INDICE!$F$2,Nombres!$C$3:$D$636,34,FALSE)</f>
        <v>Net fees and commissions</v>
      </c>
      <c r="B65" s="44">
        <v>163.24161792473998</v>
      </c>
      <c r="C65" s="44">
        <v>188.92805376573202</v>
      </c>
      <c r="D65" s="44">
        <v>188.81654347254897</v>
      </c>
      <c r="E65" s="45">
        <v>173.52537637354</v>
      </c>
      <c r="F65" s="44">
        <v>186.80219704291193</v>
      </c>
      <c r="G65" s="44">
        <v>194.3044371958133</v>
      </c>
      <c r="H65" s="44">
        <v>195.73537595209035</v>
      </c>
      <c r="I65" s="44">
        <v>216.88212351918446</v>
      </c>
    </row>
    <row r="66" spans="1:9" ht="14.25">
      <c r="A66" s="43" t="str">
        <f>HLOOKUP(INDICE!$F$2,Nombres!$C$3:$D$636,35,FALSE)</f>
        <v>Net trading income</v>
      </c>
      <c r="B66" s="44">
        <v>145.18143023175446</v>
      </c>
      <c r="C66" s="44">
        <v>206.17416555112743</v>
      </c>
      <c r="D66" s="44">
        <v>195.44423267687336</v>
      </c>
      <c r="E66" s="45">
        <v>143.12787531575674</v>
      </c>
      <c r="F66" s="44">
        <v>263.3152858424138</v>
      </c>
      <c r="G66" s="44">
        <v>228.7000299577236</v>
      </c>
      <c r="H66" s="44">
        <v>136.00421146247209</v>
      </c>
      <c r="I66" s="44">
        <v>277.36955608739055</v>
      </c>
    </row>
    <row r="67" spans="1:9" ht="14.25">
      <c r="A67" s="43" t="str">
        <f>HLOOKUP(INDICE!$F$2,Nombres!$C$3:$D$636,36,FALSE)</f>
        <v>Other operating income and expenses</v>
      </c>
      <c r="B67" s="44">
        <v>-9.95930803426064</v>
      </c>
      <c r="C67" s="44">
        <v>-9.724496332658802</v>
      </c>
      <c r="D67" s="44">
        <v>-8.252527330466386</v>
      </c>
      <c r="E67" s="45">
        <v>-9.156280269920465</v>
      </c>
      <c r="F67" s="44">
        <v>-10.648364974067796</v>
      </c>
      <c r="G67" s="44">
        <v>-7.070666024515216</v>
      </c>
      <c r="H67" s="44">
        <v>-10.290876542908675</v>
      </c>
      <c r="I67" s="44">
        <v>-11.910117338508316</v>
      </c>
    </row>
    <row r="68" spans="1:9" ht="14.25">
      <c r="A68" s="41" t="str">
        <f>HLOOKUP(INDICE!$F$2,Nombres!$C$3:$D$636,37,FALSE)</f>
        <v>Gross income</v>
      </c>
      <c r="B68" s="41">
        <f>+SUM(B64:B67)</f>
        <v>605.8847878840052</v>
      </c>
      <c r="C68" s="41">
        <f aca="true" t="shared" si="9" ref="C68:I68">+SUM(C64:C67)</f>
        <v>749.9914344303812</v>
      </c>
      <c r="D68" s="41">
        <f t="shared" si="9"/>
        <v>731.9375536165005</v>
      </c>
      <c r="E68" s="42">
        <f t="shared" si="9"/>
        <v>684.4771447879175</v>
      </c>
      <c r="F68" s="50">
        <f t="shared" si="9"/>
        <v>811.5043301149991</v>
      </c>
      <c r="G68" s="50">
        <f t="shared" si="9"/>
        <v>785.619820768268</v>
      </c>
      <c r="H68" s="50">
        <f t="shared" si="9"/>
        <v>721.6150110878726</v>
      </c>
      <c r="I68" s="50">
        <f t="shared" si="9"/>
        <v>916.1981812288602</v>
      </c>
    </row>
    <row r="69" spans="1:9" ht="14.25">
      <c r="A69" s="43" t="str">
        <f>HLOOKUP(INDICE!$F$2,Nombres!$C$3:$D$636,38,FALSE)</f>
        <v>Operating expenses</v>
      </c>
      <c r="B69" s="44">
        <v>-236.44220922514077</v>
      </c>
      <c r="C69" s="44">
        <v>-193.50404574299984</v>
      </c>
      <c r="D69" s="44">
        <v>-220.9760630744018</v>
      </c>
      <c r="E69" s="45">
        <v>-256.97861692700553</v>
      </c>
      <c r="F69" s="44">
        <v>-230.038250264186</v>
      </c>
      <c r="G69" s="44">
        <v>-236.28234207679927</v>
      </c>
      <c r="H69" s="44">
        <v>-233.65539209540586</v>
      </c>
      <c r="I69" s="44">
        <v>-286.7133216136089</v>
      </c>
    </row>
    <row r="70" spans="1:9" ht="14.25">
      <c r="A70" s="43" t="str">
        <f>HLOOKUP(INDICE!$F$2,Nombres!$C$3:$D$636,39,FALSE)</f>
        <v>  Administration expenses</v>
      </c>
      <c r="B70" s="44">
        <v>-207.48101439310506</v>
      </c>
      <c r="C70" s="44">
        <v>-164.15613075445367</v>
      </c>
      <c r="D70" s="44">
        <v>-191.86206582775466</v>
      </c>
      <c r="E70" s="45">
        <v>-229.30916421664904</v>
      </c>
      <c r="F70" s="44">
        <v>-203.0037793386692</v>
      </c>
      <c r="G70" s="44">
        <v>-209.14827848454036</v>
      </c>
      <c r="H70" s="44">
        <v>-206.42661769198162</v>
      </c>
      <c r="I70" s="44">
        <v>-260.61460943480876</v>
      </c>
    </row>
    <row r="71" spans="1:9" ht="14.25">
      <c r="A71" s="46" t="str">
        <f>HLOOKUP(INDICE!$F$2,Nombres!$C$3:$D$636,40,FALSE)</f>
        <v>  Personnel expenses</v>
      </c>
      <c r="B71" s="44">
        <v>-113.8674019526969</v>
      </c>
      <c r="C71" s="44">
        <v>-73.49009358240558</v>
      </c>
      <c r="D71" s="44">
        <v>-90.19148541951691</v>
      </c>
      <c r="E71" s="45">
        <v>-127.28831615810216</v>
      </c>
      <c r="F71" s="44">
        <v>-105.68460133368035</v>
      </c>
      <c r="G71" s="44">
        <v>-106.87880862715595</v>
      </c>
      <c r="H71" s="44">
        <v>-110.86975530042744</v>
      </c>
      <c r="I71" s="44">
        <v>-150.70592187873626</v>
      </c>
    </row>
    <row r="72" spans="1:9" ht="14.25">
      <c r="A72" s="46" t="str">
        <f>HLOOKUP(INDICE!$F$2,Nombres!$C$3:$D$636,41,FALSE)</f>
        <v>  General and administrative expenses</v>
      </c>
      <c r="B72" s="44">
        <v>-93.61361244040815</v>
      </c>
      <c r="C72" s="44">
        <v>-90.6660371720481</v>
      </c>
      <c r="D72" s="44">
        <v>-101.67058040823775</v>
      </c>
      <c r="E72" s="45">
        <v>-102.0208480585469</v>
      </c>
      <c r="F72" s="44">
        <v>-97.31917800498886</v>
      </c>
      <c r="G72" s="44">
        <v>-102.26946985738445</v>
      </c>
      <c r="H72" s="44">
        <v>-95.5568623915542</v>
      </c>
      <c r="I72" s="44">
        <v>-109.9086875560725</v>
      </c>
    </row>
    <row r="73" spans="1:9" ht="14.25">
      <c r="A73" s="43" t="str">
        <f>HLOOKUP(INDICE!$F$2,Nombres!$C$3:$D$636,42,FALSE)</f>
        <v>  Depreciation</v>
      </c>
      <c r="B73" s="44">
        <v>-28.96119483203575</v>
      </c>
      <c r="C73" s="44">
        <v>-29.347914988546137</v>
      </c>
      <c r="D73" s="44">
        <v>-29.11399724664712</v>
      </c>
      <c r="E73" s="45">
        <v>-27.66945271035653</v>
      </c>
      <c r="F73" s="44">
        <v>-27.03447092551675</v>
      </c>
      <c r="G73" s="44">
        <v>-27.134063592258876</v>
      </c>
      <c r="H73" s="44">
        <v>-27.228774403424183</v>
      </c>
      <c r="I73" s="44">
        <v>-26.09871217880018</v>
      </c>
    </row>
    <row r="74" spans="1:9" ht="14.25">
      <c r="A74" s="41" t="str">
        <f>HLOOKUP(INDICE!$F$2,Nombres!$C$3:$D$636,43,FALSE)</f>
        <v>Operating income</v>
      </c>
      <c r="B74" s="41">
        <f>+B68+B69</f>
        <v>369.44257865886436</v>
      </c>
      <c r="C74" s="41">
        <f aca="true" t="shared" si="10" ref="C74:I74">+C68+C69</f>
        <v>556.4873886873813</v>
      </c>
      <c r="D74" s="41">
        <f t="shared" si="10"/>
        <v>510.9614905420987</v>
      </c>
      <c r="E74" s="42">
        <f t="shared" si="10"/>
        <v>427.49852786091196</v>
      </c>
      <c r="F74" s="50">
        <f t="shared" si="10"/>
        <v>581.4660798508131</v>
      </c>
      <c r="G74" s="50">
        <f t="shared" si="10"/>
        <v>549.3374786914687</v>
      </c>
      <c r="H74" s="50">
        <f t="shared" si="10"/>
        <v>487.95961899246674</v>
      </c>
      <c r="I74" s="50">
        <f t="shared" si="10"/>
        <v>629.4848596152513</v>
      </c>
    </row>
    <row r="75" spans="1:9" ht="14.25">
      <c r="A75" s="43" t="str">
        <f>HLOOKUP(INDICE!$F$2,Nombres!$C$3:$D$636,44,FALSE)</f>
        <v>Impaiment on financial assets not measured at fair value through profit or loss</v>
      </c>
      <c r="B75" s="44">
        <v>-146.62931633759098</v>
      </c>
      <c r="C75" s="44">
        <v>-104.54511619308548</v>
      </c>
      <c r="D75" s="44">
        <v>-38.816231062868766</v>
      </c>
      <c r="E75" s="45">
        <v>-102.17236429191527</v>
      </c>
      <c r="F75" s="44">
        <v>-38.93805061961123</v>
      </c>
      <c r="G75" s="44">
        <v>-9.917252010026989</v>
      </c>
      <c r="H75" s="44">
        <v>36.228077270288665</v>
      </c>
      <c r="I75" s="44">
        <v>-56.037683550650456</v>
      </c>
    </row>
    <row r="76" spans="1:9" ht="14.25">
      <c r="A76" s="43" t="str">
        <f>HLOOKUP(INDICE!$F$2,Nombres!$C$3:$D$636,45,FALSE)</f>
        <v>Provisions or reversal of provisions and other results</v>
      </c>
      <c r="B76" s="44">
        <v>8.372509266484156</v>
      </c>
      <c r="C76" s="44">
        <v>-24.11238779740982</v>
      </c>
      <c r="D76" s="44">
        <v>-27.407930606343676</v>
      </c>
      <c r="E76" s="45">
        <v>-10.95318467701886</v>
      </c>
      <c r="F76" s="44">
        <v>-22.461830462757653</v>
      </c>
      <c r="G76" s="44">
        <v>6.30714678108786</v>
      </c>
      <c r="H76" s="44">
        <v>16.1659855835274</v>
      </c>
      <c r="I76" s="44">
        <v>-11.720848791857613</v>
      </c>
    </row>
    <row r="77" spans="1:9" ht="14.25">
      <c r="A77" s="41" t="str">
        <f>HLOOKUP(INDICE!$F$2,Nombres!$C$3:$D$636,46,FALSE)</f>
        <v>Profit/(loss) before tax</v>
      </c>
      <c r="B77" s="41">
        <f>+B74+B75+B76</f>
        <v>231.18577158775753</v>
      </c>
      <c r="C77" s="41">
        <f aca="true" t="shared" si="11" ref="C77:I77">+C74+C75+C76</f>
        <v>427.829884696886</v>
      </c>
      <c r="D77" s="41">
        <f t="shared" si="11"/>
        <v>444.7373288728863</v>
      </c>
      <c r="E77" s="42">
        <f t="shared" si="11"/>
        <v>314.3729788919778</v>
      </c>
      <c r="F77" s="50">
        <f t="shared" si="11"/>
        <v>520.0661987684442</v>
      </c>
      <c r="G77" s="50">
        <f t="shared" si="11"/>
        <v>545.7273734625296</v>
      </c>
      <c r="H77" s="50">
        <f t="shared" si="11"/>
        <v>540.3536818462828</v>
      </c>
      <c r="I77" s="50">
        <f t="shared" si="11"/>
        <v>561.7263272727432</v>
      </c>
    </row>
    <row r="78" spans="1:9" ht="14.25">
      <c r="A78" s="43" t="str">
        <f>HLOOKUP(INDICE!$F$2,Nombres!$C$3:$D$636,47,FALSE)</f>
        <v>Income tax</v>
      </c>
      <c r="B78" s="44">
        <v>-58.21518442360982</v>
      </c>
      <c r="C78" s="44">
        <v>-121.58842182723693</v>
      </c>
      <c r="D78" s="44">
        <v>-118.71353407575874</v>
      </c>
      <c r="E78" s="45">
        <v>-74.33497982535678</v>
      </c>
      <c r="F78" s="44">
        <v>-134.15935728745018</v>
      </c>
      <c r="G78" s="44">
        <v>-163.85343379292334</v>
      </c>
      <c r="H78" s="44">
        <v>-152.48984972272575</v>
      </c>
      <c r="I78" s="44">
        <v>-142.3720460069007</v>
      </c>
    </row>
    <row r="79" spans="1:9" ht="14.25">
      <c r="A79" s="41" t="str">
        <f>HLOOKUP(INDICE!$F$2,Nombres!$C$3:$D$636,48,FALSE)</f>
        <v>Profit/(loss) for the year</v>
      </c>
      <c r="B79" s="41">
        <f>+B77+B78</f>
        <v>172.9705871641477</v>
      </c>
      <c r="C79" s="41">
        <f aca="true" t="shared" si="12" ref="C79:I79">+C77+C78</f>
        <v>306.24146286964907</v>
      </c>
      <c r="D79" s="41">
        <f t="shared" si="12"/>
        <v>326.02379479712755</v>
      </c>
      <c r="E79" s="42">
        <f t="shared" si="12"/>
        <v>240.03799906662104</v>
      </c>
      <c r="F79" s="50">
        <f t="shared" si="12"/>
        <v>385.90684148099405</v>
      </c>
      <c r="G79" s="50">
        <f t="shared" si="12"/>
        <v>381.8739396696063</v>
      </c>
      <c r="H79" s="50">
        <f t="shared" si="12"/>
        <v>387.8638321235571</v>
      </c>
      <c r="I79" s="50">
        <f t="shared" si="12"/>
        <v>419.35428126584253</v>
      </c>
    </row>
    <row r="80" spans="1:9" ht="14.25">
      <c r="A80" s="43" t="str">
        <f>HLOOKUP(INDICE!$F$2,Nombres!$C$3:$D$636,49,FALSE)</f>
        <v>Non-controlling interests</v>
      </c>
      <c r="B80" s="44">
        <v>-20.632252746629348</v>
      </c>
      <c r="C80" s="44">
        <v>-47.63790468771951</v>
      </c>
      <c r="D80" s="44">
        <v>-68.25220417927136</v>
      </c>
      <c r="E80" s="45">
        <v>-49.36911080865304</v>
      </c>
      <c r="F80" s="44">
        <v>-69.6134052340295</v>
      </c>
      <c r="G80" s="44">
        <v>-64.35209488442008</v>
      </c>
      <c r="H80" s="44">
        <v>-75.49846652279822</v>
      </c>
      <c r="I80" s="44">
        <v>-117.07973648875219</v>
      </c>
    </row>
    <row r="81" spans="1:9" ht="14.25">
      <c r="A81" s="47" t="str">
        <f>HLOOKUP(INDICE!$F$2,Nombres!$C$3:$D$636,50,FALSE)</f>
        <v>Net attributable profit</v>
      </c>
      <c r="B81" s="47">
        <f>+B79+B80</f>
        <v>152.33833441751835</v>
      </c>
      <c r="C81" s="47">
        <f aca="true" t="shared" si="13" ref="C81:I81">+C79+C80</f>
        <v>258.60355818192954</v>
      </c>
      <c r="D81" s="47">
        <f t="shared" si="13"/>
        <v>257.7715906178562</v>
      </c>
      <c r="E81" s="47">
        <f t="shared" si="13"/>
        <v>190.668888257968</v>
      </c>
      <c r="F81" s="51">
        <f t="shared" si="13"/>
        <v>316.2934362469646</v>
      </c>
      <c r="G81" s="51">
        <f t="shared" si="13"/>
        <v>317.5218447851862</v>
      </c>
      <c r="H81" s="51">
        <f t="shared" si="13"/>
        <v>312.3653656007589</v>
      </c>
      <c r="I81" s="51">
        <f t="shared" si="13"/>
        <v>302.27454477709034</v>
      </c>
    </row>
    <row r="82" spans="1:9" ht="14.25">
      <c r="A82" s="62"/>
      <c r="B82" s="63">
        <v>0</v>
      </c>
      <c r="C82" s="63">
        <v>0</v>
      </c>
      <c r="D82" s="63">
        <v>0</v>
      </c>
      <c r="E82" s="63">
        <v>0</v>
      </c>
      <c r="F82" s="63">
        <v>0</v>
      </c>
      <c r="G82" s="63">
        <v>0</v>
      </c>
      <c r="H82" s="63">
        <v>0</v>
      </c>
      <c r="I82" s="63">
        <v>0</v>
      </c>
    </row>
    <row r="83" spans="1:9" ht="14.25">
      <c r="A83" s="41"/>
      <c r="B83" s="41"/>
      <c r="C83" s="41"/>
      <c r="D83" s="41"/>
      <c r="E83" s="41"/>
      <c r="F83" s="50"/>
      <c r="G83" s="50"/>
      <c r="H83" s="50"/>
      <c r="I83" s="50"/>
    </row>
    <row r="84" spans="1:9" ht="16.5">
      <c r="A84" s="33" t="str">
        <f>HLOOKUP(INDICE!$F$2,Nombres!$C$3:$D$636,51,FALSE)</f>
        <v>Balance sheets</v>
      </c>
      <c r="B84" s="34"/>
      <c r="C84" s="34"/>
      <c r="D84" s="34"/>
      <c r="E84" s="34"/>
      <c r="F84" s="69"/>
      <c r="G84" s="69"/>
      <c r="H84" s="69"/>
      <c r="I84" s="69"/>
    </row>
    <row r="85" spans="1:9" ht="14.25">
      <c r="A85" s="35" t="str">
        <f>HLOOKUP(INDICE!$F$2,Nombres!$C$3:$D$636,73,FALSE)</f>
        <v>(Constant million euros)    </v>
      </c>
      <c r="B85" s="30"/>
      <c r="C85" s="52"/>
      <c r="D85" s="52"/>
      <c r="E85" s="52"/>
      <c r="F85" s="70"/>
      <c r="G85" s="44"/>
      <c r="H85" s="44"/>
      <c r="I85" s="44"/>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43" t="str">
        <f>HLOOKUP(INDICE!$F$2,Nombres!$C$3:$D$636,52,FALSE)</f>
        <v>Cash, cash balances at central banks and other demand deposits</v>
      </c>
      <c r="B87" s="44">
        <v>5688.3476217771495</v>
      </c>
      <c r="C87" s="44">
        <v>4033.0343355612185</v>
      </c>
      <c r="D87" s="44">
        <v>5960.652318162454</v>
      </c>
      <c r="E87" s="45">
        <v>7942.905440080366</v>
      </c>
      <c r="F87" s="44">
        <v>4954.135243921517</v>
      </c>
      <c r="G87" s="44">
        <v>4933.037436857873</v>
      </c>
      <c r="H87" s="44">
        <v>5206.290320376454</v>
      </c>
      <c r="I87" s="44">
        <v>5125.256835370001</v>
      </c>
    </row>
    <row r="88" spans="1:9" ht="14.25">
      <c r="A88" s="43" t="str">
        <f>HLOOKUP(INDICE!$F$2,Nombres!$C$3:$D$636,53,FALSE)</f>
        <v>Financial assets designated at fair value </v>
      </c>
      <c r="B88" s="58">
        <v>134533.99411420175</v>
      </c>
      <c r="C88" s="58">
        <v>118316.18028790048</v>
      </c>
      <c r="D88" s="58">
        <v>107752.77736379649</v>
      </c>
      <c r="E88" s="65">
        <v>108208.62218091806</v>
      </c>
      <c r="F88" s="44">
        <v>102685.59929327981</v>
      </c>
      <c r="G88" s="44">
        <v>108008.57319395104</v>
      </c>
      <c r="H88" s="44">
        <v>112147.65167356275</v>
      </c>
      <c r="I88" s="44">
        <v>131710.73868866</v>
      </c>
    </row>
    <row r="89" spans="1:9" ht="14.25">
      <c r="A89" s="43" t="str">
        <f>HLOOKUP(INDICE!$F$2,Nombres!$C$3:$D$636,54,FALSE)</f>
        <v>Financial assets at amortized cost</v>
      </c>
      <c r="B89" s="44">
        <v>77697.57810812544</v>
      </c>
      <c r="C89" s="44">
        <v>78617.20048957938</v>
      </c>
      <c r="D89" s="44">
        <v>69922.01091731687</v>
      </c>
      <c r="E89" s="45">
        <v>68554.17989829958</v>
      </c>
      <c r="F89" s="44">
        <v>66462.60157357357</v>
      </c>
      <c r="G89" s="44">
        <v>66328.70991755935</v>
      </c>
      <c r="H89" s="44">
        <v>66889.99887739168</v>
      </c>
      <c r="I89" s="44">
        <v>72363.16147075</v>
      </c>
    </row>
    <row r="90" spans="1:9" ht="14.25">
      <c r="A90" s="43" t="str">
        <f>HLOOKUP(INDICE!$F$2,Nombres!$C$3:$D$636,55,FALSE)</f>
        <v>    of which loans and advances to customers</v>
      </c>
      <c r="B90" s="44">
        <v>64783.90524711037</v>
      </c>
      <c r="C90" s="44">
        <v>65683.52710944472</v>
      </c>
      <c r="D90" s="44">
        <v>59703.07249260794</v>
      </c>
      <c r="E90" s="45">
        <v>56762.34704106851</v>
      </c>
      <c r="F90" s="44">
        <v>55577.51271766704</v>
      </c>
      <c r="G90" s="44">
        <v>55780.545360881035</v>
      </c>
      <c r="H90" s="44">
        <v>56342.16585658617</v>
      </c>
      <c r="I90" s="44">
        <v>62042.49925676</v>
      </c>
    </row>
    <row r="91" spans="1:9" ht="14.25">
      <c r="A91" s="43" t="str">
        <f>HLOOKUP(INDICE!$F$2,Nombres!$C$3:$D$636,121,FALSE)</f>
        <v>Inter-area positions</v>
      </c>
      <c r="B91" s="44">
        <v>0</v>
      </c>
      <c r="C91" s="44">
        <v>0</v>
      </c>
      <c r="D91" s="44">
        <v>0</v>
      </c>
      <c r="E91" s="45">
        <v>0</v>
      </c>
      <c r="F91" s="44">
        <v>0</v>
      </c>
      <c r="G91" s="44">
        <v>0</v>
      </c>
      <c r="H91" s="44">
        <v>0</v>
      </c>
      <c r="I91" s="44">
        <v>0</v>
      </c>
    </row>
    <row r="92" spans="1:9" ht="14.25">
      <c r="A92" s="43" t="str">
        <f>HLOOKUP(INDICE!$F$2,Nombres!$C$3:$D$636,56,FALSE)</f>
        <v>Tangible assets</v>
      </c>
      <c r="B92" s="44">
        <v>53.28103576179491</v>
      </c>
      <c r="C92" s="44">
        <v>52.27651711152551</v>
      </c>
      <c r="D92" s="44">
        <v>49.678847594391094</v>
      </c>
      <c r="E92" s="45">
        <v>48.24372616771678</v>
      </c>
      <c r="F92" s="44">
        <v>44.41436284541891</v>
      </c>
      <c r="G92" s="44">
        <v>41.456429416071835</v>
      </c>
      <c r="H92" s="44">
        <v>38.41455202990802</v>
      </c>
      <c r="I92" s="44">
        <v>42.97531898</v>
      </c>
    </row>
    <row r="93" spans="1:9" ht="14.25">
      <c r="A93" s="43" t="str">
        <f>HLOOKUP(INDICE!$F$2,Nombres!$C$3:$D$636,57,FALSE)</f>
        <v>Other assets</v>
      </c>
      <c r="B93" s="58">
        <f>+B94-B92-B89-B88-B87-B91</f>
        <v>1193.19176496816</v>
      </c>
      <c r="C93" s="58">
        <f aca="true" t="shared" si="15" ref="C93:I93">+C94-C92-C89-C88-C87-C91</f>
        <v>1235.6217249738493</v>
      </c>
      <c r="D93" s="58">
        <f t="shared" si="15"/>
        <v>1492.4638993801746</v>
      </c>
      <c r="E93" s="65">
        <f t="shared" si="15"/>
        <v>759.7054672045115</v>
      </c>
      <c r="F93" s="58">
        <f t="shared" si="15"/>
        <v>1154.8079300686313</v>
      </c>
      <c r="G93" s="58">
        <f t="shared" si="15"/>
        <v>2383.2665142496744</v>
      </c>
      <c r="H93" s="58">
        <f t="shared" si="15"/>
        <v>1802.0637701187125</v>
      </c>
      <c r="I93" s="58">
        <f t="shared" si="15"/>
        <v>109.90630291001071</v>
      </c>
    </row>
    <row r="94" spans="1:9" ht="14.25">
      <c r="A94" s="47" t="str">
        <f>HLOOKUP(INDICE!$F$2,Nombres!$C$3:$D$636,58,FALSE)</f>
        <v>Total assets / Liabilities and equity</v>
      </c>
      <c r="B94" s="47">
        <v>219166.3926448343</v>
      </c>
      <c r="C94" s="47">
        <v>202254.31335512645</v>
      </c>
      <c r="D94" s="47">
        <v>185177.58334625038</v>
      </c>
      <c r="E94" s="71">
        <v>185513.65671267023</v>
      </c>
      <c r="F94" s="51">
        <v>175301.55840368895</v>
      </c>
      <c r="G94" s="51">
        <v>181695.04349203402</v>
      </c>
      <c r="H94" s="51">
        <v>186084.41919347952</v>
      </c>
      <c r="I94" s="51">
        <v>209352.03861667</v>
      </c>
    </row>
    <row r="95" spans="1:9" ht="14.25">
      <c r="A95" s="43" t="str">
        <f>HLOOKUP(INDICE!$F$2,Nombres!$C$3:$D$636,59,FALSE)</f>
        <v>Financial liabilities held for trading and designated at fair value through profit or loss</v>
      </c>
      <c r="B95" s="58">
        <v>116826.97401970271</v>
      </c>
      <c r="C95" s="58">
        <v>106821.89803010129</v>
      </c>
      <c r="D95" s="58">
        <v>92836.65108573828</v>
      </c>
      <c r="E95" s="65">
        <v>85818.23582820795</v>
      </c>
      <c r="F95" s="44">
        <v>81538.61179124385</v>
      </c>
      <c r="G95" s="44">
        <v>82519.06374709286</v>
      </c>
      <c r="H95" s="44">
        <v>83416.75150949831</v>
      </c>
      <c r="I95" s="44">
        <v>95283.13941246</v>
      </c>
    </row>
    <row r="96" spans="1:9" ht="14.25">
      <c r="A96" s="43" t="str">
        <f>HLOOKUP(INDICE!$F$2,Nombres!$C$3:$D$636,60,FALSE)</f>
        <v>Deposits from central banks and credit institutions</v>
      </c>
      <c r="B96" s="58">
        <v>19443.244952017427</v>
      </c>
      <c r="C96" s="58">
        <v>15119.35986651956</v>
      </c>
      <c r="D96" s="58">
        <v>12224.688837721904</v>
      </c>
      <c r="E96" s="65">
        <v>16010.28949795109</v>
      </c>
      <c r="F96" s="44">
        <v>14246.641300737307</v>
      </c>
      <c r="G96" s="44">
        <v>14906.17286394367</v>
      </c>
      <c r="H96" s="44">
        <v>15352.594267352075</v>
      </c>
      <c r="I96" s="44">
        <v>12883.517656659998</v>
      </c>
    </row>
    <row r="97" spans="1:9" ht="14.25">
      <c r="A97" s="43" t="str">
        <f>HLOOKUP(INDICE!$F$2,Nombres!$C$3:$D$636,61,FALSE)</f>
        <v>Deposits from customers</v>
      </c>
      <c r="B97" s="58">
        <v>35449.54662263366</v>
      </c>
      <c r="C97" s="58">
        <v>38052.51989055325</v>
      </c>
      <c r="D97" s="58">
        <v>39074.096095533445</v>
      </c>
      <c r="E97" s="65">
        <v>42198.93729061572</v>
      </c>
      <c r="F97" s="44">
        <v>35658.681241835904</v>
      </c>
      <c r="G97" s="44">
        <v>36475.29614064863</v>
      </c>
      <c r="H97" s="44">
        <v>36271.85566975704</v>
      </c>
      <c r="I97" s="44">
        <v>38359.8209804</v>
      </c>
    </row>
    <row r="98" spans="1:9" ht="14.25">
      <c r="A98" s="43" t="str">
        <f>HLOOKUP(INDICE!$F$2,Nombres!$C$3:$D$636,62,FALSE)</f>
        <v>Debt certificates</v>
      </c>
      <c r="B98" s="44">
        <v>2235.403673783582</v>
      </c>
      <c r="C98" s="44">
        <v>1769.0117348220558</v>
      </c>
      <c r="D98" s="44">
        <v>1767.8870667885963</v>
      </c>
      <c r="E98" s="45">
        <v>1975.5418234359427</v>
      </c>
      <c r="F98" s="44">
        <v>2160.327400402897</v>
      </c>
      <c r="G98" s="44">
        <v>2721.5093250577042</v>
      </c>
      <c r="H98" s="44">
        <v>3142.925232368969</v>
      </c>
      <c r="I98" s="44">
        <v>5746.027308900001</v>
      </c>
    </row>
    <row r="99" spans="1:9" ht="14.25">
      <c r="A99" s="43" t="str">
        <f>HLOOKUP(INDICE!$F$2,Nombres!$C$3:$D$636,122,FALSE)</f>
        <v>Inter-area positions</v>
      </c>
      <c r="B99" s="44">
        <v>33724.89925374903</v>
      </c>
      <c r="C99" s="44">
        <v>28905.65995140334</v>
      </c>
      <c r="D99" s="44">
        <v>27524.03128086747</v>
      </c>
      <c r="E99" s="45">
        <v>28669.118271736228</v>
      </c>
      <c r="F99" s="44">
        <v>31439.843208468934</v>
      </c>
      <c r="G99" s="44">
        <v>32372.14605308433</v>
      </c>
      <c r="H99" s="44">
        <v>35472.43616317958</v>
      </c>
      <c r="I99" s="44">
        <v>44183.537322375596</v>
      </c>
    </row>
    <row r="100" spans="1:9" ht="14.25">
      <c r="A100" s="43" t="str">
        <f>HLOOKUP(INDICE!$F$2,Nombres!$C$3:$D$636,63,FALSE)</f>
        <v>Other liabilities</v>
      </c>
      <c r="B100" s="44">
        <f>+B94-B95-B96-B97-B98-B101-B99</f>
        <v>1893.8973839555038</v>
      </c>
      <c r="C100" s="44">
        <f aca="true" t="shared" si="16" ref="C100:I100">+C94-C95-C96-C97-C98-C101-C99</f>
        <v>2017.9441738859932</v>
      </c>
      <c r="D100" s="44">
        <f t="shared" si="16"/>
        <v>2903.0326090701674</v>
      </c>
      <c r="E100" s="45">
        <f t="shared" si="16"/>
        <v>2550.823887391176</v>
      </c>
      <c r="F100" s="44">
        <f t="shared" si="16"/>
        <v>1939.21929030311</v>
      </c>
      <c r="G100" s="44">
        <f t="shared" si="16"/>
        <v>3129.919437040404</v>
      </c>
      <c r="H100" s="44">
        <f t="shared" si="16"/>
        <v>2872.452342048229</v>
      </c>
      <c r="I100" s="44">
        <f t="shared" si="16"/>
        <v>2912.596350016247</v>
      </c>
    </row>
    <row r="101" spans="1:9" ht="14.25">
      <c r="A101" s="43" t="str">
        <f>HLOOKUP(INDICE!$F$2,Nombres!$C$3:$D$636,282,FALSE)</f>
        <v>Regulatory capital allocated</v>
      </c>
      <c r="B101" s="44">
        <v>9592.426738992386</v>
      </c>
      <c r="C101" s="44">
        <v>9567.919707840949</v>
      </c>
      <c r="D101" s="44">
        <v>8847.19637053052</v>
      </c>
      <c r="E101" s="45">
        <v>8290.710113332116</v>
      </c>
      <c r="F101" s="44">
        <v>8318.234170696951</v>
      </c>
      <c r="G101" s="44">
        <v>9570.935925166428</v>
      </c>
      <c r="H101" s="44">
        <v>9555.404009275324</v>
      </c>
      <c r="I101" s="44">
        <v>9983.399585858153</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Relevant business indicators</v>
      </c>
      <c r="B104" s="34"/>
      <c r="C104" s="34"/>
      <c r="D104" s="34"/>
      <c r="E104" s="34"/>
      <c r="F104" s="69"/>
      <c r="G104" s="69"/>
      <c r="H104" s="69"/>
      <c r="I104" s="69"/>
    </row>
    <row r="105" spans="1:9" ht="14.25">
      <c r="A105" s="35" t="str">
        <f>HLOOKUP(INDICE!$F$2,Nombres!$C$3:$D$636,73,FALSE)</f>
        <v>(Constant million euros)    </v>
      </c>
      <c r="B105" s="30"/>
      <c r="C105" s="30"/>
      <c r="D105" s="30"/>
      <c r="E105" s="30"/>
      <c r="F105" s="70"/>
      <c r="G105" s="44"/>
      <c r="H105" s="44"/>
      <c r="I105" s="44"/>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43" t="str">
        <f>HLOOKUP(INDICE!$F$2,Nombres!$C$3:$D$636,66,FALSE)</f>
        <v>Loans and advances to customers (gross) (*)</v>
      </c>
      <c r="B107" s="44">
        <v>65211.971457840984</v>
      </c>
      <c r="C107" s="44">
        <v>65881.7140246349</v>
      </c>
      <c r="D107" s="44">
        <v>59615.71943594402</v>
      </c>
      <c r="E107" s="45">
        <v>56038.68378770479</v>
      </c>
      <c r="F107" s="44">
        <v>56268.51648717481</v>
      </c>
      <c r="G107" s="44">
        <v>56540.24666570029</v>
      </c>
      <c r="H107" s="44">
        <v>56860.231463951066</v>
      </c>
      <c r="I107" s="44">
        <v>62896.06160824</v>
      </c>
    </row>
    <row r="108" spans="1:9" ht="14.25">
      <c r="A108" s="43" t="str">
        <f>HLOOKUP(INDICE!$F$2,Nombres!$C$3:$D$636,67,FALSE)</f>
        <v>Customer deposits under management (*)</v>
      </c>
      <c r="B108" s="44">
        <v>35087.01237637846</v>
      </c>
      <c r="C108" s="44">
        <v>37936.24660158876</v>
      </c>
      <c r="D108" s="44">
        <v>38408.20395872007</v>
      </c>
      <c r="E108" s="45">
        <v>41547.621145860634</v>
      </c>
      <c r="F108" s="44">
        <v>35050.530324596824</v>
      </c>
      <c r="G108" s="44">
        <v>35829.7213963118</v>
      </c>
      <c r="H108" s="44">
        <v>35622.40613386668</v>
      </c>
      <c r="I108" s="44">
        <v>37445.11090575</v>
      </c>
    </row>
    <row r="109" spans="1:9" ht="14.25">
      <c r="A109" s="43" t="str">
        <f>HLOOKUP(INDICE!$F$2,Nombres!$C$3:$D$636,68,FALSE)</f>
        <v>Mutual funds</v>
      </c>
      <c r="B109" s="44">
        <v>475.7565503242409</v>
      </c>
      <c r="C109" s="44">
        <v>992.0958966460468</v>
      </c>
      <c r="D109" s="44">
        <v>889.7213811879278</v>
      </c>
      <c r="E109" s="45">
        <v>889.7255195763315</v>
      </c>
      <c r="F109" s="44">
        <v>956.4178383656028</v>
      </c>
      <c r="G109" s="44">
        <v>963.4184043146641</v>
      </c>
      <c r="H109" s="44">
        <v>1044.398007797564</v>
      </c>
      <c r="I109" s="44">
        <v>1144.9263371299999</v>
      </c>
    </row>
    <row r="110" spans="1:9" ht="14.25">
      <c r="A110" s="43" t="str">
        <f>HLOOKUP(INDICE!$F$2,Nombres!$C$3:$D$636,69,FALSE)</f>
        <v>Pension funds</v>
      </c>
      <c r="B110" s="44">
        <v>0</v>
      </c>
      <c r="C110" s="44">
        <v>0</v>
      </c>
      <c r="D110" s="44">
        <v>0</v>
      </c>
      <c r="E110" s="45">
        <v>0</v>
      </c>
      <c r="F110" s="44">
        <v>0</v>
      </c>
      <c r="G110" s="44">
        <v>0</v>
      </c>
      <c r="H110" s="44">
        <v>0</v>
      </c>
      <c r="I110" s="44">
        <v>0</v>
      </c>
    </row>
    <row r="111" spans="1:9" ht="14.25">
      <c r="A111" s="43" t="str">
        <f>HLOOKUP(INDICE!$F$2,Nombres!$C$3:$D$636,70,FALSE)</f>
        <v>Other off balance-sheet funds</v>
      </c>
      <c r="B111" s="44">
        <v>146.98755077143556</v>
      </c>
      <c r="C111" s="44">
        <v>174.00836403924365</v>
      </c>
      <c r="D111" s="44">
        <v>115.05428704425702</v>
      </c>
      <c r="E111" s="45">
        <v>85.336371929761</v>
      </c>
      <c r="F111" s="44">
        <v>96.35857030119598</v>
      </c>
      <c r="G111" s="44">
        <v>118.50002987345343</v>
      </c>
      <c r="H111" s="44">
        <v>115.7811789663092</v>
      </c>
      <c r="I111" s="44">
        <v>104.17368884999999</v>
      </c>
    </row>
    <row r="112" spans="1:9" ht="14.25">
      <c r="A112" s="62" t="str">
        <f>HLOOKUP(INDICE!$F$2,Nombres!$C$3:$D$636,71,FALSE)</f>
        <v>(*) Excluding repos. </v>
      </c>
      <c r="B112" s="58"/>
      <c r="C112" s="58"/>
      <c r="D112" s="58"/>
      <c r="E112" s="58"/>
      <c r="F112" s="58"/>
      <c r="G112" s="58"/>
      <c r="H112" s="58"/>
      <c r="I112" s="58"/>
    </row>
    <row r="113" spans="1:9" ht="14.25">
      <c r="A113" s="62">
        <f>HLOOKUP(INDICE!$F$2,Nombres!$C$3:$D$636,72,FALSE)</f>
        <v>0</v>
      </c>
      <c r="B113" s="30"/>
      <c r="C113" s="30"/>
      <c r="D113" s="30"/>
      <c r="E113" s="30"/>
      <c r="F113" s="30"/>
      <c r="G113" s="30"/>
      <c r="H113" s="30"/>
      <c r="I113" s="30"/>
    </row>
    <row r="114" spans="1:9" ht="14.25">
      <c r="A114" s="62"/>
      <c r="B114" s="58"/>
      <c r="C114" s="44"/>
      <c r="D114" s="44"/>
      <c r="E114" s="44"/>
      <c r="F114" s="44"/>
      <c r="G114" s="30"/>
      <c r="H114" s="30"/>
      <c r="I114" s="30"/>
    </row>
    <row r="119" spans="2:9" ht="14.25">
      <c r="B119" s="54"/>
      <c r="C119" s="54"/>
      <c r="D119" s="54"/>
      <c r="E119" s="54"/>
      <c r="F119" s="54"/>
      <c r="G119" s="54"/>
      <c r="H119" s="54"/>
      <c r="I119" s="54"/>
    </row>
    <row r="120" spans="6:9" ht="14.25">
      <c r="F120" s="82"/>
      <c r="G120" s="82"/>
      <c r="H120" s="82"/>
      <c r="I120" s="82"/>
    </row>
    <row r="121" spans="6:9" ht="14.25">
      <c r="F121" s="82"/>
      <c r="G121" s="82"/>
      <c r="H121" s="82"/>
      <c r="I121" s="82"/>
    </row>
    <row r="122" spans="6:9" ht="14.25">
      <c r="F122" s="82"/>
      <c r="G122" s="82"/>
      <c r="H122" s="82"/>
      <c r="I122" s="82"/>
    </row>
    <row r="123" spans="6:9" ht="14.25">
      <c r="F123" s="82"/>
      <c r="G123" s="82"/>
      <c r="H123" s="82"/>
      <c r="I123" s="82"/>
    </row>
    <row r="124" spans="6:9" ht="14.25">
      <c r="F124" s="82"/>
      <c r="G124" s="82"/>
      <c r="H124" s="82"/>
      <c r="I124" s="82"/>
    </row>
    <row r="125" spans="6:9" ht="14.25">
      <c r="F125" s="82"/>
      <c r="G125" s="82"/>
      <c r="H125" s="82"/>
      <c r="I125" s="82"/>
    </row>
    <row r="126" spans="6:9" ht="14.25">
      <c r="F126" s="82"/>
      <c r="G126" s="82"/>
      <c r="H126" s="82"/>
      <c r="I126" s="82"/>
    </row>
    <row r="127" spans="6:9" ht="14.25">
      <c r="F127" s="82"/>
      <c r="G127" s="82"/>
      <c r="H127" s="82"/>
      <c r="I127" s="82"/>
    </row>
    <row r="128" spans="6:9" ht="14.25">
      <c r="F128" s="82"/>
      <c r="G128" s="82"/>
      <c r="H128" s="82"/>
      <c r="I128" s="82"/>
    </row>
    <row r="129" spans="6:9" ht="14.25">
      <c r="F129" s="82"/>
      <c r="G129" s="82"/>
      <c r="H129" s="82"/>
      <c r="I129" s="82"/>
    </row>
    <row r="130" spans="6:9" ht="14.25">
      <c r="F130" s="82"/>
      <c r="G130" s="82"/>
      <c r="H130" s="82"/>
      <c r="I130" s="82"/>
    </row>
    <row r="131" spans="6:9" ht="14.25">
      <c r="F131" s="82"/>
      <c r="G131" s="82"/>
      <c r="H131" s="82"/>
      <c r="I131" s="82"/>
    </row>
    <row r="132" spans="6:9" ht="14.25">
      <c r="F132" s="82"/>
      <c r="G132" s="82"/>
      <c r="H132" s="82"/>
      <c r="I132" s="82"/>
    </row>
    <row r="133" spans="6:9" ht="14.25">
      <c r="F133" s="82"/>
      <c r="G133" s="82"/>
      <c r="H133" s="82"/>
      <c r="I133" s="82"/>
    </row>
    <row r="134" spans="6:9" ht="14.25">
      <c r="F134" s="82"/>
      <c r="G134" s="82"/>
      <c r="H134" s="82"/>
      <c r="I134" s="82"/>
    </row>
    <row r="135" spans="6:9" ht="14.25">
      <c r="F135" s="82"/>
      <c r="G135" s="82"/>
      <c r="H135" s="82"/>
      <c r="I135" s="82"/>
    </row>
    <row r="136" spans="6:9" ht="14.25">
      <c r="F136" s="82"/>
      <c r="G136" s="82"/>
      <c r="H136" s="82"/>
      <c r="I136" s="82"/>
    </row>
    <row r="137" spans="6:9" ht="14.25">
      <c r="F137" s="82"/>
      <c r="G137" s="82"/>
      <c r="H137" s="82"/>
      <c r="I137" s="82"/>
    </row>
    <row r="138" spans="6:9" ht="14.25">
      <c r="F138" s="82"/>
      <c r="G138" s="82"/>
      <c r="H138" s="82"/>
      <c r="I138" s="82"/>
    </row>
    <row r="139" spans="6:9" ht="14.25">
      <c r="F139" s="82"/>
      <c r="G139" s="82"/>
      <c r="H139" s="82"/>
      <c r="I139" s="82"/>
    </row>
    <row r="140" spans="6:9" ht="14.25">
      <c r="F140" s="82"/>
      <c r="G140" s="82"/>
      <c r="H140" s="82"/>
      <c r="I140" s="82"/>
    </row>
    <row r="141" spans="6:9" ht="14.25">
      <c r="F141" s="82"/>
      <c r="G141" s="82"/>
      <c r="H141" s="82"/>
      <c r="I141" s="82"/>
    </row>
    <row r="142" spans="6:9" ht="14.25">
      <c r="F142" s="82"/>
      <c r="G142" s="82"/>
      <c r="H142" s="82"/>
      <c r="I142" s="82"/>
    </row>
    <row r="143" spans="6:9" ht="14.25">
      <c r="F143" s="82"/>
      <c r="G143" s="82"/>
      <c r="H143" s="82"/>
      <c r="I143" s="82"/>
    </row>
    <row r="144" spans="6:9" ht="14.25">
      <c r="F144" s="82"/>
      <c r="G144" s="82"/>
      <c r="H144" s="82"/>
      <c r="I144" s="82"/>
    </row>
    <row r="145" spans="6:9" ht="14.25">
      <c r="F145" s="82"/>
      <c r="G145" s="82"/>
      <c r="H145" s="82"/>
      <c r="I145" s="82"/>
    </row>
    <row r="146" spans="6:9" ht="14.25">
      <c r="F146" s="82"/>
      <c r="G146" s="82"/>
      <c r="H146" s="82"/>
      <c r="I146" s="82"/>
    </row>
    <row r="147" spans="6:9" ht="14.25">
      <c r="F147" s="82"/>
      <c r="G147" s="82"/>
      <c r="H147" s="82"/>
      <c r="I147" s="82"/>
    </row>
    <row r="148" spans="6:9" ht="14.25">
      <c r="F148" s="82"/>
      <c r="G148" s="82"/>
      <c r="H148" s="82"/>
      <c r="I148" s="82"/>
    </row>
    <row r="149" spans="6:9" ht="14.25">
      <c r="F149" s="82"/>
      <c r="G149" s="82"/>
      <c r="H149" s="82"/>
      <c r="I149" s="82"/>
    </row>
    <row r="150" spans="6:9" ht="14.25">
      <c r="F150" s="82"/>
      <c r="G150" s="82"/>
      <c r="H150" s="82"/>
      <c r="I150" s="82"/>
    </row>
    <row r="151" spans="6:9" ht="14.25">
      <c r="F151" s="82"/>
      <c r="G151" s="82"/>
      <c r="H151" s="82"/>
      <c r="I151" s="82"/>
    </row>
    <row r="152" spans="6:9" ht="14.25">
      <c r="F152" s="82"/>
      <c r="G152" s="82"/>
      <c r="H152" s="82"/>
      <c r="I152" s="82"/>
    </row>
    <row r="153" spans="6:9" ht="14.25">
      <c r="F153" s="82"/>
      <c r="G153" s="82"/>
      <c r="H153" s="82"/>
      <c r="I153" s="82"/>
    </row>
    <row r="154" spans="6:9" ht="14.25">
      <c r="F154" s="82"/>
      <c r="G154" s="82"/>
      <c r="H154" s="82"/>
      <c r="I154" s="82"/>
    </row>
    <row r="155" spans="6:9" ht="14.25">
      <c r="F155" s="82"/>
      <c r="G155" s="82"/>
      <c r="H155" s="82"/>
      <c r="I155" s="82"/>
    </row>
    <row r="156" spans="6:9" ht="14.25">
      <c r="F156" s="82"/>
      <c r="G156" s="82"/>
      <c r="H156" s="82"/>
      <c r="I156" s="82"/>
    </row>
    <row r="157" spans="6:9" ht="14.25">
      <c r="F157" s="82"/>
      <c r="G157" s="82"/>
      <c r="H157" s="82"/>
      <c r="I157" s="82"/>
    </row>
    <row r="158" spans="6:9" ht="14.25">
      <c r="F158" s="82"/>
      <c r="G158" s="82"/>
      <c r="H158" s="82"/>
      <c r="I158" s="82"/>
    </row>
    <row r="159" spans="6:9" ht="14.25">
      <c r="F159" s="82"/>
      <c r="G159" s="82"/>
      <c r="H159" s="82"/>
      <c r="I159" s="82"/>
    </row>
    <row r="160" spans="6:9" ht="14.25">
      <c r="F160" s="82"/>
      <c r="G160" s="82"/>
      <c r="H160" s="82"/>
      <c r="I160" s="82"/>
    </row>
    <row r="161" spans="6:9" ht="14.25">
      <c r="F161" s="82"/>
      <c r="G161" s="82"/>
      <c r="H161" s="82"/>
      <c r="I161" s="82"/>
    </row>
    <row r="162" spans="6:9" ht="14.25">
      <c r="F162" s="82"/>
      <c r="G162" s="82"/>
      <c r="H162" s="82"/>
      <c r="I162" s="82"/>
    </row>
    <row r="163" spans="6:9" ht="14.25">
      <c r="F163" s="82"/>
      <c r="G163" s="82"/>
      <c r="H163" s="82"/>
      <c r="I163" s="82"/>
    </row>
    <row r="164" spans="6:9" ht="14.25">
      <c r="F164" s="82"/>
      <c r="G164" s="82"/>
      <c r="H164" s="82"/>
      <c r="I164" s="82"/>
    </row>
    <row r="165" spans="6:9" ht="14.25">
      <c r="F165" s="82"/>
      <c r="G165" s="82"/>
      <c r="H165" s="82"/>
      <c r="I165" s="82"/>
    </row>
    <row r="166" spans="6:9" ht="14.25">
      <c r="F166" s="82"/>
      <c r="G166" s="82"/>
      <c r="H166" s="82"/>
      <c r="I166" s="82"/>
    </row>
    <row r="1000" ht="14.25">
      <c r="A1000" s="31" t="s">
        <v>396</v>
      </c>
    </row>
  </sheetData>
  <sheetProtection/>
  <mergeCells count="6">
    <mergeCell ref="B6:E6"/>
    <mergeCell ref="B62:E62"/>
    <mergeCell ref="F6:I6"/>
    <mergeCell ref="F62:I62"/>
    <mergeCell ref="A2:I2"/>
    <mergeCell ref="A26:I26"/>
  </mergeCells>
  <conditionalFormatting sqref="B82:I82">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IU998"/>
  <sheetViews>
    <sheetView showGridLines="0" zoomScalePageLayoutView="0" workbookViewId="0" topLeftCell="A1">
      <selection activeCell="A1" sqref="A1"/>
    </sheetView>
  </sheetViews>
  <sheetFormatPr defaultColWidth="12.57421875" defaultRowHeight="15"/>
  <cols>
    <col min="1" max="1" width="40.7109375" style="97" customWidth="1"/>
    <col min="2" max="9" width="10.00390625" style="97" customWidth="1"/>
    <col min="10" max="255" width="12.57421875" style="97" customWidth="1"/>
  </cols>
  <sheetData>
    <row r="1" spans="1:9" ht="16.5">
      <c r="A1" s="95" t="str">
        <f>HLOOKUP(INDICE!$F$2,Nombres!$C$3:$D$636,82,FALSE)</f>
        <v>Efficiency (*)</v>
      </c>
      <c r="B1" s="96"/>
      <c r="C1" s="96"/>
      <c r="D1" s="96"/>
      <c r="E1" s="96"/>
      <c r="F1" s="96"/>
      <c r="G1" s="96"/>
      <c r="H1" s="96"/>
      <c r="I1" s="96"/>
    </row>
    <row r="2" spans="1:9" ht="14.25">
      <c r="A2" s="98" t="str">
        <f>HLOOKUP(INDICE!$F$2,Nombres!$C$3:$D$636,84,FALSE)</f>
        <v>(Percentage)</v>
      </c>
      <c r="B2" s="99"/>
      <c r="C2" s="99"/>
      <c r="D2" s="99"/>
      <c r="E2" s="99"/>
      <c r="F2" s="99"/>
      <c r="G2" s="99"/>
      <c r="H2" s="99"/>
      <c r="I2" s="99"/>
    </row>
    <row r="3" spans="1:9" ht="14.25">
      <c r="A3" s="100"/>
      <c r="B3" s="101">
        <f>+España!B30</f>
        <v>43921</v>
      </c>
      <c r="C3" s="101">
        <f>+España!C30</f>
        <v>44012</v>
      </c>
      <c r="D3" s="101">
        <f>+España!D30</f>
        <v>44104</v>
      </c>
      <c r="E3" s="101">
        <f>+España!E30</f>
        <v>44196</v>
      </c>
      <c r="F3" s="101">
        <f>+España!F30</f>
        <v>44286</v>
      </c>
      <c r="G3" s="101">
        <f>+España!G30</f>
        <v>44377</v>
      </c>
      <c r="H3" s="101">
        <f>+España!H30</f>
        <v>44469</v>
      </c>
      <c r="I3" s="101">
        <f>+España!I30</f>
        <v>44561</v>
      </c>
    </row>
    <row r="4" spans="1:9" ht="14.25">
      <c r="A4" s="99"/>
      <c r="B4" s="102"/>
      <c r="C4" s="102"/>
      <c r="D4" s="102"/>
      <c r="E4" s="103"/>
      <c r="F4" s="102"/>
      <c r="G4" s="102"/>
      <c r="H4" s="99"/>
      <c r="I4" s="99"/>
    </row>
    <row r="5" spans="1:255" ht="14.25">
      <c r="A5" s="104" t="str">
        <f>HLOOKUP(INDICE!$F$2,Nombres!$C$3:$D$636,276,FALSE)</f>
        <v>BBVA Group  (**)</v>
      </c>
      <c r="B5" s="105">
        <v>42.877918340453824</v>
      </c>
      <c r="C5" s="105">
        <v>43.79781835268254</v>
      </c>
      <c r="D5" s="105">
        <v>43.68327445457022</v>
      </c>
      <c r="E5" s="106">
        <v>45.06317990535618</v>
      </c>
      <c r="F5" s="249">
        <v>44.70282177732533</v>
      </c>
      <c r="G5" s="249">
        <v>44.81983400218053</v>
      </c>
      <c r="H5" s="249">
        <v>44.74692214406712</v>
      </c>
      <c r="I5" s="249">
        <v>45.23771762654422</v>
      </c>
      <c r="J5" s="108"/>
      <c r="K5" s="108"/>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12" ht="14.25">
      <c r="A6" s="99"/>
      <c r="B6" s="109"/>
      <c r="C6" s="109"/>
      <c r="D6" s="109"/>
      <c r="E6" s="110"/>
      <c r="F6" s="109"/>
      <c r="G6" s="109"/>
      <c r="H6" s="109"/>
      <c r="I6" s="109"/>
      <c r="J6" s="111"/>
      <c r="K6" s="111"/>
      <c r="L6" s="111"/>
    </row>
    <row r="7" spans="1:255" ht="14.25">
      <c r="A7" s="59" t="str">
        <f>HLOOKUP(INDICE!$F$2,Nombres!$C$3:$D$636,7,FALSE)</f>
        <v>Spain</v>
      </c>
      <c r="B7" s="112">
        <v>51.6208190875511</v>
      </c>
      <c r="C7" s="112">
        <v>52.700870622629346</v>
      </c>
      <c r="D7" s="112">
        <v>51.966629971940506</v>
      </c>
      <c r="E7" s="113">
        <v>54.590530353806685</v>
      </c>
      <c r="F7" s="114">
        <v>45.74427545537934</v>
      </c>
      <c r="G7" s="114">
        <v>49.0460063784315</v>
      </c>
      <c r="H7" s="114">
        <v>49.33703292814719</v>
      </c>
      <c r="I7" s="114">
        <v>51.141140622551006</v>
      </c>
      <c r="J7" s="108"/>
      <c r="K7" s="108"/>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2" ht="14.25">
      <c r="A8" s="99"/>
      <c r="B8" s="109"/>
      <c r="C8" s="109"/>
      <c r="D8" s="109"/>
      <c r="E8" s="110"/>
      <c r="F8" s="109"/>
      <c r="G8" s="109"/>
      <c r="H8" s="109"/>
      <c r="I8" s="109"/>
      <c r="J8" s="115"/>
      <c r="K8" s="111"/>
      <c r="L8" s="111"/>
    </row>
    <row r="9" spans="1:255" ht="14.25">
      <c r="A9" s="59" t="str">
        <f>HLOOKUP(INDICE!$F$2,Nombres!$C$3:$D$636,11,FALSE)</f>
        <v>Mexico</v>
      </c>
      <c r="B9" s="112">
        <v>33.23742563601183</v>
      </c>
      <c r="C9" s="112">
        <v>33.83569758591643</v>
      </c>
      <c r="D9" s="112">
        <v>33.326516700260974</v>
      </c>
      <c r="E9" s="113">
        <v>33.37414884838819</v>
      </c>
      <c r="F9" s="114">
        <v>35.34380070673852</v>
      </c>
      <c r="G9" s="114">
        <v>35.15899028816013</v>
      </c>
      <c r="H9" s="114">
        <v>35.05862073787509</v>
      </c>
      <c r="I9" s="114">
        <v>34.97278714954564</v>
      </c>
      <c r="J9" s="115"/>
      <c r="K9" s="108"/>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2" ht="14.25">
      <c r="A10" s="99"/>
      <c r="B10" s="109"/>
      <c r="C10" s="109"/>
      <c r="D10" s="109"/>
      <c r="E10" s="110"/>
      <c r="F10" s="109"/>
      <c r="G10" s="109"/>
      <c r="H10" s="109"/>
      <c r="I10" s="109"/>
      <c r="J10" s="115"/>
      <c r="K10" s="111"/>
      <c r="L10" s="111"/>
    </row>
    <row r="11" spans="1:12" ht="14.25">
      <c r="A11" s="59" t="str">
        <f>HLOOKUP(INDICE!$F$2,Nombres!$C$3:$D$636,12,FALSE)</f>
        <v>Turkey </v>
      </c>
      <c r="B11" s="112">
        <v>28.873108173298164</v>
      </c>
      <c r="C11" s="112">
        <v>28.742199449363337</v>
      </c>
      <c r="D11" s="112">
        <v>27.62314239827984</v>
      </c>
      <c r="E11" s="113">
        <v>28.80963821216007</v>
      </c>
      <c r="F11" s="114">
        <v>31.767798882421243</v>
      </c>
      <c r="G11" s="114">
        <v>31.730747139269177</v>
      </c>
      <c r="H11" s="114">
        <v>30.408743315826758</v>
      </c>
      <c r="I11" s="114">
        <v>29.46697764303793</v>
      </c>
      <c r="J11" s="108"/>
      <c r="K11" s="111"/>
      <c r="L11" s="111"/>
    </row>
    <row r="12" spans="1:12" ht="14.25">
      <c r="A12" s="99"/>
      <c r="B12" s="109"/>
      <c r="C12" s="109"/>
      <c r="D12" s="109"/>
      <c r="E12" s="110"/>
      <c r="F12" s="109"/>
      <c r="G12" s="109"/>
      <c r="H12" s="109"/>
      <c r="I12" s="109"/>
      <c r="J12" s="111"/>
      <c r="K12" s="111"/>
      <c r="L12" s="111"/>
    </row>
    <row r="13" spans="1:255" ht="14.25">
      <c r="A13" s="59" t="str">
        <f>HLOOKUP(INDICE!$F$2,Nombres!$C$3:$D$636,13,FALSE)</f>
        <v>South America</v>
      </c>
      <c r="B13" s="112">
        <v>45.16998086668612</v>
      </c>
      <c r="C13" s="112">
        <v>43.212821699392315</v>
      </c>
      <c r="D13" s="112">
        <v>42.765179207901255</v>
      </c>
      <c r="E13" s="113">
        <v>42.55464440923582</v>
      </c>
      <c r="F13" s="114">
        <v>47.208916874612655</v>
      </c>
      <c r="G13" s="114">
        <v>46.132936446249715</v>
      </c>
      <c r="H13" s="114">
        <v>46.809714369190964</v>
      </c>
      <c r="I13" s="114">
        <v>47.47472178828779</v>
      </c>
      <c r="J13" s="108"/>
      <c r="K13" s="108"/>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2" ht="14.25">
      <c r="A14" s="99"/>
      <c r="B14" s="109"/>
      <c r="C14" s="109"/>
      <c r="D14" s="109"/>
      <c r="E14" s="110"/>
      <c r="F14" s="109"/>
      <c r="G14" s="109"/>
      <c r="H14" s="109"/>
      <c r="I14" s="109"/>
      <c r="J14" s="111"/>
      <c r="K14" s="111"/>
      <c r="L14" s="111"/>
    </row>
    <row r="15" spans="1:255" ht="14.25">
      <c r="A15" s="59" t="str">
        <f>HLOOKUP(INDICE!$F$2,Nombres!$C$3:$D$636,263,FALSE)</f>
        <v>Rest of Business</v>
      </c>
      <c r="B15" s="112">
        <v>59.19744366628841</v>
      </c>
      <c r="C15" s="112">
        <v>51.0606759577111</v>
      </c>
      <c r="D15" s="112">
        <v>52.474947071553736</v>
      </c>
      <c r="E15" s="113">
        <v>55.618256122538135</v>
      </c>
      <c r="F15" s="114">
        <v>52.640405898255324</v>
      </c>
      <c r="G15" s="114">
        <v>56.66192228280581</v>
      </c>
      <c r="H15" s="114">
        <v>57.24026891178288</v>
      </c>
      <c r="I15" s="114">
        <v>60.7828852472372</v>
      </c>
      <c r="K15" s="108"/>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12" ht="14.25">
      <c r="A16" s="99"/>
      <c r="B16" s="116"/>
      <c r="C16" s="116"/>
      <c r="D16" s="116"/>
      <c r="E16" s="116"/>
      <c r="F16" s="116"/>
      <c r="G16" s="116"/>
      <c r="H16" s="99"/>
      <c r="I16" s="274"/>
      <c r="J16" s="111"/>
      <c r="K16" s="111"/>
      <c r="L16" s="111"/>
    </row>
    <row r="17" spans="1:10" ht="14.25">
      <c r="A17" s="117" t="str">
        <f>HLOOKUP(INDICE!$F$2,Nombres!$C$3:$D$636,83,FALSE)</f>
        <v>(*) Operating expenses / Gross income. Including depreciation</v>
      </c>
      <c r="B17" s="99"/>
      <c r="C17" s="99"/>
      <c r="D17" s="99"/>
      <c r="E17" s="99"/>
      <c r="F17" s="99"/>
      <c r="G17" s="99"/>
      <c r="H17" s="99"/>
      <c r="I17" s="274"/>
      <c r="J17" s="111"/>
    </row>
    <row r="18" spans="1:12" ht="14.25">
      <c r="A18" s="118"/>
      <c r="B18" s="118"/>
      <c r="C18" s="118"/>
      <c r="D18" s="118"/>
      <c r="E18" s="118"/>
      <c r="F18" s="118"/>
      <c r="G18" s="118"/>
      <c r="H18" s="118"/>
      <c r="I18" s="275"/>
      <c r="J18" s="111"/>
      <c r="K18" s="111"/>
      <c r="L18" s="111"/>
    </row>
    <row r="19" spans="1:12" ht="14.25">
      <c r="A19" s="117" t="str">
        <f>HLOOKUP(INDICE!$F$2,Nombres!$C$3:$D$636,277,FALSE)</f>
        <v>(**) BBVA Group excludes  the US Business sold to PNC.</v>
      </c>
      <c r="B19" s="118"/>
      <c r="C19" s="118"/>
      <c r="D19" s="118"/>
      <c r="E19" s="118"/>
      <c r="F19" s="118"/>
      <c r="G19" s="118"/>
      <c r="H19" s="118"/>
      <c r="I19" s="118"/>
      <c r="K19" s="111"/>
      <c r="L19" s="111"/>
    </row>
    <row r="20" spans="11:12" ht="14.25">
      <c r="K20" s="111"/>
      <c r="L20" s="111"/>
    </row>
    <row r="998" ht="14.25">
      <c r="A998" s="97" t="s">
        <v>396</v>
      </c>
    </row>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IU994"/>
  <sheetViews>
    <sheetView showGridLines="0" zoomScalePageLayoutView="0" workbookViewId="0" topLeftCell="A1">
      <selection activeCell="A1" sqref="A1"/>
    </sheetView>
  </sheetViews>
  <sheetFormatPr defaultColWidth="12.57421875" defaultRowHeight="15"/>
  <cols>
    <col min="1" max="1" width="45.7109375" style="155" customWidth="1"/>
    <col min="2" max="6" width="10.8515625" style="97" customWidth="1" collapsed="1"/>
    <col min="7" max="7" width="10.8515625" style="97" customWidth="1"/>
    <col min="8" max="9" width="10.8515625" style="120" customWidth="1"/>
    <col min="10" max="11" width="9.57421875" style="120" customWidth="1"/>
    <col min="12" max="255" width="12.57421875" style="120" customWidth="1"/>
  </cols>
  <sheetData>
    <row r="1" spans="1:9" ht="19.5">
      <c r="A1" s="95" t="str">
        <f>HLOOKUP(INDICE!$F$2,Nombres!$C$3:$D$636,85,FALSE)</f>
        <v>NPL ratio</v>
      </c>
      <c r="B1" s="119"/>
      <c r="C1" s="119"/>
      <c r="D1" s="119"/>
      <c r="E1" s="119"/>
      <c r="F1" s="119"/>
      <c r="G1" s="96"/>
      <c r="H1" s="96"/>
      <c r="I1" s="96"/>
    </row>
    <row r="2" spans="1:9" ht="14.25">
      <c r="A2" s="98" t="str">
        <f>HLOOKUP(INDICE!$F$2,Nombres!$C$3:$D$636,84,FALSE)</f>
        <v>(Percentage)</v>
      </c>
      <c r="B2" s="99"/>
      <c r="C2" s="99"/>
      <c r="D2" s="99"/>
      <c r="E2" s="99"/>
      <c r="F2" s="99"/>
      <c r="G2" s="99"/>
      <c r="H2" s="99"/>
      <c r="I2" s="99"/>
    </row>
    <row r="3" spans="1:9" ht="14.25">
      <c r="A3" s="99"/>
      <c r="B3" s="121">
        <f>+España!B$30</f>
        <v>43921</v>
      </c>
      <c r="C3" s="121">
        <f>+España!C$30</f>
        <v>44012</v>
      </c>
      <c r="D3" s="121">
        <f>+España!D$30</f>
        <v>44104</v>
      </c>
      <c r="E3" s="121">
        <f>+España!E$30</f>
        <v>44196</v>
      </c>
      <c r="F3" s="121">
        <f>+España!F$30</f>
        <v>44286</v>
      </c>
      <c r="G3" s="121">
        <f>+España!G$30</f>
        <v>44377</v>
      </c>
      <c r="H3" s="121">
        <f>+España!H$30</f>
        <v>44469</v>
      </c>
      <c r="I3" s="121">
        <f>+España!I$30</f>
        <v>44561</v>
      </c>
    </row>
    <row r="4" spans="1:9" ht="14.25">
      <c r="A4" s="99"/>
      <c r="B4" s="102"/>
      <c r="C4" s="102"/>
      <c r="D4" s="99"/>
      <c r="E4" s="122"/>
      <c r="F4" s="102"/>
      <c r="G4" s="102"/>
      <c r="H4" s="99"/>
      <c r="I4" s="99"/>
    </row>
    <row r="5" spans="1:255" ht="14.25">
      <c r="A5" s="104" t="str">
        <f>HLOOKUP(INDICE!$F$2,Nombres!$C$3:$D$636,275,FALSE)</f>
        <v>BBVA Group  (*)</v>
      </c>
      <c r="B5" s="105">
        <v>4.027384466899061</v>
      </c>
      <c r="C5" s="105">
        <v>4.057535133908675</v>
      </c>
      <c r="D5" s="105">
        <v>4.109722415375619</v>
      </c>
      <c r="E5" s="106">
        <v>4.21152541296873</v>
      </c>
      <c r="F5" s="105">
        <v>4.27422612423203</v>
      </c>
      <c r="G5" s="107">
        <v>4.232742966062069</v>
      </c>
      <c r="H5" s="107">
        <v>3.9987137735189493</v>
      </c>
      <c r="I5" s="107">
        <v>4.107089575355595</v>
      </c>
      <c r="J5" s="123"/>
      <c r="K5" s="124"/>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4.25">
      <c r="A6" s="99"/>
      <c r="B6" s="109"/>
      <c r="C6" s="109"/>
      <c r="D6" s="109"/>
      <c r="E6" s="110"/>
      <c r="F6" s="109"/>
      <c r="G6" s="109"/>
      <c r="H6" s="109"/>
      <c r="I6" s="109"/>
      <c r="J6" s="123"/>
      <c r="K6" s="124"/>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c r="IR6" s="125"/>
      <c r="IS6" s="125"/>
      <c r="IT6" s="125"/>
      <c r="IU6" s="125"/>
    </row>
    <row r="7" spans="1:255" ht="14.25">
      <c r="A7" s="59" t="str">
        <f>HLOOKUP(INDICE!$F$2,Nombres!$C$3:$D$636,7,FALSE)</f>
        <v>Spain</v>
      </c>
      <c r="B7" s="112">
        <v>4.305978274517319</v>
      </c>
      <c r="C7" s="112">
        <v>4.263709627851182</v>
      </c>
      <c r="D7" s="112">
        <v>4.324728623012037</v>
      </c>
      <c r="E7" s="113">
        <v>4.27353108665122</v>
      </c>
      <c r="F7" s="112">
        <v>4.380626628172922</v>
      </c>
      <c r="G7" s="114">
        <v>4.16902454058839</v>
      </c>
      <c r="H7" s="114">
        <v>4.087710135510244</v>
      </c>
      <c r="I7" s="114">
        <v>4.22009410195793</v>
      </c>
      <c r="J7" s="123"/>
      <c r="K7" s="124"/>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1" ht="14.25">
      <c r="A8" s="99"/>
      <c r="B8" s="109"/>
      <c r="C8" s="109"/>
      <c r="D8" s="109"/>
      <c r="E8" s="110"/>
      <c r="F8" s="109"/>
      <c r="G8" s="109"/>
      <c r="H8" s="109"/>
      <c r="I8" s="109"/>
      <c r="J8" s="123"/>
      <c r="K8" s="126"/>
    </row>
    <row r="9" spans="1:255" ht="14.25">
      <c r="A9" s="59" t="str">
        <f>HLOOKUP(INDICE!$F$2,Nombres!$C$3:$D$636,11,FALSE)</f>
        <v>Mexico</v>
      </c>
      <c r="B9" s="112">
        <v>2.281269629812707</v>
      </c>
      <c r="C9" s="112">
        <v>2.2208094687273987</v>
      </c>
      <c r="D9" s="112">
        <v>2.29237538034257</v>
      </c>
      <c r="E9" s="113">
        <v>3.3308570031607116</v>
      </c>
      <c r="F9" s="112">
        <v>2.958559833273872</v>
      </c>
      <c r="G9" s="114">
        <v>3.052631711283429</v>
      </c>
      <c r="H9" s="114">
        <v>2.544928431658753</v>
      </c>
      <c r="I9" s="114">
        <v>3.1706244467341183</v>
      </c>
      <c r="J9" s="123"/>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1" ht="14.25">
      <c r="A10" s="99"/>
      <c r="B10" s="109"/>
      <c r="C10" s="109"/>
      <c r="D10" s="109"/>
      <c r="E10" s="110"/>
      <c r="F10" s="109"/>
      <c r="G10" s="109"/>
      <c r="H10" s="109"/>
      <c r="I10" s="109"/>
      <c r="J10" s="123"/>
      <c r="K10" s="126"/>
    </row>
    <row r="11" spans="1:11" ht="14.25">
      <c r="A11" s="59" t="str">
        <f>HLOOKUP(INDICE!$F$2,Nombres!$C$3:$D$636,12,FALSE)</f>
        <v>Turkey </v>
      </c>
      <c r="B11" s="112">
        <v>6.736531074635012</v>
      </c>
      <c r="C11" s="112">
        <v>7.019466719362834</v>
      </c>
      <c r="D11" s="112">
        <v>7.11405458809955</v>
      </c>
      <c r="E11" s="113">
        <v>6.57533724248832</v>
      </c>
      <c r="F11" s="112">
        <v>6.8811670507497285</v>
      </c>
      <c r="G11" s="114">
        <v>7.328713512031089</v>
      </c>
      <c r="H11" s="114">
        <v>6.513944904556201</v>
      </c>
      <c r="I11" s="114">
        <v>7.085073670851205</v>
      </c>
      <c r="J11" s="123"/>
      <c r="K11" s="126"/>
    </row>
    <row r="12" spans="1:11" ht="14.25">
      <c r="A12" s="99"/>
      <c r="B12" s="109"/>
      <c r="C12" s="109"/>
      <c r="D12" s="109"/>
      <c r="E12" s="110"/>
      <c r="F12" s="109"/>
      <c r="G12" s="109"/>
      <c r="H12" s="109"/>
      <c r="I12" s="109"/>
      <c r="J12" s="123"/>
      <c r="K12" s="126"/>
    </row>
    <row r="13" spans="1:255" ht="14.25">
      <c r="A13" s="59" t="str">
        <f>HLOOKUP(INDICE!$F$2,Nombres!$C$3:$D$636,13,FALSE)</f>
        <v>South America</v>
      </c>
      <c r="B13" s="112">
        <v>4.4385311534910175</v>
      </c>
      <c r="C13" s="112">
        <v>4.504578134978346</v>
      </c>
      <c r="D13" s="112">
        <v>4.345264892563691</v>
      </c>
      <c r="E13" s="113">
        <v>4.395882249201049</v>
      </c>
      <c r="F13" s="112">
        <v>4.611002342353146</v>
      </c>
      <c r="G13" s="114">
        <v>4.6586989564769326</v>
      </c>
      <c r="H13" s="114">
        <v>4.528299665215804</v>
      </c>
      <c r="I13" s="114">
        <v>4.466333578410599</v>
      </c>
      <c r="J13" s="12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1" ht="14.25">
      <c r="A14" s="99"/>
      <c r="B14" s="127"/>
      <c r="C14" s="127"/>
      <c r="D14" s="127"/>
      <c r="E14" s="128"/>
      <c r="F14" s="127"/>
      <c r="G14" s="245"/>
      <c r="H14" s="245"/>
      <c r="I14" s="245"/>
      <c r="J14" s="123"/>
      <c r="K14" s="126"/>
    </row>
    <row r="15" spans="1:255" ht="14.25">
      <c r="A15" s="59" t="str">
        <f>HLOOKUP(INDICE!$F$2,Nombres!$C$3:$D$636,263,FALSE)</f>
        <v>Rest of Business</v>
      </c>
      <c r="B15" s="112">
        <v>0.7371828103628951</v>
      </c>
      <c r="C15" s="112">
        <v>0.6940395279426634</v>
      </c>
      <c r="D15" s="112">
        <v>0.7968466290593523</v>
      </c>
      <c r="E15" s="113">
        <v>0.9784849944731981</v>
      </c>
      <c r="F15" s="112">
        <v>0.9917517177383175</v>
      </c>
      <c r="G15" s="114">
        <v>0.9910764891972383</v>
      </c>
      <c r="H15" s="114">
        <v>0.9064715389800193</v>
      </c>
      <c r="I15" s="114">
        <v>0.6802294283118301</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4.25">
      <c r="A16" s="129"/>
      <c r="B16" s="127"/>
      <c r="C16" s="127"/>
      <c r="D16" s="130"/>
      <c r="E16" s="130"/>
      <c r="F16" s="127"/>
      <c r="G16" s="127"/>
      <c r="H16" s="130"/>
      <c r="I16" s="130"/>
      <c r="J16" s="126"/>
      <c r="K16" s="126"/>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125"/>
      <c r="DJ16" s="125"/>
      <c r="DK16" s="125"/>
      <c r="DL16" s="125"/>
      <c r="DM16" s="125"/>
      <c r="DN16" s="125"/>
      <c r="DO16" s="125"/>
      <c r="DP16" s="125"/>
      <c r="DQ16" s="125"/>
      <c r="DR16" s="125"/>
      <c r="DS16" s="125"/>
      <c r="DT16" s="125"/>
      <c r="DU16" s="125"/>
      <c r="DV16" s="125"/>
      <c r="DW16" s="125"/>
      <c r="DX16" s="125"/>
      <c r="DY16" s="125"/>
      <c r="DZ16" s="125"/>
      <c r="EA16" s="125"/>
      <c r="EB16" s="125"/>
      <c r="EC16" s="125"/>
      <c r="ED16" s="125"/>
      <c r="EE16" s="125"/>
      <c r="EF16" s="125"/>
      <c r="EG16" s="125"/>
      <c r="EH16" s="125"/>
      <c r="EI16" s="125"/>
      <c r="EJ16" s="125"/>
      <c r="EK16" s="125"/>
      <c r="EL16" s="125"/>
      <c r="EM16" s="125"/>
      <c r="EN16" s="125"/>
      <c r="EO16" s="125"/>
      <c r="EP16" s="125"/>
      <c r="EQ16" s="125"/>
      <c r="ER16" s="125"/>
      <c r="ES16" s="125"/>
      <c r="ET16" s="125"/>
      <c r="EU16" s="125"/>
      <c r="EV16" s="125"/>
      <c r="EW16" s="125"/>
      <c r="EX16" s="125"/>
      <c r="EY16" s="125"/>
      <c r="EZ16" s="125"/>
      <c r="FA16" s="125"/>
      <c r="FB16" s="125"/>
      <c r="FC16" s="125"/>
      <c r="FD16" s="125"/>
      <c r="FE16" s="125"/>
      <c r="FF16" s="125"/>
      <c r="FG16" s="125"/>
      <c r="FH16" s="125"/>
      <c r="FI16" s="125"/>
      <c r="FJ16" s="125"/>
      <c r="FK16" s="125"/>
      <c r="FL16" s="125"/>
      <c r="FM16" s="125"/>
      <c r="FN16" s="125"/>
      <c r="FO16" s="125"/>
      <c r="FP16" s="125"/>
      <c r="FQ16" s="125"/>
      <c r="FR16" s="125"/>
      <c r="FS16" s="125"/>
      <c r="FT16" s="125"/>
      <c r="FU16" s="125"/>
      <c r="FV16" s="125"/>
      <c r="FW16" s="125"/>
      <c r="FX16" s="125"/>
      <c r="FY16" s="125"/>
      <c r="FZ16" s="125"/>
      <c r="GA16" s="125"/>
      <c r="GB16" s="125"/>
      <c r="GC16" s="125"/>
      <c r="GD16" s="125"/>
      <c r="GE16" s="125"/>
      <c r="GF16" s="125"/>
      <c r="GG16" s="125"/>
      <c r="GH16" s="125"/>
      <c r="GI16" s="125"/>
      <c r="GJ16" s="125"/>
      <c r="GK16" s="125"/>
      <c r="GL16" s="125"/>
      <c r="GM16" s="125"/>
      <c r="GN16" s="125"/>
      <c r="GO16" s="125"/>
      <c r="GP16" s="125"/>
      <c r="GQ16" s="125"/>
      <c r="GR16" s="125"/>
      <c r="GS16" s="125"/>
      <c r="GT16" s="125"/>
      <c r="GU16" s="125"/>
      <c r="GV16" s="125"/>
      <c r="GW16" s="125"/>
      <c r="GX16" s="125"/>
      <c r="GY16" s="125"/>
      <c r="GZ16" s="125"/>
      <c r="HA16" s="125"/>
      <c r="HB16" s="125"/>
      <c r="HC16" s="125"/>
      <c r="HD16" s="125"/>
      <c r="HE16" s="125"/>
      <c r="HF16" s="125"/>
      <c r="HG16" s="125"/>
      <c r="HH16" s="125"/>
      <c r="HI16" s="125"/>
      <c r="HJ16" s="125"/>
      <c r="HK16" s="125"/>
      <c r="HL16" s="125"/>
      <c r="HM16" s="125"/>
      <c r="HN16" s="125"/>
      <c r="HO16" s="125"/>
      <c r="HP16" s="125"/>
      <c r="HQ16" s="125"/>
      <c r="HR16" s="125"/>
      <c r="HS16" s="125"/>
      <c r="HT16" s="125"/>
      <c r="HU16" s="125"/>
      <c r="HV16" s="125"/>
      <c r="HW16" s="125"/>
      <c r="HX16" s="125"/>
      <c r="HY16" s="125"/>
      <c r="HZ16" s="125"/>
      <c r="IA16" s="125"/>
      <c r="IB16" s="125"/>
      <c r="IC16" s="125"/>
      <c r="ID16" s="125"/>
      <c r="IE16" s="125"/>
      <c r="IF16" s="125"/>
      <c r="IG16" s="125"/>
      <c r="IH16" s="125"/>
      <c r="II16" s="125"/>
      <c r="IJ16" s="125"/>
      <c r="IK16" s="125"/>
      <c r="IL16" s="125"/>
      <c r="IM16" s="125"/>
      <c r="IN16" s="125"/>
      <c r="IO16" s="125"/>
      <c r="IP16" s="125"/>
      <c r="IQ16" s="125"/>
      <c r="IR16" s="125"/>
      <c r="IS16" s="125"/>
      <c r="IT16" s="125"/>
      <c r="IU16" s="125"/>
    </row>
    <row r="17" spans="1:10" ht="14.25">
      <c r="A17" s="99"/>
      <c r="B17" s="127"/>
      <c r="C17" s="127"/>
      <c r="D17" s="130"/>
      <c r="E17" s="130"/>
      <c r="F17" s="127"/>
      <c r="G17" s="127"/>
      <c r="H17" s="130"/>
      <c r="I17" s="130"/>
      <c r="J17" s="126"/>
    </row>
    <row r="18" spans="1:255" ht="16.5">
      <c r="A18" s="95" t="str">
        <f>HLOOKUP(INDICE!$F$2,Nombres!$C$3:$D$636,86,FALSE)</f>
        <v>NPL coverage ratio</v>
      </c>
      <c r="B18" s="131"/>
      <c r="C18" s="131"/>
      <c r="D18" s="132"/>
      <c r="E18" s="132"/>
      <c r="F18" s="131"/>
      <c r="G18" s="131"/>
      <c r="H18" s="132"/>
      <c r="I18" s="132"/>
      <c r="J18" s="126"/>
      <c r="K18" s="126"/>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25"/>
      <c r="CO18" s="125"/>
      <c r="CP18" s="125"/>
      <c r="CQ18" s="125"/>
      <c r="CR18" s="125"/>
      <c r="CS18" s="125"/>
      <c r="CT18" s="125"/>
      <c r="CU18" s="125"/>
      <c r="CV18" s="125"/>
      <c r="CW18" s="125"/>
      <c r="CX18" s="125"/>
      <c r="CY18" s="125"/>
      <c r="CZ18" s="125"/>
      <c r="DA18" s="125"/>
      <c r="DB18" s="125"/>
      <c r="DC18" s="125"/>
      <c r="DD18" s="125"/>
      <c r="DE18" s="125"/>
      <c r="DF18" s="125"/>
      <c r="DG18" s="125"/>
      <c r="DH18" s="125"/>
      <c r="DI18" s="125"/>
      <c r="DJ18" s="125"/>
      <c r="DK18" s="125"/>
      <c r="DL18" s="125"/>
      <c r="DM18" s="125"/>
      <c r="DN18" s="125"/>
      <c r="DO18" s="125"/>
      <c r="DP18" s="125"/>
      <c r="DQ18" s="125"/>
      <c r="DR18" s="125"/>
      <c r="DS18" s="125"/>
      <c r="DT18" s="125"/>
      <c r="DU18" s="125"/>
      <c r="DV18" s="125"/>
      <c r="DW18" s="125"/>
      <c r="DX18" s="125"/>
      <c r="DY18" s="125"/>
      <c r="DZ18" s="125"/>
      <c r="EA18" s="125"/>
      <c r="EB18" s="125"/>
      <c r="EC18" s="125"/>
      <c r="ED18" s="125"/>
      <c r="EE18" s="125"/>
      <c r="EF18" s="125"/>
      <c r="EG18" s="125"/>
      <c r="EH18" s="125"/>
      <c r="EI18" s="125"/>
      <c r="EJ18" s="125"/>
      <c r="EK18" s="125"/>
      <c r="EL18" s="125"/>
      <c r="EM18" s="125"/>
      <c r="EN18" s="125"/>
      <c r="EO18" s="125"/>
      <c r="EP18" s="125"/>
      <c r="EQ18" s="125"/>
      <c r="ER18" s="125"/>
      <c r="ES18" s="125"/>
      <c r="ET18" s="125"/>
      <c r="EU18" s="125"/>
      <c r="EV18" s="125"/>
      <c r="EW18" s="125"/>
      <c r="EX18" s="125"/>
      <c r="EY18" s="125"/>
      <c r="EZ18" s="125"/>
      <c r="FA18" s="125"/>
      <c r="FB18" s="125"/>
      <c r="FC18" s="125"/>
      <c r="FD18" s="125"/>
      <c r="FE18" s="125"/>
      <c r="FF18" s="125"/>
      <c r="FG18" s="125"/>
      <c r="FH18" s="125"/>
      <c r="FI18" s="125"/>
      <c r="FJ18" s="125"/>
      <c r="FK18" s="125"/>
      <c r="FL18" s="125"/>
      <c r="FM18" s="125"/>
      <c r="FN18" s="125"/>
      <c r="FO18" s="125"/>
      <c r="FP18" s="125"/>
      <c r="FQ18" s="125"/>
      <c r="FR18" s="125"/>
      <c r="FS18" s="125"/>
      <c r="FT18" s="125"/>
      <c r="FU18" s="125"/>
      <c r="FV18" s="125"/>
      <c r="FW18" s="125"/>
      <c r="FX18" s="125"/>
      <c r="FY18" s="125"/>
      <c r="FZ18" s="125"/>
      <c r="GA18" s="125"/>
      <c r="GB18" s="125"/>
      <c r="GC18" s="125"/>
      <c r="GD18" s="125"/>
      <c r="GE18" s="125"/>
      <c r="GF18" s="125"/>
      <c r="GG18" s="125"/>
      <c r="GH18" s="125"/>
      <c r="GI18" s="125"/>
      <c r="GJ18" s="125"/>
      <c r="GK18" s="125"/>
      <c r="GL18" s="125"/>
      <c r="GM18" s="125"/>
      <c r="GN18" s="125"/>
      <c r="GO18" s="125"/>
      <c r="GP18" s="125"/>
      <c r="GQ18" s="125"/>
      <c r="GR18" s="125"/>
      <c r="GS18" s="125"/>
      <c r="GT18" s="125"/>
      <c r="GU18" s="125"/>
      <c r="GV18" s="125"/>
      <c r="GW18" s="125"/>
      <c r="GX18" s="125"/>
      <c r="GY18" s="125"/>
      <c r="GZ18" s="125"/>
      <c r="HA18" s="125"/>
      <c r="HB18" s="125"/>
      <c r="HC18" s="125"/>
      <c r="HD18" s="125"/>
      <c r="HE18" s="125"/>
      <c r="HF18" s="125"/>
      <c r="HG18" s="125"/>
      <c r="HH18" s="125"/>
      <c r="HI18" s="125"/>
      <c r="HJ18" s="125"/>
      <c r="HK18" s="125"/>
      <c r="HL18" s="125"/>
      <c r="HM18" s="125"/>
      <c r="HN18" s="125"/>
      <c r="HO18" s="125"/>
      <c r="HP18" s="125"/>
      <c r="HQ18" s="125"/>
      <c r="HR18" s="125"/>
      <c r="HS18" s="125"/>
      <c r="HT18" s="125"/>
      <c r="HU18" s="125"/>
      <c r="HV18" s="125"/>
      <c r="HW18" s="125"/>
      <c r="HX18" s="125"/>
      <c r="HY18" s="125"/>
      <c r="HZ18" s="125"/>
      <c r="IA18" s="125"/>
      <c r="IB18" s="125"/>
      <c r="IC18" s="125"/>
      <c r="ID18" s="125"/>
      <c r="IE18" s="125"/>
      <c r="IF18" s="125"/>
      <c r="IG18" s="125"/>
      <c r="IH18" s="125"/>
      <c r="II18" s="125"/>
      <c r="IJ18" s="125"/>
      <c r="IK18" s="125"/>
      <c r="IL18" s="125"/>
      <c r="IM18" s="125"/>
      <c r="IN18" s="125"/>
      <c r="IO18" s="125"/>
      <c r="IP18" s="125"/>
      <c r="IQ18" s="125"/>
      <c r="IR18" s="125"/>
      <c r="IS18" s="125"/>
      <c r="IT18" s="125"/>
      <c r="IU18" s="125"/>
    </row>
    <row r="19" spans="1:11" ht="14.25">
      <c r="A19" s="98" t="str">
        <f>HLOOKUP(INDICE!$F$2,Nombres!$C$3:$D$636,84,FALSE)</f>
        <v>(Percentage)</v>
      </c>
      <c r="B19" s="116"/>
      <c r="C19" s="116"/>
      <c r="D19" s="130"/>
      <c r="E19" s="130"/>
      <c r="F19" s="116"/>
      <c r="G19" s="116"/>
      <c r="H19" s="130"/>
      <c r="I19" s="130"/>
      <c r="J19" s="126"/>
      <c r="K19" s="126"/>
    </row>
    <row r="20" spans="1:255" ht="14.25">
      <c r="A20" s="99"/>
      <c r="B20" s="121">
        <f>+B$3</f>
        <v>43921</v>
      </c>
      <c r="C20" s="121">
        <f aca="true" t="shared" si="0" ref="C20:I20">+C$3</f>
        <v>44012</v>
      </c>
      <c r="D20" s="121">
        <f t="shared" si="0"/>
        <v>44104</v>
      </c>
      <c r="E20" s="121">
        <f t="shared" si="0"/>
        <v>44196</v>
      </c>
      <c r="F20" s="121">
        <f t="shared" si="0"/>
        <v>44286</v>
      </c>
      <c r="G20" s="121">
        <f t="shared" si="0"/>
        <v>44377</v>
      </c>
      <c r="H20" s="121">
        <f t="shared" si="0"/>
        <v>44469</v>
      </c>
      <c r="I20" s="121">
        <f t="shared" si="0"/>
        <v>44561</v>
      </c>
      <c r="J20" s="126"/>
      <c r="K20" s="126"/>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c r="GT20" s="133"/>
      <c r="GU20" s="133"/>
      <c r="GV20" s="133"/>
      <c r="GW20" s="133"/>
      <c r="GX20" s="133"/>
      <c r="GY20" s="133"/>
      <c r="GZ20" s="133"/>
      <c r="HA20" s="133"/>
      <c r="HB20" s="133"/>
      <c r="HC20" s="133"/>
      <c r="HD20" s="133"/>
      <c r="HE20" s="133"/>
      <c r="HF20" s="133"/>
      <c r="HG20" s="133"/>
      <c r="HH20" s="133"/>
      <c r="HI20" s="133"/>
      <c r="HJ20" s="133"/>
      <c r="HK20" s="133"/>
      <c r="HL20" s="133"/>
      <c r="HM20" s="133"/>
      <c r="HN20" s="133"/>
      <c r="HO20" s="133"/>
      <c r="HP20" s="133"/>
      <c r="HQ20" s="133"/>
      <c r="HR20" s="133"/>
      <c r="HS20" s="133"/>
      <c r="HT20" s="133"/>
      <c r="HU20" s="133"/>
      <c r="HV20" s="133"/>
      <c r="HW20" s="133"/>
      <c r="HX20" s="133"/>
      <c r="HY20" s="133"/>
      <c r="HZ20" s="133"/>
      <c r="IA20" s="133"/>
      <c r="IB20" s="133"/>
      <c r="IC20" s="133"/>
      <c r="ID20" s="133"/>
      <c r="IE20" s="133"/>
      <c r="IF20" s="133"/>
      <c r="IG20" s="133"/>
      <c r="IH20" s="133"/>
      <c r="II20" s="133"/>
      <c r="IJ20" s="133"/>
      <c r="IK20" s="133"/>
      <c r="IL20" s="133"/>
      <c r="IM20" s="133"/>
      <c r="IN20" s="133"/>
      <c r="IO20" s="133"/>
      <c r="IP20" s="133"/>
      <c r="IQ20" s="133"/>
      <c r="IR20" s="133"/>
      <c r="IS20" s="133"/>
      <c r="IT20" s="133"/>
      <c r="IU20" s="133"/>
    </row>
    <row r="21" spans="1:11" ht="14.25">
      <c r="A21" s="99"/>
      <c r="B21" s="134"/>
      <c r="C21" s="134"/>
      <c r="D21" s="130"/>
      <c r="E21" s="130"/>
      <c r="F21" s="134"/>
      <c r="G21" s="134"/>
      <c r="H21" s="130"/>
      <c r="I21" s="130"/>
      <c r="J21" s="126"/>
      <c r="K21" s="126"/>
    </row>
    <row r="22" spans="1:11" ht="14.25">
      <c r="A22" s="104" t="str">
        <f>HLOOKUP(INDICE!$F$2,Nombres!$C$3:$D$636,275,FALSE)</f>
        <v>BBVA Group  (*)</v>
      </c>
      <c r="B22" s="135">
        <v>83.19304982808094</v>
      </c>
      <c r="C22" s="135">
        <v>83.0934249953214</v>
      </c>
      <c r="D22" s="135">
        <v>84.8394198158109</v>
      </c>
      <c r="E22" s="136">
        <v>81.51683735326954</v>
      </c>
      <c r="F22" s="135">
        <v>80.77851569113308</v>
      </c>
      <c r="G22" s="246">
        <v>76.75835787440316</v>
      </c>
      <c r="H22" s="246">
        <v>80.02618491458286</v>
      </c>
      <c r="I22" s="246">
        <v>74.69681605323716</v>
      </c>
      <c r="J22" s="137"/>
      <c r="K22" s="126"/>
    </row>
    <row r="23" spans="1:11" ht="14.25">
      <c r="A23" s="99"/>
      <c r="B23" s="138"/>
      <c r="C23" s="138"/>
      <c r="D23" s="138"/>
      <c r="E23" s="139"/>
      <c r="F23" s="138"/>
      <c r="G23" s="138"/>
      <c r="H23" s="138"/>
      <c r="I23" s="138"/>
      <c r="J23" s="137"/>
      <c r="K23" s="126"/>
    </row>
    <row r="24" spans="1:255" ht="14.25">
      <c r="A24" s="59" t="str">
        <f>HLOOKUP(INDICE!$F$2,Nombres!$C$3:$D$636,7,FALSE)</f>
        <v>Spain</v>
      </c>
      <c r="B24" s="140">
        <v>66.13243939724384</v>
      </c>
      <c r="C24" s="140">
        <v>65.65056768167248</v>
      </c>
      <c r="D24" s="140">
        <v>67.58018072748976</v>
      </c>
      <c r="E24" s="141">
        <v>66.7790986133544</v>
      </c>
      <c r="F24" s="140">
        <v>66.38499260905732</v>
      </c>
      <c r="G24" s="247">
        <v>64.3502562438191</v>
      </c>
      <c r="H24" s="247">
        <v>65.47244401138379</v>
      </c>
      <c r="I24" s="247">
        <v>61.68626550558402</v>
      </c>
      <c r="J24" s="137"/>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4.25">
      <c r="A25" s="99"/>
      <c r="B25" s="138"/>
      <c r="C25" s="138"/>
      <c r="D25" s="138"/>
      <c r="E25" s="139"/>
      <c r="F25" s="138"/>
      <c r="G25" s="138"/>
      <c r="H25" s="138"/>
      <c r="I25" s="138"/>
      <c r="J25" s="137"/>
      <c r="K25" s="126"/>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5"/>
      <c r="EQ25" s="125"/>
      <c r="ER25" s="125"/>
      <c r="ES25" s="125"/>
      <c r="ET25" s="125"/>
      <c r="EU25" s="125"/>
      <c r="EV25" s="125"/>
      <c r="EW25" s="125"/>
      <c r="EX25" s="125"/>
      <c r="EY25" s="125"/>
      <c r="EZ25" s="125"/>
      <c r="FA25" s="125"/>
      <c r="FB25" s="125"/>
      <c r="FC25" s="125"/>
      <c r="FD25" s="125"/>
      <c r="FE25" s="125"/>
      <c r="FF25" s="125"/>
      <c r="FG25" s="125"/>
      <c r="FH25" s="125"/>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5"/>
      <c r="GI25" s="125"/>
      <c r="GJ25" s="125"/>
      <c r="GK25" s="125"/>
      <c r="GL25" s="125"/>
      <c r="GM25" s="125"/>
      <c r="GN25" s="125"/>
      <c r="GO25" s="125"/>
      <c r="GP25" s="125"/>
      <c r="GQ25" s="125"/>
      <c r="GR25" s="125"/>
      <c r="GS25" s="125"/>
      <c r="GT25" s="125"/>
      <c r="GU25" s="125"/>
      <c r="GV25" s="125"/>
      <c r="GW25" s="125"/>
      <c r="GX25" s="125"/>
      <c r="GY25" s="125"/>
      <c r="GZ25" s="125"/>
      <c r="HA25" s="125"/>
      <c r="HB25" s="125"/>
      <c r="HC25" s="125"/>
      <c r="HD25" s="125"/>
      <c r="HE25" s="125"/>
      <c r="HF25" s="125"/>
      <c r="HG25" s="125"/>
      <c r="HH25" s="125"/>
      <c r="HI25" s="125"/>
      <c r="HJ25" s="125"/>
      <c r="HK25" s="125"/>
      <c r="HL25" s="125"/>
      <c r="HM25" s="125"/>
      <c r="HN25" s="125"/>
      <c r="HO25" s="125"/>
      <c r="HP25" s="125"/>
      <c r="HQ25" s="125"/>
      <c r="HR25" s="125"/>
      <c r="HS25" s="125"/>
      <c r="HT25" s="125"/>
      <c r="HU25" s="125"/>
      <c r="HV25" s="125"/>
      <c r="HW25" s="125"/>
      <c r="HX25" s="125"/>
      <c r="HY25" s="125"/>
      <c r="HZ25" s="125"/>
      <c r="IA25" s="125"/>
      <c r="IB25" s="125"/>
      <c r="IC25" s="125"/>
      <c r="ID25" s="125"/>
      <c r="IE25" s="125"/>
      <c r="IF25" s="125"/>
      <c r="IG25" s="125"/>
      <c r="IH25" s="125"/>
      <c r="II25" s="125"/>
      <c r="IJ25" s="125"/>
      <c r="IK25" s="125"/>
      <c r="IL25" s="125"/>
      <c r="IM25" s="125"/>
      <c r="IN25" s="125"/>
      <c r="IO25" s="125"/>
      <c r="IP25" s="125"/>
      <c r="IQ25" s="125"/>
      <c r="IR25" s="125"/>
      <c r="IS25" s="125"/>
      <c r="IT25" s="125"/>
      <c r="IU25" s="125"/>
    </row>
    <row r="26" spans="1:255" ht="14.25">
      <c r="A26" s="59" t="str">
        <f>HLOOKUP(INDICE!$F$2,Nombres!$C$3:$D$636,11,FALSE)</f>
        <v>Mexico</v>
      </c>
      <c r="B26" s="140">
        <v>155.1299650820022</v>
      </c>
      <c r="C26" s="140">
        <v>165.45673791558647</v>
      </c>
      <c r="D26" s="140">
        <v>170.20065910476924</v>
      </c>
      <c r="E26" s="141">
        <v>122.10358091012534</v>
      </c>
      <c r="F26" s="140">
        <v>128.89708113150996</v>
      </c>
      <c r="G26" s="247">
        <v>117.77392341189592</v>
      </c>
      <c r="H26" s="247">
        <v>131.01964036253145</v>
      </c>
      <c r="I26" s="247">
        <v>106.18160145642499</v>
      </c>
      <c r="J26" s="137"/>
      <c r="K26" s="142"/>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1" ht="14.25">
      <c r="A27" s="99"/>
      <c r="B27" s="138"/>
      <c r="C27" s="138"/>
      <c r="D27" s="138"/>
      <c r="E27" s="139"/>
      <c r="F27" s="138"/>
      <c r="G27" s="138"/>
      <c r="H27" s="138"/>
      <c r="I27" s="138"/>
      <c r="J27" s="137"/>
      <c r="K27" s="126"/>
    </row>
    <row r="28" spans="1:255" ht="14.25">
      <c r="A28" s="59" t="str">
        <f>HLOOKUP(INDICE!$F$2,Nombres!$C$3:$D$636,12,FALSE)</f>
        <v>Turkey </v>
      </c>
      <c r="B28" s="140">
        <v>86.33491378867349</v>
      </c>
      <c r="C28" s="140">
        <v>81.90898276777581</v>
      </c>
      <c r="D28" s="140">
        <v>81.90746572086384</v>
      </c>
      <c r="E28" s="141">
        <v>79.8690877197722</v>
      </c>
      <c r="F28" s="140">
        <v>78.01133138864287</v>
      </c>
      <c r="G28" s="247">
        <v>69.21982164884652</v>
      </c>
      <c r="H28" s="247">
        <v>77.84596768260919</v>
      </c>
      <c r="I28" s="247">
        <v>74.73210430726786</v>
      </c>
      <c r="J28" s="137"/>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11" ht="14.25">
      <c r="A29" s="99"/>
      <c r="B29" s="138"/>
      <c r="C29" s="138"/>
      <c r="D29" s="138"/>
      <c r="E29" s="139"/>
      <c r="F29" s="138"/>
      <c r="G29" s="138"/>
      <c r="H29" s="138"/>
      <c r="I29" s="138"/>
      <c r="J29" s="137"/>
      <c r="K29" s="126"/>
    </row>
    <row r="30" spans="1:255" ht="14.25">
      <c r="A30" s="59" t="str">
        <f>HLOOKUP(INDICE!$F$2,Nombres!$C$3:$D$636,13,FALSE)</f>
        <v>South America</v>
      </c>
      <c r="B30" s="140">
        <v>104.35242601463545</v>
      </c>
      <c r="C30" s="140">
        <v>107.87035050497826</v>
      </c>
      <c r="D30" s="140">
        <v>109.91333998259583</v>
      </c>
      <c r="E30" s="141">
        <v>110.0138447756332</v>
      </c>
      <c r="F30" s="140">
        <v>109.14212896783424</v>
      </c>
      <c r="G30" s="247">
        <v>108.25779753594978</v>
      </c>
      <c r="H30" s="247">
        <v>108.29188948692838</v>
      </c>
      <c r="I30" s="247">
        <v>98.86004240086193</v>
      </c>
      <c r="J30" s="137"/>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4.25">
      <c r="A31" s="99"/>
      <c r="B31" s="143"/>
      <c r="C31" s="143"/>
      <c r="D31" s="143"/>
      <c r="E31" s="144"/>
      <c r="F31" s="143"/>
      <c r="G31" s="248"/>
      <c r="H31" s="248"/>
      <c r="I31" s="248"/>
      <c r="J31" s="137"/>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4.25">
      <c r="A32" s="59" t="str">
        <f>HLOOKUP(INDICE!$F$2,Nombres!$C$3:$D$636,263,FALSE)</f>
        <v>Rest of Business</v>
      </c>
      <c r="B32" s="140">
        <v>116.5030995973073</v>
      </c>
      <c r="C32" s="140">
        <v>131.00867806712165</v>
      </c>
      <c r="D32" s="140">
        <v>134.7514168583698</v>
      </c>
      <c r="E32" s="141">
        <v>109.23465203812883</v>
      </c>
      <c r="F32" s="140">
        <v>100.59539002076502</v>
      </c>
      <c r="G32" s="247">
        <v>95.42769964741031</v>
      </c>
      <c r="H32" s="247">
        <v>97.88186464294992</v>
      </c>
      <c r="I32" s="247">
        <v>115.70732469677168</v>
      </c>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11" ht="14.25">
      <c r="A33" s="129"/>
      <c r="B33" s="145"/>
      <c r="C33" s="145"/>
      <c r="D33" s="130"/>
      <c r="E33" s="130"/>
      <c r="F33" s="145"/>
      <c r="G33" s="145"/>
      <c r="H33" s="130"/>
      <c r="I33" s="130"/>
      <c r="J33" s="126"/>
      <c r="K33" s="126"/>
    </row>
    <row r="34" spans="1:255" ht="14.25">
      <c r="A34" s="99"/>
      <c r="B34" s="145"/>
      <c r="C34" s="145"/>
      <c r="D34" s="130"/>
      <c r="E34" s="130"/>
      <c r="F34" s="145"/>
      <c r="G34" s="145"/>
      <c r="H34" s="130"/>
      <c r="I34" s="130"/>
      <c r="J34" s="126"/>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6.5">
      <c r="A35" s="95" t="str">
        <f>HLOOKUP(INDICE!$F$2,Nombres!$C$3:$D$636,87,FALSE)</f>
        <v>Cost of risk YTD</v>
      </c>
      <c r="B35" s="131"/>
      <c r="C35" s="131"/>
      <c r="D35" s="132"/>
      <c r="E35" s="132"/>
      <c r="F35" s="131"/>
      <c r="G35" s="131"/>
      <c r="H35" s="132"/>
      <c r="I35" s="132"/>
      <c r="J35" s="126"/>
      <c r="K35" s="126"/>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c r="DX35" s="125"/>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125"/>
      <c r="IH35" s="125"/>
      <c r="II35" s="125"/>
      <c r="IJ35" s="125"/>
      <c r="IK35" s="125"/>
      <c r="IL35" s="125"/>
      <c r="IM35" s="125"/>
      <c r="IN35" s="125"/>
      <c r="IO35" s="125"/>
      <c r="IP35" s="125"/>
      <c r="IQ35" s="125"/>
      <c r="IR35" s="125"/>
      <c r="IS35" s="125"/>
      <c r="IT35" s="125"/>
      <c r="IU35" s="125"/>
    </row>
    <row r="36" spans="1:10" ht="14.25">
      <c r="A36" s="98" t="str">
        <f>HLOOKUP(INDICE!$F$2,Nombres!$C$3:$D$636,84,FALSE)</f>
        <v>(Percentage)</v>
      </c>
      <c r="B36" s="145"/>
      <c r="C36" s="145"/>
      <c r="D36" s="130"/>
      <c r="E36" s="130"/>
      <c r="F36" s="145"/>
      <c r="G36" s="145"/>
      <c r="H36" s="130"/>
      <c r="I36" s="130"/>
      <c r="J36" s="126"/>
    </row>
    <row r="37" spans="1:255" ht="14.25">
      <c r="A37" s="99"/>
      <c r="B37" s="121">
        <f>+B$3</f>
        <v>43921</v>
      </c>
      <c r="C37" s="121">
        <f aca="true" t="shared" si="1" ref="C37:I37">+C$3</f>
        <v>44012</v>
      </c>
      <c r="D37" s="121">
        <f t="shared" si="1"/>
        <v>44104</v>
      </c>
      <c r="E37" s="121">
        <f t="shared" si="1"/>
        <v>44196</v>
      </c>
      <c r="F37" s="121">
        <f t="shared" si="1"/>
        <v>44286</v>
      </c>
      <c r="G37" s="121">
        <f t="shared" si="1"/>
        <v>44377</v>
      </c>
      <c r="H37" s="121">
        <f t="shared" si="1"/>
        <v>44469</v>
      </c>
      <c r="I37" s="121">
        <f t="shared" si="1"/>
        <v>44561</v>
      </c>
      <c r="J37" s="126"/>
      <c r="K37" s="126"/>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125"/>
      <c r="CQ37" s="125"/>
      <c r="CR37" s="12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125"/>
      <c r="GE37" s="125"/>
      <c r="GF37" s="125"/>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row>
    <row r="38" spans="1:11" ht="14.25">
      <c r="A38" s="99"/>
      <c r="B38" s="134"/>
      <c r="C38" s="134"/>
      <c r="D38" s="130"/>
      <c r="E38" s="130"/>
      <c r="F38" s="134"/>
      <c r="G38" s="134"/>
      <c r="H38" s="130"/>
      <c r="I38" s="130"/>
      <c r="J38" s="126"/>
      <c r="K38" s="126"/>
    </row>
    <row r="39" spans="1:11" ht="14.25">
      <c r="A39" s="104" t="str">
        <f>HLOOKUP(INDICE!$F$2,Nombres!$C$3:$D$636,275,FALSE)</f>
        <v>BBVA Group  (*)</v>
      </c>
      <c r="B39" s="146">
        <v>2.5366549638142297</v>
      </c>
      <c r="C39" s="146">
        <v>2.0669134054761957</v>
      </c>
      <c r="D39" s="146">
        <v>1.6753055251693454</v>
      </c>
      <c r="E39" s="147">
        <v>1.5537125113935448</v>
      </c>
      <c r="F39" s="146">
        <v>1.1730906180693499</v>
      </c>
      <c r="G39" s="146">
        <v>1.0014400841329902</v>
      </c>
      <c r="H39" s="249">
        <v>0.9163961296326154</v>
      </c>
      <c r="I39" s="249">
        <v>0.9310695316393043</v>
      </c>
      <c r="J39" s="108"/>
      <c r="K39" s="126"/>
    </row>
    <row r="40" spans="1:11" ht="14.25">
      <c r="A40" s="99"/>
      <c r="B40" s="148"/>
      <c r="C40" s="148"/>
      <c r="D40" s="148"/>
      <c r="E40" s="149"/>
      <c r="F40" s="148"/>
      <c r="G40" s="148"/>
      <c r="H40" s="148"/>
      <c r="I40" s="148"/>
      <c r="J40" s="126"/>
      <c r="K40" s="126"/>
    </row>
    <row r="41" spans="1:11" ht="14.25">
      <c r="A41" s="59" t="str">
        <f>HLOOKUP(INDICE!$F$2,Nombres!$C$3:$D$636,7,FALSE)</f>
        <v>Spain</v>
      </c>
      <c r="B41" s="150">
        <v>1.544409409642632</v>
      </c>
      <c r="C41" s="150">
        <v>0.9979745703001622</v>
      </c>
      <c r="D41" s="150">
        <v>0.7988816786760411</v>
      </c>
      <c r="E41" s="151">
        <v>0.6718183655754664</v>
      </c>
      <c r="F41" s="150">
        <v>0.4464370216291454</v>
      </c>
      <c r="G41" s="250">
        <v>0.4145230509189175</v>
      </c>
      <c r="H41" s="250">
        <v>0.3233081057609226</v>
      </c>
      <c r="I41" s="250">
        <v>0.2976974042524757</v>
      </c>
      <c r="J41" s="108"/>
      <c r="K41" s="126"/>
    </row>
    <row r="42" spans="1:11" ht="14.25">
      <c r="A42" s="99"/>
      <c r="B42" s="148"/>
      <c r="C42" s="148"/>
      <c r="D42" s="148"/>
      <c r="E42" s="149"/>
      <c r="F42" s="148"/>
      <c r="G42" s="148"/>
      <c r="H42" s="148"/>
      <c r="I42" s="148"/>
      <c r="J42" s="108"/>
      <c r="K42" s="126"/>
    </row>
    <row r="43" spans="1:255" ht="14.25">
      <c r="A43" s="59" t="str">
        <f>HLOOKUP(INDICE!$F$2,Nombres!$C$3:$D$636,11,FALSE)</f>
        <v>Mexico</v>
      </c>
      <c r="B43" s="150">
        <v>5.295406173654156</v>
      </c>
      <c r="C43" s="150">
        <v>4.952459634853501</v>
      </c>
      <c r="D43" s="150">
        <v>4.270227834950972</v>
      </c>
      <c r="E43" s="151">
        <v>4.0169387347923955</v>
      </c>
      <c r="F43" s="150">
        <v>3.5535721044631865</v>
      </c>
      <c r="G43" s="250">
        <v>2.8335225953655923</v>
      </c>
      <c r="H43" s="250">
        <v>2.697884339327583</v>
      </c>
      <c r="I43" s="250">
        <v>2.6717550543840254</v>
      </c>
      <c r="J43" s="108"/>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14.25">
      <c r="A44" s="99"/>
      <c r="B44" s="148"/>
      <c r="C44" s="148"/>
      <c r="D44" s="148"/>
      <c r="E44" s="149"/>
      <c r="F44" s="148"/>
      <c r="G44" s="148"/>
      <c r="H44" s="148"/>
      <c r="I44" s="148"/>
      <c r="J44" s="126"/>
      <c r="K44" s="126"/>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c r="CE44" s="125"/>
      <c r="CF44" s="125"/>
      <c r="CG44" s="125"/>
      <c r="CH44" s="125"/>
      <c r="CI44" s="125"/>
      <c r="CJ44" s="125"/>
      <c r="CK44" s="125"/>
      <c r="CL44" s="125"/>
      <c r="CM44" s="125"/>
      <c r="CN44" s="125"/>
      <c r="CO44" s="125"/>
      <c r="CP44" s="125"/>
      <c r="CQ44" s="125"/>
      <c r="CR44" s="125"/>
      <c r="CS44" s="125"/>
      <c r="CT44" s="125"/>
      <c r="CU44" s="125"/>
      <c r="CV44" s="125"/>
      <c r="CW44" s="125"/>
      <c r="CX44" s="125"/>
      <c r="CY44" s="125"/>
      <c r="CZ44" s="125"/>
      <c r="DA44" s="125"/>
      <c r="DB44" s="125"/>
      <c r="DC44" s="125"/>
      <c r="DD44" s="125"/>
      <c r="DE44" s="125"/>
      <c r="DF44" s="125"/>
      <c r="DG44" s="125"/>
      <c r="DH44" s="125"/>
      <c r="DI44" s="125"/>
      <c r="DJ44" s="125"/>
      <c r="DK44" s="125"/>
      <c r="DL44" s="125"/>
      <c r="DM44" s="125"/>
      <c r="DN44" s="125"/>
      <c r="DO44" s="125"/>
      <c r="DP44" s="125"/>
      <c r="DQ44" s="125"/>
      <c r="DR44" s="125"/>
      <c r="DS44" s="125"/>
      <c r="DT44" s="125"/>
      <c r="DU44" s="125"/>
      <c r="DV44" s="125"/>
      <c r="DW44" s="125"/>
      <c r="DX44" s="125"/>
      <c r="DY44" s="125"/>
      <c r="DZ44" s="125"/>
      <c r="EA44" s="125"/>
      <c r="EB44" s="125"/>
      <c r="EC44" s="125"/>
      <c r="ED44" s="125"/>
      <c r="EE44" s="125"/>
      <c r="EF44" s="125"/>
      <c r="EG44" s="125"/>
      <c r="EH44" s="125"/>
      <c r="EI44" s="125"/>
      <c r="EJ44" s="125"/>
      <c r="EK44" s="125"/>
      <c r="EL44" s="125"/>
      <c r="EM44" s="125"/>
      <c r="EN44" s="125"/>
      <c r="EO44" s="125"/>
      <c r="EP44" s="125"/>
      <c r="EQ44" s="125"/>
      <c r="ER44" s="125"/>
      <c r="ES44" s="125"/>
      <c r="ET44" s="125"/>
      <c r="EU44" s="125"/>
      <c r="EV44" s="125"/>
      <c r="EW44" s="125"/>
      <c r="EX44" s="125"/>
      <c r="EY44" s="125"/>
      <c r="EZ44" s="125"/>
      <c r="FA44" s="125"/>
      <c r="FB44" s="125"/>
      <c r="FC44" s="125"/>
      <c r="FD44" s="125"/>
      <c r="FE44" s="125"/>
      <c r="FF44" s="125"/>
      <c r="FG44" s="125"/>
      <c r="FH44" s="125"/>
      <c r="FI44" s="125"/>
      <c r="FJ44" s="125"/>
      <c r="FK44" s="125"/>
      <c r="FL44" s="125"/>
      <c r="FM44" s="125"/>
      <c r="FN44" s="125"/>
      <c r="FO44" s="125"/>
      <c r="FP44" s="125"/>
      <c r="FQ44" s="125"/>
      <c r="FR44" s="125"/>
      <c r="FS44" s="125"/>
      <c r="FT44" s="125"/>
      <c r="FU44" s="125"/>
      <c r="FV44" s="125"/>
      <c r="FW44" s="125"/>
      <c r="FX44" s="125"/>
      <c r="FY44" s="125"/>
      <c r="FZ44" s="125"/>
      <c r="GA44" s="125"/>
      <c r="GB44" s="125"/>
      <c r="GC44" s="125"/>
      <c r="GD44" s="125"/>
      <c r="GE44" s="125"/>
      <c r="GF44" s="125"/>
      <c r="GG44" s="125"/>
      <c r="GH44" s="125"/>
      <c r="GI44" s="125"/>
      <c r="GJ44" s="125"/>
      <c r="GK44" s="125"/>
      <c r="GL44" s="125"/>
      <c r="GM44" s="125"/>
      <c r="GN44" s="125"/>
      <c r="GO44" s="125"/>
      <c r="GP44" s="125"/>
      <c r="GQ44" s="125"/>
      <c r="GR44" s="125"/>
      <c r="GS44" s="125"/>
      <c r="GT44" s="125"/>
      <c r="GU44" s="125"/>
      <c r="GV44" s="125"/>
      <c r="GW44" s="125"/>
      <c r="GX44" s="125"/>
      <c r="GY44" s="125"/>
      <c r="GZ44" s="125"/>
      <c r="HA44" s="125"/>
      <c r="HB44" s="125"/>
      <c r="HC44" s="125"/>
      <c r="HD44" s="125"/>
      <c r="HE44" s="125"/>
      <c r="HF44" s="125"/>
      <c r="HG44" s="125"/>
      <c r="HH44" s="125"/>
      <c r="HI44" s="125"/>
      <c r="HJ44" s="125"/>
      <c r="HK44" s="125"/>
      <c r="HL44" s="125"/>
      <c r="HM44" s="125"/>
      <c r="HN44" s="125"/>
      <c r="HO44" s="125"/>
      <c r="HP44" s="125"/>
      <c r="HQ44" s="125"/>
      <c r="HR44" s="125"/>
      <c r="HS44" s="125"/>
      <c r="HT44" s="125"/>
      <c r="HU44" s="125"/>
      <c r="HV44" s="125"/>
      <c r="HW44" s="125"/>
      <c r="HX44" s="125"/>
      <c r="HY44" s="125"/>
      <c r="HZ44" s="125"/>
      <c r="IA44" s="125"/>
      <c r="IB44" s="125"/>
      <c r="IC44" s="125"/>
      <c r="ID44" s="125"/>
      <c r="IE44" s="125"/>
      <c r="IF44" s="125"/>
      <c r="IG44" s="125"/>
      <c r="IH44" s="125"/>
      <c r="II44" s="125"/>
      <c r="IJ44" s="125"/>
      <c r="IK44" s="125"/>
      <c r="IL44" s="125"/>
      <c r="IM44" s="125"/>
      <c r="IN44" s="125"/>
      <c r="IO44" s="125"/>
      <c r="IP44" s="125"/>
      <c r="IQ44" s="125"/>
      <c r="IR44" s="125"/>
      <c r="IS44" s="125"/>
      <c r="IT44" s="125"/>
      <c r="IU44" s="125"/>
    </row>
    <row r="45" spans="1:255" ht="14.25">
      <c r="A45" s="59" t="str">
        <f>HLOOKUP(INDICE!$F$2,Nombres!$C$3:$D$636,12,FALSE)</f>
        <v>Turkey </v>
      </c>
      <c r="B45" s="150">
        <v>3.8024182673666056</v>
      </c>
      <c r="C45" s="150">
        <v>2.7125126972059963</v>
      </c>
      <c r="D45" s="150">
        <v>2.0049306351482334</v>
      </c>
      <c r="E45" s="151">
        <v>2.134983801788742</v>
      </c>
      <c r="F45" s="150">
        <v>1.3446936546426136</v>
      </c>
      <c r="G45" s="250">
        <v>0.9737620758969258</v>
      </c>
      <c r="H45" s="250">
        <v>0.8755645034712647</v>
      </c>
      <c r="I45" s="250">
        <v>1.3282143658971564</v>
      </c>
      <c r="J45" s="108"/>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11" ht="14.25">
      <c r="A46" s="99"/>
      <c r="B46" s="148"/>
      <c r="C46" s="148"/>
      <c r="D46" s="148"/>
      <c r="E46" s="149"/>
      <c r="F46" s="148"/>
      <c r="G46" s="148"/>
      <c r="H46" s="148"/>
      <c r="I46" s="148"/>
      <c r="J46" s="126"/>
      <c r="K46" s="126"/>
    </row>
    <row r="47" spans="1:255" ht="14.25">
      <c r="A47" s="59" t="str">
        <f>HLOOKUP(INDICE!$F$2,Nombres!$C$3:$D$636,13,FALSE)</f>
        <v>South America</v>
      </c>
      <c r="B47" s="150">
        <v>2.9978563658050255</v>
      </c>
      <c r="C47" s="150">
        <v>3.1004639627851667</v>
      </c>
      <c r="D47" s="150">
        <v>2.4878915183229866</v>
      </c>
      <c r="E47" s="151">
        <v>2.35718381031418</v>
      </c>
      <c r="F47" s="150">
        <v>1.8091344969893883</v>
      </c>
      <c r="G47" s="250">
        <v>1.928438254504768</v>
      </c>
      <c r="H47" s="250">
        <v>1.8729891230519553</v>
      </c>
      <c r="I47" s="250">
        <v>1.6530823816118405</v>
      </c>
      <c r="J47" s="108"/>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14.25">
      <c r="A48" s="99"/>
      <c r="B48" s="152"/>
      <c r="C48" s="152"/>
      <c r="D48" s="152"/>
      <c r="E48" s="153"/>
      <c r="F48" s="152"/>
      <c r="G48" s="251"/>
      <c r="H48" s="251"/>
      <c r="I48" s="251"/>
      <c r="J48" s="126"/>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14.25">
      <c r="A49" s="59" t="str">
        <f>HLOOKUP(INDICE!$F$2,Nombres!$C$3:$D$636,263,FALSE)</f>
        <v>Rest of Business</v>
      </c>
      <c r="B49" s="150">
        <v>0.1357184129918632</v>
      </c>
      <c r="C49" s="150">
        <v>0.516513963816186</v>
      </c>
      <c r="D49" s="150">
        <v>0.46430108961862915</v>
      </c>
      <c r="E49" s="151">
        <v>0.30316518263846326</v>
      </c>
      <c r="F49" s="150">
        <v>-0.03025345085610629</v>
      </c>
      <c r="G49" s="250">
        <v>-0.1275024117868915</v>
      </c>
      <c r="H49" s="250">
        <v>-0.10673071982215629</v>
      </c>
      <c r="I49" s="250">
        <v>-0.10866439428067584</v>
      </c>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11" ht="14.25">
      <c r="A50" s="129"/>
      <c r="B50" s="99"/>
      <c r="C50" s="145"/>
      <c r="D50" s="145"/>
      <c r="E50" s="145"/>
      <c r="F50" s="99"/>
      <c r="G50" s="252"/>
      <c r="H50" s="252"/>
      <c r="I50" s="252"/>
      <c r="K50" s="126"/>
    </row>
    <row r="51" spans="1:255" ht="14.25">
      <c r="A51" s="117" t="str">
        <f>HLOOKUP(INDICE!$F$2,Nombres!$C$3:$D$636,278,FALSE)</f>
        <v>(*) BBVA Group excludes  the US Business sold to PNC.</v>
      </c>
      <c r="B51" s="99"/>
      <c r="C51" s="99"/>
      <c r="D51" s="99"/>
      <c r="E51" s="99"/>
      <c r="F51" s="99"/>
      <c r="G51" s="99"/>
      <c r="H51" s="99"/>
      <c r="I51" s="99"/>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11" ht="14.25">
      <c r="A52" s="99"/>
      <c r="B52" s="99"/>
      <c r="C52" s="99"/>
      <c r="D52" s="99"/>
      <c r="E52" s="99"/>
      <c r="F52" s="99"/>
      <c r="G52" s="99"/>
      <c r="H52" s="99"/>
      <c r="I52" s="99"/>
      <c r="K52" s="126"/>
    </row>
    <row r="53" spans="1:255" ht="14.25">
      <c r="A53" s="154"/>
      <c r="B53" s="118"/>
      <c r="C53" s="118"/>
      <c r="D53" s="118"/>
      <c r="E53" s="118"/>
      <c r="F53" s="118"/>
      <c r="G53" s="118"/>
      <c r="H53" s="154"/>
      <c r="I53" s="154"/>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1:255" ht="14.25">
      <c r="K54" s="126"/>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5"/>
      <c r="BX54" s="125"/>
      <c r="BY54" s="125"/>
      <c r="BZ54" s="125"/>
      <c r="CA54" s="125"/>
      <c r="CB54" s="125"/>
      <c r="CC54" s="125"/>
      <c r="CD54" s="125"/>
      <c r="CE54" s="125"/>
      <c r="CF54" s="125"/>
      <c r="CG54" s="125"/>
      <c r="CH54" s="125"/>
      <c r="CI54" s="125"/>
      <c r="CJ54" s="125"/>
      <c r="CK54" s="125"/>
      <c r="CL54" s="125"/>
      <c r="CM54" s="125"/>
      <c r="CN54" s="125"/>
      <c r="CO54" s="125"/>
      <c r="CP54" s="125"/>
      <c r="CQ54" s="125"/>
      <c r="CR54" s="125"/>
      <c r="CS54" s="125"/>
      <c r="CT54" s="125"/>
      <c r="CU54" s="125"/>
      <c r="CV54" s="125"/>
      <c r="CW54" s="125"/>
      <c r="CX54" s="125"/>
      <c r="CY54" s="125"/>
      <c r="CZ54" s="125"/>
      <c r="DA54" s="125"/>
      <c r="DB54" s="125"/>
      <c r="DC54" s="125"/>
      <c r="DD54" s="125"/>
      <c r="DE54" s="125"/>
      <c r="DF54" s="125"/>
      <c r="DG54" s="125"/>
      <c r="DH54" s="125"/>
      <c r="DI54" s="125"/>
      <c r="DJ54" s="125"/>
      <c r="DK54" s="125"/>
      <c r="DL54" s="125"/>
      <c r="DM54" s="125"/>
      <c r="DN54" s="125"/>
      <c r="DO54" s="125"/>
      <c r="DP54" s="125"/>
      <c r="DQ54" s="125"/>
      <c r="DR54" s="125"/>
      <c r="DS54" s="125"/>
      <c r="DT54" s="125"/>
      <c r="DU54" s="125"/>
      <c r="DV54" s="125"/>
      <c r="DW54" s="125"/>
      <c r="DX54" s="125"/>
      <c r="DY54" s="125"/>
      <c r="DZ54" s="125"/>
      <c r="EA54" s="125"/>
      <c r="EB54" s="125"/>
      <c r="EC54" s="125"/>
      <c r="ED54" s="125"/>
      <c r="EE54" s="125"/>
      <c r="EF54" s="125"/>
      <c r="EG54" s="125"/>
      <c r="EH54" s="125"/>
      <c r="EI54" s="125"/>
      <c r="EJ54" s="125"/>
      <c r="EK54" s="125"/>
      <c r="EL54" s="125"/>
      <c r="EM54" s="125"/>
      <c r="EN54" s="125"/>
      <c r="EO54" s="125"/>
      <c r="EP54" s="125"/>
      <c r="EQ54" s="125"/>
      <c r="ER54" s="125"/>
      <c r="ES54" s="125"/>
      <c r="ET54" s="125"/>
      <c r="EU54" s="125"/>
      <c r="EV54" s="125"/>
      <c r="EW54" s="125"/>
      <c r="EX54" s="125"/>
      <c r="EY54" s="125"/>
      <c r="EZ54" s="125"/>
      <c r="FA54" s="125"/>
      <c r="FB54" s="125"/>
      <c r="FC54" s="125"/>
      <c r="FD54" s="125"/>
      <c r="FE54" s="125"/>
      <c r="FF54" s="125"/>
      <c r="FG54" s="125"/>
      <c r="FH54" s="125"/>
      <c r="FI54" s="125"/>
      <c r="FJ54" s="125"/>
      <c r="FK54" s="125"/>
      <c r="FL54" s="125"/>
      <c r="FM54" s="125"/>
      <c r="FN54" s="125"/>
      <c r="FO54" s="125"/>
      <c r="FP54" s="125"/>
      <c r="FQ54" s="125"/>
      <c r="FR54" s="125"/>
      <c r="FS54" s="125"/>
      <c r="FT54" s="125"/>
      <c r="FU54" s="125"/>
      <c r="FV54" s="125"/>
      <c r="FW54" s="125"/>
      <c r="FX54" s="125"/>
      <c r="FY54" s="125"/>
      <c r="FZ54" s="125"/>
      <c r="GA54" s="125"/>
      <c r="GB54" s="125"/>
      <c r="GC54" s="125"/>
      <c r="GD54" s="125"/>
      <c r="GE54" s="125"/>
      <c r="GF54" s="125"/>
      <c r="GG54" s="125"/>
      <c r="GH54" s="125"/>
      <c r="GI54" s="125"/>
      <c r="GJ54" s="125"/>
      <c r="GK54" s="125"/>
      <c r="GL54" s="125"/>
      <c r="GM54" s="125"/>
      <c r="GN54" s="125"/>
      <c r="GO54" s="125"/>
      <c r="GP54" s="125"/>
      <c r="GQ54" s="125"/>
      <c r="GR54" s="125"/>
      <c r="GS54" s="125"/>
      <c r="GT54" s="125"/>
      <c r="GU54" s="125"/>
      <c r="GV54" s="125"/>
      <c r="GW54" s="125"/>
      <c r="GX54" s="125"/>
      <c r="GY54" s="125"/>
      <c r="GZ54" s="125"/>
      <c r="HA54" s="125"/>
      <c r="HB54" s="125"/>
      <c r="HC54" s="125"/>
      <c r="HD54" s="125"/>
      <c r="HE54" s="125"/>
      <c r="HF54" s="125"/>
      <c r="HG54" s="125"/>
      <c r="HH54" s="125"/>
      <c r="HI54" s="125"/>
      <c r="HJ54" s="125"/>
      <c r="HK54" s="125"/>
      <c r="HL54" s="125"/>
      <c r="HM54" s="125"/>
      <c r="HN54" s="125"/>
      <c r="HO54" s="125"/>
      <c r="HP54" s="125"/>
      <c r="HQ54" s="125"/>
      <c r="HR54" s="125"/>
      <c r="HS54" s="125"/>
      <c r="HT54" s="125"/>
      <c r="HU54" s="125"/>
      <c r="HV54" s="125"/>
      <c r="HW54" s="125"/>
      <c r="HX54" s="125"/>
      <c r="HY54" s="125"/>
      <c r="HZ54" s="125"/>
      <c r="IA54" s="125"/>
      <c r="IB54" s="125"/>
      <c r="IC54" s="125"/>
      <c r="ID54" s="125"/>
      <c r="IE54" s="125"/>
      <c r="IF54" s="125"/>
      <c r="IG54" s="125"/>
      <c r="IH54" s="125"/>
      <c r="II54" s="125"/>
      <c r="IJ54" s="125"/>
      <c r="IK54" s="125"/>
      <c r="IL54" s="125"/>
      <c r="IM54" s="125"/>
      <c r="IN54" s="125"/>
      <c r="IO54" s="125"/>
      <c r="IP54" s="125"/>
      <c r="IQ54" s="125"/>
      <c r="IR54" s="125"/>
      <c r="IS54" s="125"/>
      <c r="IT54" s="125"/>
      <c r="IU54" s="125"/>
    </row>
    <row r="994" ht="14.25">
      <c r="A994" s="155" t="s">
        <v>396</v>
      </c>
    </row>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AO1000"/>
  <sheetViews>
    <sheetView showGridLines="0" zoomScalePageLayoutView="0" workbookViewId="0" topLeftCell="A1">
      <selection activeCell="A1" sqref="A1"/>
    </sheetView>
  </sheetViews>
  <sheetFormatPr defaultColWidth="11.421875" defaultRowHeight="15"/>
  <cols>
    <col min="1" max="1" width="23.8515625" style="0" customWidth="1"/>
  </cols>
  <sheetData>
    <row r="1" spans="1:41" ht="16.5">
      <c r="A1" s="253" t="str">
        <f>HLOOKUP(INDICE!$F$2,Nombres!$C$3:$D$636,123,FALSE)</f>
        <v>Branches</v>
      </c>
      <c r="B1" s="156"/>
      <c r="C1" s="156"/>
      <c r="D1" s="157"/>
      <c r="E1" s="157"/>
      <c r="F1" s="157"/>
      <c r="G1" s="157"/>
      <c r="H1" s="157"/>
      <c r="I1" s="157"/>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row>
    <row r="2" spans="1:41" ht="33.75" customHeight="1">
      <c r="A2" s="158"/>
      <c r="B2" s="101">
        <f>+España!B30</f>
        <v>43921</v>
      </c>
      <c r="C2" s="101">
        <f>+España!C30</f>
        <v>44012</v>
      </c>
      <c r="D2" s="101">
        <f>+España!D30</f>
        <v>44104</v>
      </c>
      <c r="E2" s="101">
        <f>+España!E30</f>
        <v>44196</v>
      </c>
      <c r="F2" s="101">
        <f>+España!F30</f>
        <v>44286</v>
      </c>
      <c r="G2" s="101">
        <f>+España!G30</f>
        <v>44377</v>
      </c>
      <c r="H2" s="101">
        <f>+España!H30</f>
        <v>44469</v>
      </c>
      <c r="I2" s="101">
        <f>+España!I30</f>
        <v>44561</v>
      </c>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row>
    <row r="3" spans="1:41" ht="14.25">
      <c r="A3" s="254" t="str">
        <f>HLOOKUP(INDICE!$F$2,Nombres!$C$3:$D$636,7,FALSE)</f>
        <v>Spain</v>
      </c>
      <c r="B3" s="41">
        <v>2593</v>
      </c>
      <c r="C3" s="41">
        <v>2592</v>
      </c>
      <c r="D3" s="41">
        <v>2521</v>
      </c>
      <c r="E3" s="41">
        <v>2482</v>
      </c>
      <c r="F3" s="41">
        <v>2366</v>
      </c>
      <c r="G3" s="41">
        <v>2366</v>
      </c>
      <c r="H3" s="41">
        <v>2106</v>
      </c>
      <c r="I3" s="41">
        <v>1895</v>
      </c>
      <c r="J3" s="54"/>
      <c r="K3" s="31"/>
      <c r="L3" s="118"/>
      <c r="M3" s="118"/>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row>
    <row r="4" spans="1:41" ht="14.25">
      <c r="A4" s="254" t="str">
        <f>HLOOKUP(INDICE!$F$2,Nombres!$C$3:$D$636,10,FALSE)</f>
        <v>USA</v>
      </c>
      <c r="B4" s="41">
        <v>643</v>
      </c>
      <c r="C4" s="41">
        <v>643</v>
      </c>
      <c r="D4" s="41">
        <v>639</v>
      </c>
      <c r="E4" s="41">
        <v>639</v>
      </c>
      <c r="F4" s="41">
        <v>639</v>
      </c>
      <c r="G4" s="41">
        <v>0</v>
      </c>
      <c r="H4" s="41">
        <v>0</v>
      </c>
      <c r="I4" s="41">
        <v>0</v>
      </c>
      <c r="J4" s="54"/>
      <c r="K4" s="31"/>
      <c r="L4" s="118"/>
      <c r="M4" s="118"/>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row>
    <row r="5" spans="1:41" ht="14.25">
      <c r="A5" s="254" t="str">
        <f>HLOOKUP(INDICE!$F$2,Nombres!$C$3:$D$636,11,FALSE)</f>
        <v>Mexico</v>
      </c>
      <c r="B5" s="41">
        <v>1864</v>
      </c>
      <c r="C5" s="41">
        <v>1866</v>
      </c>
      <c r="D5" s="41">
        <v>1814</v>
      </c>
      <c r="E5" s="41">
        <v>1746</v>
      </c>
      <c r="F5" s="41">
        <v>1728</v>
      </c>
      <c r="G5" s="41">
        <v>1746</v>
      </c>
      <c r="H5" s="41">
        <v>1746</v>
      </c>
      <c r="I5" s="41">
        <v>1716</v>
      </c>
      <c r="J5" s="54"/>
      <c r="K5" s="31"/>
      <c r="L5" s="118"/>
      <c r="M5" s="118"/>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row>
    <row r="6" spans="1:41" ht="14.25">
      <c r="A6" s="254" t="str">
        <f>HLOOKUP(INDICE!$F$2,Nombres!$C$3:$D$636,12,FALSE)</f>
        <v>Turkey </v>
      </c>
      <c r="B6" s="41">
        <v>1038</v>
      </c>
      <c r="C6" s="41">
        <v>1035</v>
      </c>
      <c r="D6" s="41">
        <v>1028</v>
      </c>
      <c r="E6" s="41">
        <v>1021</v>
      </c>
      <c r="F6" s="41">
        <v>1021</v>
      </c>
      <c r="G6" s="41">
        <v>1009</v>
      </c>
      <c r="H6" s="41">
        <v>1007</v>
      </c>
      <c r="I6" s="41">
        <v>1006</v>
      </c>
      <c r="J6" s="54"/>
      <c r="K6" s="31"/>
      <c r="L6" s="118"/>
      <c r="M6" s="118"/>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row>
    <row r="7" spans="1:41" ht="14.25">
      <c r="A7" s="254" t="str">
        <f>HLOOKUP(INDICE!$F$2,Nombres!$C$3:$D$636,13,FALSE)</f>
        <v>South America</v>
      </c>
      <c r="B7" s="41">
        <v>1525</v>
      </c>
      <c r="C7" s="41">
        <v>1533</v>
      </c>
      <c r="D7" s="41">
        <v>1533</v>
      </c>
      <c r="E7" s="41">
        <v>1514</v>
      </c>
      <c r="F7" s="41">
        <v>1470</v>
      </c>
      <c r="G7" s="41">
        <v>1464</v>
      </c>
      <c r="H7" s="41">
        <v>1453</v>
      </c>
      <c r="I7" s="41">
        <v>1434</v>
      </c>
      <c r="J7" s="54"/>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row>
    <row r="8" spans="1:41" ht="14.25">
      <c r="A8" s="159" t="str">
        <f>HLOOKUP(INDICE!$F$2,Nombres!$C$3:$D$636,14,FALSE)</f>
        <v>Argentina</v>
      </c>
      <c r="B8" s="255">
        <v>247</v>
      </c>
      <c r="C8" s="255">
        <v>248</v>
      </c>
      <c r="D8" s="255">
        <v>248</v>
      </c>
      <c r="E8" s="255">
        <v>248</v>
      </c>
      <c r="F8" s="255">
        <v>248</v>
      </c>
      <c r="G8" s="255">
        <v>244</v>
      </c>
      <c r="H8" s="255">
        <v>244</v>
      </c>
      <c r="I8" s="255">
        <v>244</v>
      </c>
      <c r="J8" s="54"/>
      <c r="K8" s="31"/>
      <c r="L8" s="118"/>
      <c r="M8" s="118"/>
      <c r="N8" s="269"/>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row>
    <row r="9" spans="1:41" ht="14.25">
      <c r="A9" s="159" t="str">
        <f>HLOOKUP(INDICE!$F$2,Nombres!$C$3:$D$636,15,FALSE)</f>
        <v>Chile</v>
      </c>
      <c r="B9" s="44">
        <v>17</v>
      </c>
      <c r="C9" s="44">
        <v>17</v>
      </c>
      <c r="D9" s="44">
        <v>17</v>
      </c>
      <c r="E9" s="44">
        <v>17</v>
      </c>
      <c r="F9" s="44">
        <v>17</v>
      </c>
      <c r="G9" s="44">
        <v>17</v>
      </c>
      <c r="H9" s="44">
        <v>17</v>
      </c>
      <c r="I9" s="44">
        <v>11</v>
      </c>
      <c r="J9" s="54"/>
      <c r="K9" s="31"/>
      <c r="L9" s="118"/>
      <c r="M9" s="118"/>
      <c r="N9" s="269"/>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row>
    <row r="10" spans="1:41" ht="14.25">
      <c r="A10" s="256" t="str">
        <f>HLOOKUP(INDICE!$F$2,Nombres!$C$3:$D$636,16,FALSE)</f>
        <v>Colombia</v>
      </c>
      <c r="B10" s="44">
        <v>551</v>
      </c>
      <c r="C10" s="44">
        <v>560</v>
      </c>
      <c r="D10" s="44">
        <v>559</v>
      </c>
      <c r="E10" s="44">
        <v>540</v>
      </c>
      <c r="F10" s="44">
        <v>522</v>
      </c>
      <c r="G10" s="44">
        <v>520</v>
      </c>
      <c r="H10" s="44">
        <v>518</v>
      </c>
      <c r="I10" s="44">
        <v>517</v>
      </c>
      <c r="J10" s="54"/>
      <c r="K10" s="118"/>
      <c r="L10" s="118"/>
      <c r="M10" s="118"/>
      <c r="N10" s="269"/>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row>
    <row r="11" spans="1:41" ht="14.25">
      <c r="A11" s="256" t="str">
        <f>HLOOKUP(INDICE!$F$2,Nombres!$C$3:$D$636,17,FALSE)</f>
        <v>Peru</v>
      </c>
      <c r="B11" s="44">
        <v>332</v>
      </c>
      <c r="C11" s="44">
        <v>332</v>
      </c>
      <c r="D11" s="44">
        <v>332</v>
      </c>
      <c r="E11" s="44">
        <v>332</v>
      </c>
      <c r="F11" s="44">
        <v>325</v>
      </c>
      <c r="G11" s="44">
        <v>325</v>
      </c>
      <c r="H11" s="44">
        <v>316</v>
      </c>
      <c r="I11" s="44">
        <v>317</v>
      </c>
      <c r="J11" s="54"/>
      <c r="K11" s="118"/>
      <c r="L11" s="118"/>
      <c r="M11" s="118"/>
      <c r="N11" s="269"/>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ht="14.25">
      <c r="A12" s="256" t="str">
        <f>HLOOKUP(INDICE!$F$2,Nombres!$C$3:$D$636,89,FALSE)</f>
        <v>Resto of South América</v>
      </c>
      <c r="B12" s="44">
        <v>378</v>
      </c>
      <c r="C12" s="44">
        <v>376</v>
      </c>
      <c r="D12" s="44">
        <v>377</v>
      </c>
      <c r="E12" s="44">
        <v>377</v>
      </c>
      <c r="F12" s="44">
        <v>358</v>
      </c>
      <c r="G12" s="44">
        <v>358</v>
      </c>
      <c r="H12" s="44">
        <v>358</v>
      </c>
      <c r="I12" s="44">
        <v>345</v>
      </c>
      <c r="J12" s="54"/>
      <c r="K12" s="118"/>
      <c r="L12" s="118"/>
      <c r="M12" s="118"/>
      <c r="N12" s="269"/>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row>
    <row r="13" spans="1:41" ht="14.25">
      <c r="A13" s="254" t="str">
        <f>HLOOKUP(INDICE!$F$2,Nombres!$C$3:$D$636,279,FALSE)</f>
        <v>Rest of geographies</v>
      </c>
      <c r="B13" s="41">
        <v>31</v>
      </c>
      <c r="C13" s="41">
        <v>30</v>
      </c>
      <c r="D13" s="41">
        <v>30</v>
      </c>
      <c r="E13" s="41">
        <v>30</v>
      </c>
      <c r="F13" s="41">
        <v>30</v>
      </c>
      <c r="G13" s="41">
        <v>32</v>
      </c>
      <c r="H13" s="41">
        <v>32</v>
      </c>
      <c r="I13" s="41">
        <v>32</v>
      </c>
      <c r="J13" s="54"/>
      <c r="K13" s="118"/>
      <c r="L13" s="118"/>
      <c r="M13" s="118"/>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row>
    <row r="14" spans="1:41" ht="14.25">
      <c r="A14" s="254" t="s">
        <v>6</v>
      </c>
      <c r="B14" s="41">
        <f aca="true" t="shared" si="0" ref="B14:I14">+SUM(B3:B6,B8:B13)</f>
        <v>7694</v>
      </c>
      <c r="C14" s="41">
        <f t="shared" si="0"/>
        <v>7699</v>
      </c>
      <c r="D14" s="41">
        <f t="shared" si="0"/>
        <v>7565</v>
      </c>
      <c r="E14" s="41">
        <f t="shared" si="0"/>
        <v>7432</v>
      </c>
      <c r="F14" s="41">
        <f t="shared" si="0"/>
        <v>7254</v>
      </c>
      <c r="G14" s="41">
        <f t="shared" si="0"/>
        <v>6617</v>
      </c>
      <c r="H14" s="41">
        <f t="shared" si="0"/>
        <v>6344</v>
      </c>
      <c r="I14" s="41">
        <f t="shared" si="0"/>
        <v>6083</v>
      </c>
      <c r="J14" s="54"/>
      <c r="K14" s="118"/>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row>
    <row r="15" spans="1:41" ht="14.25">
      <c r="A15" s="160"/>
      <c r="B15" s="161">
        <v>0</v>
      </c>
      <c r="C15" s="161">
        <v>0</v>
      </c>
      <c r="D15" s="161">
        <v>0</v>
      </c>
      <c r="E15" s="161">
        <v>0</v>
      </c>
      <c r="F15" s="161">
        <v>0</v>
      </c>
      <c r="G15" s="161">
        <v>0</v>
      </c>
      <c r="H15" s="161">
        <v>0</v>
      </c>
      <c r="I15" s="161">
        <v>0</v>
      </c>
      <c r="J15" s="31"/>
      <c r="K15" s="118"/>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row>
    <row r="16" spans="1:41" ht="14.25">
      <c r="A16" s="160"/>
      <c r="B16" s="161"/>
      <c r="C16" s="161"/>
      <c r="D16" s="161"/>
      <c r="E16" s="161"/>
      <c r="F16" s="161"/>
      <c r="G16" s="161"/>
      <c r="H16" s="161"/>
      <c r="I16" s="161"/>
      <c r="J16" s="31"/>
      <c r="K16" s="118"/>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row>
    <row r="17" spans="1:41" ht="16.5">
      <c r="A17" s="253" t="str">
        <f>HLOOKUP(INDICE!$F$2,Nombres!$C$3:$D$636,124,FALSE)</f>
        <v>Employees</v>
      </c>
      <c r="B17" s="156"/>
      <c r="C17" s="156"/>
      <c r="D17" s="157"/>
      <c r="E17" s="157"/>
      <c r="F17" s="157"/>
      <c r="G17" s="157"/>
      <c r="H17" s="157"/>
      <c r="I17" s="157"/>
      <c r="J17" s="162"/>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row>
    <row r="18" spans="1:41" ht="33.75" customHeight="1">
      <c r="A18" s="158"/>
      <c r="B18" s="101">
        <f aca="true" t="shared" si="1" ref="B18:I18">+B$2</f>
        <v>43921</v>
      </c>
      <c r="C18" s="101">
        <f t="shared" si="1"/>
        <v>44012</v>
      </c>
      <c r="D18" s="101">
        <f t="shared" si="1"/>
        <v>44104</v>
      </c>
      <c r="E18" s="101">
        <f t="shared" si="1"/>
        <v>44196</v>
      </c>
      <c r="F18" s="101">
        <f t="shared" si="1"/>
        <v>44286</v>
      </c>
      <c r="G18" s="101">
        <f t="shared" si="1"/>
        <v>44377</v>
      </c>
      <c r="H18" s="101">
        <f t="shared" si="1"/>
        <v>44469</v>
      </c>
      <c r="I18" s="101">
        <f t="shared" si="1"/>
        <v>44561</v>
      </c>
      <c r="J18" s="162"/>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row>
    <row r="19" spans="1:41" ht="14.25">
      <c r="A19" s="254" t="str">
        <f>HLOOKUP(INDICE!$F$2,Nombres!$C$3:$D$636,7,FALSE)</f>
        <v>Spain</v>
      </c>
      <c r="B19" s="41">
        <v>29753</v>
      </c>
      <c r="C19" s="41">
        <v>29406</v>
      </c>
      <c r="D19" s="41">
        <v>29475</v>
      </c>
      <c r="E19" s="41">
        <v>29330</v>
      </c>
      <c r="F19" s="41">
        <v>28777</v>
      </c>
      <c r="G19" s="41">
        <v>28673</v>
      </c>
      <c r="H19" s="41">
        <v>27387</v>
      </c>
      <c r="I19" s="41">
        <v>24843</v>
      </c>
      <c r="J19" s="118"/>
      <c r="K19" s="41"/>
      <c r="L19" s="31"/>
      <c r="M19" s="54"/>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row>
    <row r="20" spans="1:41" ht="14.25">
      <c r="A20" s="254" t="str">
        <f>HLOOKUP(INDICE!$F$2,Nombres!$C$3:$D$636,10,FALSE)</f>
        <v>USA</v>
      </c>
      <c r="B20" s="41">
        <v>10895</v>
      </c>
      <c r="C20" s="41">
        <v>10945</v>
      </c>
      <c r="D20" s="41">
        <v>10867</v>
      </c>
      <c r="E20" s="41">
        <v>10895</v>
      </c>
      <c r="F20" s="41">
        <v>10532</v>
      </c>
      <c r="G20" s="41">
        <v>0</v>
      </c>
      <c r="H20" s="41">
        <v>0</v>
      </c>
      <c r="I20" s="41">
        <v>0</v>
      </c>
      <c r="J20" s="118"/>
      <c r="K20" s="41"/>
      <c r="L20" s="31"/>
      <c r="M20" s="54"/>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row>
    <row r="21" spans="1:41" ht="14.25">
      <c r="A21" s="254" t="str">
        <f>HLOOKUP(INDICE!$F$2,Nombres!$C$3:$D$636,11,FALSE)</f>
        <v>Mexico</v>
      </c>
      <c r="B21" s="41">
        <v>37885</v>
      </c>
      <c r="C21" s="41">
        <v>37480</v>
      </c>
      <c r="D21" s="41">
        <v>37217</v>
      </c>
      <c r="E21" s="41">
        <v>36853</v>
      </c>
      <c r="F21" s="41">
        <v>37444</v>
      </c>
      <c r="G21" s="41">
        <v>37127</v>
      </c>
      <c r="H21" s="41">
        <v>40183</v>
      </c>
      <c r="I21" s="41">
        <v>40243</v>
      </c>
      <c r="J21" s="118"/>
      <c r="K21" s="41"/>
      <c r="L21" s="31"/>
      <c r="M21" s="54"/>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row>
    <row r="22" spans="1:41" ht="14.25">
      <c r="A22" s="254" t="str">
        <f>HLOOKUP(INDICE!$F$2,Nombres!$C$3:$D$636,12,FALSE)</f>
        <v>Turkey </v>
      </c>
      <c r="B22" s="41">
        <v>22068</v>
      </c>
      <c r="C22" s="41">
        <v>21964</v>
      </c>
      <c r="D22" s="41">
        <v>21964</v>
      </c>
      <c r="E22" s="41">
        <v>21908</v>
      </c>
      <c r="F22" s="41">
        <v>21838</v>
      </c>
      <c r="G22" s="41">
        <v>21834</v>
      </c>
      <c r="H22" s="41">
        <v>21651</v>
      </c>
      <c r="I22" s="41">
        <v>21522</v>
      </c>
      <c r="J22" s="118"/>
      <c r="K22" s="41"/>
      <c r="L22" s="31"/>
      <c r="M22" s="54"/>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row>
    <row r="23" spans="1:41" ht="14.25">
      <c r="A23" s="254" t="str">
        <f>HLOOKUP(INDICE!$F$2,Nombres!$C$3:$D$636,13,FALSE)</f>
        <v>South America</v>
      </c>
      <c r="B23" s="41">
        <v>24294</v>
      </c>
      <c r="C23" s="41">
        <v>24107</v>
      </c>
      <c r="D23" s="41">
        <v>23453</v>
      </c>
      <c r="E23" s="41">
        <v>23059</v>
      </c>
      <c r="F23" s="41">
        <v>22432</v>
      </c>
      <c r="G23" s="41">
        <v>22418</v>
      </c>
      <c r="H23" s="41">
        <v>22607</v>
      </c>
      <c r="I23" s="41">
        <v>22519</v>
      </c>
      <c r="J23" s="54"/>
      <c r="K23" s="44"/>
      <c r="L23" s="31"/>
      <c r="M23" s="54"/>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row>
    <row r="24" spans="1:41" ht="14.25">
      <c r="A24" s="159" t="str">
        <f>HLOOKUP(INDICE!$F$2,Nombres!$C$3:$D$636,14,FALSE)</f>
        <v>Argentina</v>
      </c>
      <c r="B24" s="44">
        <v>6315</v>
      </c>
      <c r="C24" s="44">
        <v>6266</v>
      </c>
      <c r="D24" s="44">
        <v>6143</v>
      </c>
      <c r="E24" s="44">
        <v>6052</v>
      </c>
      <c r="F24" s="44">
        <v>6017</v>
      </c>
      <c r="G24" s="44">
        <v>5937</v>
      </c>
      <c r="H24" s="44">
        <v>5887</v>
      </c>
      <c r="I24" s="44">
        <v>5852</v>
      </c>
      <c r="J24" s="54"/>
      <c r="K24" s="44"/>
      <c r="L24" s="118"/>
      <c r="M24" s="54"/>
      <c r="N24" s="270"/>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row>
    <row r="25" spans="1:41" ht="14.25">
      <c r="A25" s="159" t="str">
        <f>HLOOKUP(INDICE!$F$2,Nombres!$C$3:$D$636,15,FALSE)</f>
        <v>Chile</v>
      </c>
      <c r="B25" s="44">
        <v>794</v>
      </c>
      <c r="C25" s="44">
        <v>721</v>
      </c>
      <c r="D25" s="44">
        <v>706</v>
      </c>
      <c r="E25" s="44">
        <v>696</v>
      </c>
      <c r="F25" s="44">
        <v>685</v>
      </c>
      <c r="G25" s="44">
        <v>694</v>
      </c>
      <c r="H25" s="44">
        <v>704</v>
      </c>
      <c r="I25" s="44">
        <v>714</v>
      </c>
      <c r="J25" s="54"/>
      <c r="K25" s="44"/>
      <c r="L25" s="118"/>
      <c r="M25" s="54"/>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row>
    <row r="26" spans="1:41" ht="14.25">
      <c r="A26" s="256" t="str">
        <f>HLOOKUP(INDICE!$F$2,Nombres!$C$3:$D$636,16,FALSE)</f>
        <v>Colombia</v>
      </c>
      <c r="B26" s="44">
        <v>6919</v>
      </c>
      <c r="C26" s="44">
        <v>6893</v>
      </c>
      <c r="D26" s="44">
        <v>6754</v>
      </c>
      <c r="E26" s="44">
        <v>6592</v>
      </c>
      <c r="F26" s="44">
        <v>6482</v>
      </c>
      <c r="G26" s="44">
        <v>6564</v>
      </c>
      <c r="H26" s="44">
        <v>6671</v>
      </c>
      <c r="I26" s="44">
        <v>6741</v>
      </c>
      <c r="J26" s="54"/>
      <c r="K26" s="44"/>
      <c r="L26" s="118"/>
      <c r="M26" s="54"/>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row>
    <row r="27" spans="1:41" ht="14.25">
      <c r="A27" s="256" t="str">
        <f>HLOOKUP(INDICE!$F$2,Nombres!$C$3:$D$636,17,FALSE)</f>
        <v>Peru</v>
      </c>
      <c r="B27" s="44">
        <v>6455</v>
      </c>
      <c r="C27" s="44">
        <v>6525</v>
      </c>
      <c r="D27" s="44">
        <v>6299</v>
      </c>
      <c r="E27" s="44">
        <v>6204</v>
      </c>
      <c r="F27" s="44">
        <v>6217</v>
      </c>
      <c r="G27" s="44">
        <v>6266</v>
      </c>
      <c r="H27" s="44">
        <v>6433</v>
      </c>
      <c r="I27" s="44">
        <v>6394</v>
      </c>
      <c r="J27" s="54"/>
      <c r="K27" s="44"/>
      <c r="L27" s="118"/>
      <c r="M27" s="54"/>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row>
    <row r="28" spans="1:41" ht="14.25">
      <c r="A28" s="256" t="str">
        <f>HLOOKUP(INDICE!$F$2,Nombres!$C$3:$D$636,89,FALSE)</f>
        <v>Resto of South América</v>
      </c>
      <c r="B28" s="44">
        <v>3811</v>
      </c>
      <c r="C28" s="44">
        <v>3702</v>
      </c>
      <c r="D28" s="44">
        <v>3551</v>
      </c>
      <c r="E28" s="44">
        <v>3515</v>
      </c>
      <c r="F28" s="44">
        <v>3031</v>
      </c>
      <c r="G28" s="44">
        <v>2957</v>
      </c>
      <c r="H28" s="44">
        <v>2912</v>
      </c>
      <c r="I28" s="44">
        <v>2818</v>
      </c>
      <c r="J28" s="54"/>
      <c r="K28" s="44"/>
      <c r="L28" s="118"/>
      <c r="M28" s="54"/>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row>
    <row r="29" spans="1:41" ht="14.25">
      <c r="A29" s="254" t="str">
        <f>HLOOKUP(INDICE!$F$2,Nombres!$C$3:$D$636,279,FALSE)</f>
        <v>Rest of geographies</v>
      </c>
      <c r="B29" s="41">
        <v>1146</v>
      </c>
      <c r="C29" s="41">
        <v>1139</v>
      </c>
      <c r="D29" s="41">
        <v>1134</v>
      </c>
      <c r="E29" s="41">
        <v>1129</v>
      </c>
      <c r="F29" s="41">
        <v>998</v>
      </c>
      <c r="G29" s="41">
        <v>1270</v>
      </c>
      <c r="H29" s="41">
        <v>1289</v>
      </c>
      <c r="I29" s="41">
        <v>1305</v>
      </c>
      <c r="J29" s="118"/>
      <c r="K29" s="44"/>
      <c r="L29" s="31"/>
      <c r="M29" s="54"/>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row>
    <row r="30" spans="1:41" ht="14.25">
      <c r="A30" s="254" t="s">
        <v>6</v>
      </c>
      <c r="B30" s="41">
        <f aca="true" t="shared" si="2" ref="B30:I30">+SUM(B19:B22,B24:B29)</f>
        <v>126041</v>
      </c>
      <c r="C30" s="41">
        <f t="shared" si="2"/>
        <v>125041</v>
      </c>
      <c r="D30" s="41">
        <f t="shared" si="2"/>
        <v>124110</v>
      </c>
      <c r="E30" s="41">
        <f t="shared" si="2"/>
        <v>123174</v>
      </c>
      <c r="F30" s="41">
        <f t="shared" si="2"/>
        <v>122021</v>
      </c>
      <c r="G30" s="41">
        <f t="shared" si="2"/>
        <v>111322</v>
      </c>
      <c r="H30" s="41">
        <f t="shared" si="2"/>
        <v>113117</v>
      </c>
      <c r="I30" s="41">
        <f t="shared" si="2"/>
        <v>110432</v>
      </c>
      <c r="J30" s="54"/>
      <c r="K30" s="31"/>
      <c r="L30" s="31"/>
      <c r="M30" s="54"/>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row>
    <row r="31" spans="1:41" ht="14.25">
      <c r="A31" s="160"/>
      <c r="B31" s="161">
        <v>0</v>
      </c>
      <c r="C31" s="161">
        <v>0</v>
      </c>
      <c r="D31" s="161">
        <v>0</v>
      </c>
      <c r="E31" s="161">
        <v>0</v>
      </c>
      <c r="F31" s="161">
        <v>0</v>
      </c>
      <c r="G31" s="161">
        <v>0</v>
      </c>
      <c r="H31" s="161">
        <v>0</v>
      </c>
      <c r="I31" s="161">
        <v>0</v>
      </c>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row>
    <row r="32" spans="1:41" ht="14.25">
      <c r="A32" s="160"/>
      <c r="B32" s="161"/>
      <c r="C32" s="161"/>
      <c r="D32" s="161"/>
      <c r="E32" s="161"/>
      <c r="F32" s="161"/>
      <c r="G32" s="161"/>
      <c r="H32" s="161"/>
      <c r="I32" s="16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row>
    <row r="33" spans="1:41" ht="16.5">
      <c r="A33" s="253" t="str">
        <f>HLOOKUP(INDICE!$F$2,Nombres!$C$3:$D$636,125,FALSE)</f>
        <v>ATM´s</v>
      </c>
      <c r="B33" s="156"/>
      <c r="C33" s="156"/>
      <c r="D33" s="157"/>
      <c r="E33" s="157"/>
      <c r="F33" s="157"/>
      <c r="G33" s="157"/>
      <c r="H33" s="157"/>
      <c r="I33" s="157"/>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row>
    <row r="34" spans="1:41" ht="30" customHeight="1">
      <c r="A34" s="145"/>
      <c r="B34" s="101">
        <f aca="true" t="shared" si="3" ref="B34:I34">+B$2</f>
        <v>43921</v>
      </c>
      <c r="C34" s="101">
        <f t="shared" si="3"/>
        <v>44012</v>
      </c>
      <c r="D34" s="101">
        <f t="shared" si="3"/>
        <v>44104</v>
      </c>
      <c r="E34" s="101">
        <f t="shared" si="3"/>
        <v>44196</v>
      </c>
      <c r="F34" s="101">
        <f t="shared" si="3"/>
        <v>44286</v>
      </c>
      <c r="G34" s="101">
        <f t="shared" si="3"/>
        <v>44377</v>
      </c>
      <c r="H34" s="101">
        <f t="shared" si="3"/>
        <v>44469</v>
      </c>
      <c r="I34" s="101">
        <f t="shared" si="3"/>
        <v>44561</v>
      </c>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row>
    <row r="35" spans="1:41" ht="14.25">
      <c r="A35" s="254" t="str">
        <f>HLOOKUP(INDICE!$F$2,Nombres!$C$3:$D$636,7,FALSE)</f>
        <v>Spain</v>
      </c>
      <c r="B35" s="41">
        <v>5840</v>
      </c>
      <c r="C35" s="41">
        <v>5829</v>
      </c>
      <c r="D35" s="41">
        <v>5746</v>
      </c>
      <c r="E35" s="41">
        <v>5708</v>
      </c>
      <c r="F35" s="41">
        <v>5557</v>
      </c>
      <c r="G35" s="41">
        <v>5562</v>
      </c>
      <c r="H35" s="41">
        <v>5044</v>
      </c>
      <c r="I35" s="41">
        <v>4871</v>
      </c>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row>
    <row r="36" spans="1:41" ht="14.25">
      <c r="A36" s="254" t="str">
        <f>HLOOKUP(INDICE!$F$2,Nombres!$C$3:$D$636,10,FALSE)</f>
        <v>USA</v>
      </c>
      <c r="B36" s="41">
        <v>1384</v>
      </c>
      <c r="C36" s="41">
        <v>1375</v>
      </c>
      <c r="D36" s="41">
        <v>1369</v>
      </c>
      <c r="E36" s="41">
        <v>1383</v>
      </c>
      <c r="F36" s="41">
        <v>1371</v>
      </c>
      <c r="G36" s="41">
        <v>0</v>
      </c>
      <c r="H36" s="41">
        <v>0</v>
      </c>
      <c r="I36" s="41" t="s">
        <v>537</v>
      </c>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row>
    <row r="37" spans="1:41" ht="14.25">
      <c r="A37" s="254" t="str">
        <f>HLOOKUP(INDICE!$F$2,Nombres!$C$3:$D$636,11,FALSE)</f>
        <v>Mexico</v>
      </c>
      <c r="B37" s="41">
        <v>13066</v>
      </c>
      <c r="C37" s="41">
        <v>13115</v>
      </c>
      <c r="D37" s="41">
        <v>12923</v>
      </c>
      <c r="E37" s="41">
        <v>12950</v>
      </c>
      <c r="F37" s="41">
        <v>12957</v>
      </c>
      <c r="G37" s="41">
        <v>13014</v>
      </c>
      <c r="H37" s="41">
        <v>13139</v>
      </c>
      <c r="I37" s="41">
        <v>13400</v>
      </c>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row>
    <row r="38" spans="1:41" ht="14.25">
      <c r="A38" s="254" t="str">
        <f>HLOOKUP(INDICE!$F$2,Nombres!$C$3:$D$636,12,FALSE)</f>
        <v>Turkey </v>
      </c>
      <c r="B38" s="41">
        <v>5431</v>
      </c>
      <c r="C38" s="41">
        <v>5443</v>
      </c>
      <c r="D38" s="41">
        <v>5440</v>
      </c>
      <c r="E38" s="41">
        <v>5533</v>
      </c>
      <c r="F38" s="41">
        <v>5532</v>
      </c>
      <c r="G38" s="41">
        <v>5505</v>
      </c>
      <c r="H38" s="41">
        <v>5535</v>
      </c>
      <c r="I38" s="41">
        <v>5611</v>
      </c>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row>
    <row r="39" spans="1:41" ht="14.25">
      <c r="A39" s="254" t="str">
        <f>HLOOKUP(INDICE!$F$2,Nombres!$C$3:$D$636,13,FALSE)</f>
        <v>South America</v>
      </c>
      <c r="B39" s="41">
        <v>6531</v>
      </c>
      <c r="C39" s="41">
        <v>6525</v>
      </c>
      <c r="D39" s="41">
        <v>5536</v>
      </c>
      <c r="E39" s="41">
        <v>5403</v>
      </c>
      <c r="F39" s="41">
        <v>5307</v>
      </c>
      <c r="G39" s="41">
        <v>5144</v>
      </c>
      <c r="H39" s="41">
        <v>5179</v>
      </c>
      <c r="I39" s="41">
        <v>5243</v>
      </c>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row>
    <row r="40" spans="1:41" ht="14.25">
      <c r="A40" s="159" t="str">
        <f>HLOOKUP(INDICE!$F$2,Nombres!$C$3:$D$636,14,FALSE)</f>
        <v>Argentina</v>
      </c>
      <c r="B40" s="44">
        <v>1712</v>
      </c>
      <c r="C40" s="44">
        <v>1712</v>
      </c>
      <c r="D40" s="44">
        <v>1709</v>
      </c>
      <c r="E40" s="44">
        <v>1715</v>
      </c>
      <c r="F40" s="44">
        <v>1714</v>
      </c>
      <c r="G40" s="44">
        <v>1703</v>
      </c>
      <c r="H40" s="44">
        <v>1704</v>
      </c>
      <c r="I40" s="44">
        <v>1707</v>
      </c>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row>
    <row r="41" spans="1:41" ht="14.25">
      <c r="A41" s="159" t="str">
        <f>HLOOKUP(INDICE!$F$2,Nombres!$C$3:$D$636,15,FALSE)</f>
        <v>Chile</v>
      </c>
      <c r="B41" s="44">
        <v>0</v>
      </c>
      <c r="C41" s="44">
        <v>0</v>
      </c>
      <c r="D41" s="44">
        <v>0</v>
      </c>
      <c r="E41" s="44">
        <v>0</v>
      </c>
      <c r="F41" s="44">
        <v>0</v>
      </c>
      <c r="G41" s="44">
        <v>0</v>
      </c>
      <c r="H41" s="44">
        <v>0</v>
      </c>
      <c r="I41" s="44" t="s">
        <v>537</v>
      </c>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row>
    <row r="42" spans="1:41" ht="14.25">
      <c r="A42" s="256" t="str">
        <f>HLOOKUP(INDICE!$F$2,Nombres!$C$3:$D$636,16,FALSE)</f>
        <v>Colombia</v>
      </c>
      <c r="B42" s="44">
        <v>1360</v>
      </c>
      <c r="C42" s="44">
        <v>1360</v>
      </c>
      <c r="D42" s="44">
        <v>1359</v>
      </c>
      <c r="E42" s="44">
        <v>1362</v>
      </c>
      <c r="F42" s="44">
        <v>1326</v>
      </c>
      <c r="G42" s="44">
        <v>1329</v>
      </c>
      <c r="H42" s="44">
        <v>1368</v>
      </c>
      <c r="I42" s="44">
        <v>1415</v>
      </c>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row>
    <row r="43" spans="1:41" ht="14.25">
      <c r="A43" s="256" t="str">
        <f>HLOOKUP(INDICE!$F$2,Nombres!$C$3:$D$636,17,FALSE)</f>
        <v>Peru</v>
      </c>
      <c r="B43" s="44">
        <v>1964</v>
      </c>
      <c r="C43" s="44">
        <v>1958</v>
      </c>
      <c r="D43" s="44">
        <v>1954</v>
      </c>
      <c r="E43" s="44">
        <v>1933</v>
      </c>
      <c r="F43" s="44">
        <v>1927</v>
      </c>
      <c r="G43" s="44">
        <v>1893</v>
      </c>
      <c r="H43" s="44">
        <v>1889</v>
      </c>
      <c r="I43" s="44">
        <v>1903</v>
      </c>
      <c r="J43" s="31"/>
      <c r="K43" s="31"/>
      <c r="L43" s="162"/>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row>
    <row r="44" spans="1:41" ht="14.25">
      <c r="A44" s="256" t="str">
        <f>HLOOKUP(INDICE!$F$2,Nombres!$C$3:$D$636,89,FALSE)</f>
        <v>Resto of South América</v>
      </c>
      <c r="B44" s="44">
        <v>1495</v>
      </c>
      <c r="C44" s="44">
        <v>1495</v>
      </c>
      <c r="D44" s="44">
        <v>514</v>
      </c>
      <c r="E44" s="44">
        <v>393</v>
      </c>
      <c r="F44" s="44">
        <v>340</v>
      </c>
      <c r="G44" s="44">
        <v>219</v>
      </c>
      <c r="H44" s="44">
        <v>218</v>
      </c>
      <c r="I44" s="44">
        <v>218</v>
      </c>
      <c r="J44" s="31"/>
      <c r="K44" s="31"/>
      <c r="L44" s="162"/>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row>
    <row r="45" spans="1:41" ht="14.25">
      <c r="A45" s="254" t="str">
        <f>HLOOKUP(INDICE!$F$2,Nombres!$C$3:$D$636,279,FALSE)</f>
        <v>Rest of geographies</v>
      </c>
      <c r="B45" s="41">
        <v>23</v>
      </c>
      <c r="C45" s="41">
        <v>23</v>
      </c>
      <c r="D45" s="41">
        <v>23</v>
      </c>
      <c r="E45" s="41">
        <v>23</v>
      </c>
      <c r="F45" s="41">
        <v>23</v>
      </c>
      <c r="G45" s="41">
        <v>23</v>
      </c>
      <c r="H45" s="41">
        <v>23</v>
      </c>
      <c r="I45" s="41">
        <v>23</v>
      </c>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row>
    <row r="46" spans="1:41" ht="14.25">
      <c r="A46" s="254" t="s">
        <v>6</v>
      </c>
      <c r="B46" s="41">
        <f aca="true" t="shared" si="4" ref="B46:I46">+SUM(B35:B38,B40:B45)</f>
        <v>32275</v>
      </c>
      <c r="C46" s="41">
        <f t="shared" si="4"/>
        <v>32310</v>
      </c>
      <c r="D46" s="41">
        <f t="shared" si="4"/>
        <v>31037</v>
      </c>
      <c r="E46" s="41">
        <f t="shared" si="4"/>
        <v>31000</v>
      </c>
      <c r="F46" s="41">
        <f t="shared" si="4"/>
        <v>30747</v>
      </c>
      <c r="G46" s="41">
        <f t="shared" si="4"/>
        <v>29248</v>
      </c>
      <c r="H46" s="41">
        <f t="shared" si="4"/>
        <v>28920</v>
      </c>
      <c r="I46" s="41">
        <f t="shared" si="4"/>
        <v>29148</v>
      </c>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row>
    <row r="47" spans="1:41" ht="14.25">
      <c r="A47" s="99"/>
      <c r="B47" s="161">
        <v>0</v>
      </c>
      <c r="C47" s="161">
        <v>0</v>
      </c>
      <c r="D47" s="161">
        <v>0</v>
      </c>
      <c r="E47" s="161">
        <v>0</v>
      </c>
      <c r="F47" s="161">
        <v>0</v>
      </c>
      <c r="G47" s="161">
        <v>0</v>
      </c>
      <c r="H47" s="161">
        <v>0</v>
      </c>
      <c r="I47" s="161">
        <v>0</v>
      </c>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row>
    <row r="48" spans="1:41" ht="14.25">
      <c r="A48" s="257"/>
      <c r="B48" s="99"/>
      <c r="C48" s="99"/>
      <c r="D48" s="99"/>
      <c r="E48" s="99"/>
      <c r="F48" s="99"/>
      <c r="G48" s="99"/>
      <c r="H48" s="99"/>
      <c r="I48" s="99"/>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row>
    <row r="49" spans="1:41" ht="14.25">
      <c r="A49" s="257"/>
      <c r="B49" s="99"/>
      <c r="C49" s="99"/>
      <c r="D49" s="99"/>
      <c r="E49" s="99"/>
      <c r="F49" s="99"/>
      <c r="G49" s="99"/>
      <c r="H49" s="99"/>
      <c r="I49" s="99"/>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row>
    <row r="50" spans="1:41" ht="14.25">
      <c r="A50" s="99"/>
      <c r="B50" s="99"/>
      <c r="C50" s="99"/>
      <c r="D50" s="99"/>
      <c r="E50" s="99"/>
      <c r="F50" s="99"/>
      <c r="G50" s="99"/>
      <c r="H50" s="99"/>
      <c r="I50" s="99"/>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row>
    <row r="51" spans="1:41" ht="14.25">
      <c r="A51" s="99"/>
      <c r="B51" s="99"/>
      <c r="C51" s="99"/>
      <c r="D51" s="99"/>
      <c r="E51" s="99"/>
      <c r="F51" s="99"/>
      <c r="G51" s="99"/>
      <c r="H51" s="99"/>
      <c r="I51" s="99"/>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row>
    <row r="52" spans="1:41" ht="14.25">
      <c r="A52" s="99"/>
      <c r="B52" s="99"/>
      <c r="C52" s="99"/>
      <c r="D52" s="99"/>
      <c r="E52" s="99"/>
      <c r="F52" s="99"/>
      <c r="G52" s="99"/>
      <c r="H52" s="99"/>
      <c r="I52" s="99"/>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row>
    <row r="53" spans="1:41" ht="14.25">
      <c r="A53" s="99"/>
      <c r="B53" s="99"/>
      <c r="C53" s="99"/>
      <c r="D53" s="99"/>
      <c r="E53" s="99"/>
      <c r="F53" s="99"/>
      <c r="G53" s="99"/>
      <c r="H53" s="99"/>
      <c r="I53" s="99"/>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row>
    <row r="54" spans="1:41" ht="14.25">
      <c r="A54" s="99"/>
      <c r="B54" s="99"/>
      <c r="C54" s="99"/>
      <c r="D54" s="99"/>
      <c r="E54" s="99"/>
      <c r="F54" s="99"/>
      <c r="G54" s="99"/>
      <c r="H54" s="99"/>
      <c r="I54" s="99"/>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row>
    <row r="55" spans="1:41" ht="14.25">
      <c r="A55" s="99"/>
      <c r="B55" s="99"/>
      <c r="C55" s="99"/>
      <c r="D55" s="99"/>
      <c r="E55" s="99"/>
      <c r="F55" s="99"/>
      <c r="G55" s="99"/>
      <c r="H55" s="99"/>
      <c r="I55" s="99"/>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row>
    <row r="56" spans="1:41" ht="14.25">
      <c r="A56" s="99"/>
      <c r="B56" s="99"/>
      <c r="C56" s="99"/>
      <c r="D56" s="99"/>
      <c r="E56" s="99"/>
      <c r="F56" s="99"/>
      <c r="G56" s="99"/>
      <c r="H56" s="99"/>
      <c r="I56" s="99"/>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row>
    <row r="57" spans="1:41" ht="14.25">
      <c r="A57" s="99"/>
      <c r="B57" s="99"/>
      <c r="C57" s="99"/>
      <c r="D57" s="99"/>
      <c r="E57" s="99"/>
      <c r="F57" s="99"/>
      <c r="G57" s="99"/>
      <c r="H57" s="99"/>
      <c r="I57" s="99"/>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row>
    <row r="58" spans="1:41" ht="14.25">
      <c r="A58" s="99"/>
      <c r="B58" s="99"/>
      <c r="C58" s="99"/>
      <c r="D58" s="99"/>
      <c r="E58" s="99"/>
      <c r="F58" s="99"/>
      <c r="G58" s="99"/>
      <c r="H58" s="99"/>
      <c r="I58" s="99"/>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row>
    <row r="59" spans="1:41" ht="14.25">
      <c r="A59" s="99"/>
      <c r="B59" s="99"/>
      <c r="C59" s="99"/>
      <c r="D59" s="99"/>
      <c r="E59" s="99"/>
      <c r="F59" s="99"/>
      <c r="G59" s="99"/>
      <c r="H59" s="99"/>
      <c r="I59" s="99"/>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row>
    <row r="60" spans="1:41" ht="14.25">
      <c r="A60" s="99"/>
      <c r="B60" s="99"/>
      <c r="C60" s="99"/>
      <c r="D60" s="99"/>
      <c r="E60" s="99"/>
      <c r="F60" s="99"/>
      <c r="G60" s="99"/>
      <c r="H60" s="99"/>
      <c r="I60" s="99"/>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row>
    <row r="61" spans="1:41" ht="14.2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row>
    <row r="62" spans="1:41" ht="14.2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row>
    <row r="63" spans="1:41" ht="14.2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row>
    <row r="64" spans="1:41" ht="14.2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row>
    <row r="65" spans="1:41" ht="14.2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row>
    <row r="66" spans="1:41" ht="14.2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row>
    <row r="67" spans="1:41" ht="14.2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row>
    <row r="68" spans="1:41" ht="14.2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row>
    <row r="69" spans="1:41" ht="14.2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row>
    <row r="70" s="31" customFormat="1" ht="14.25"/>
    <row r="71" s="31" customFormat="1" ht="14.25"/>
    <row r="72" s="31" customFormat="1" ht="14.25"/>
    <row r="73" s="31" customFormat="1" ht="14.25"/>
    <row r="74" s="31" customFormat="1" ht="14.25"/>
    <row r="75" s="31" customFormat="1" ht="14.25"/>
    <row r="76" s="31" customFormat="1" ht="14.25"/>
    <row r="77" s="31" customFormat="1" ht="14.25"/>
    <row r="78" s="31" customFormat="1" ht="14.25"/>
    <row r="79" s="31" customFormat="1" ht="14.25"/>
    <row r="80" s="31" customFormat="1" ht="14.25"/>
    <row r="81" s="31" customFormat="1" ht="14.25"/>
    <row r="82" s="31" customFormat="1" ht="14.25"/>
    <row r="83" s="31" customFormat="1" ht="14.25"/>
    <row r="84" s="31" customFormat="1" ht="14.25"/>
    <row r="85" s="31" customFormat="1" ht="14.25"/>
    <row r="86" s="31" customFormat="1" ht="14.25"/>
    <row r="87" s="31" customFormat="1" ht="14.25"/>
    <row r="88" s="31" customFormat="1" ht="14.25"/>
    <row r="89" s="31" customFormat="1" ht="14.25"/>
    <row r="90" s="31" customFormat="1" ht="14.25"/>
    <row r="91" s="31" customFormat="1" ht="14.25"/>
    <row r="92" s="31" customFormat="1" ht="14.25"/>
    <row r="93" s="31" customFormat="1" ht="14.25"/>
    <row r="94" s="31" customFormat="1" ht="14.25"/>
    <row r="95" s="31" customFormat="1" ht="14.25"/>
    <row r="96" s="31" customFormat="1" ht="14.25"/>
    <row r="97" s="31" customFormat="1" ht="14.25"/>
    <row r="98" s="31" customFormat="1" ht="14.25"/>
    <row r="99" s="31" customFormat="1" ht="14.25"/>
    <row r="100" s="31" customFormat="1" ht="14.25"/>
    <row r="101" s="31" customFormat="1" ht="14.25"/>
    <row r="102" s="31" customFormat="1" ht="14.25"/>
    <row r="103" s="31" customFormat="1" ht="14.25"/>
    <row r="104" s="31" customFormat="1" ht="14.25"/>
    <row r="105" s="31" customFormat="1" ht="14.25"/>
    <row r="106" s="31" customFormat="1" ht="14.25"/>
    <row r="107" s="31" customFormat="1" ht="14.25"/>
    <row r="108" s="31" customFormat="1" ht="14.25"/>
    <row r="109" s="31" customFormat="1" ht="14.25"/>
    <row r="110" s="31" customFormat="1" ht="14.25"/>
    <row r="111" s="31" customFormat="1" ht="14.25"/>
    <row r="112" s="31" customFormat="1" ht="14.25"/>
    <row r="113" s="31" customFormat="1" ht="14.25"/>
    <row r="114" s="31" customFormat="1" ht="14.25"/>
    <row r="115" s="31" customFormat="1" ht="14.25"/>
    <row r="116" s="31" customFormat="1" ht="14.25"/>
    <row r="117" s="31" customFormat="1" ht="14.25"/>
    <row r="118" s="31" customFormat="1" ht="14.25"/>
    <row r="119" s="31" customFormat="1" ht="14.25"/>
    <row r="120" s="31" customFormat="1" ht="14.25"/>
    <row r="121" s="31" customFormat="1" ht="14.25"/>
    <row r="122" s="31" customFormat="1" ht="14.25"/>
    <row r="123" s="31" customFormat="1" ht="14.25"/>
    <row r="124" s="31" customFormat="1" ht="14.25"/>
    <row r="125" s="31" customFormat="1" ht="14.25"/>
    <row r="126" s="31" customFormat="1" ht="14.25"/>
    <row r="127" s="31" customFormat="1" ht="14.25"/>
    <row r="128" s="31" customFormat="1" ht="14.25"/>
    <row r="129" s="31" customFormat="1" ht="14.25"/>
    <row r="130" s="31" customFormat="1" ht="14.25"/>
    <row r="131" s="31" customFormat="1" ht="14.25"/>
    <row r="132" s="31" customFormat="1" ht="14.25"/>
    <row r="133" s="31" customFormat="1" ht="14.25"/>
    <row r="134" s="31" customFormat="1" ht="14.25"/>
    <row r="135" s="31" customFormat="1" ht="14.25"/>
    <row r="136" s="31" customFormat="1" ht="14.25"/>
    <row r="137" s="31" customFormat="1" ht="14.25"/>
    <row r="138" s="31" customFormat="1" ht="14.25"/>
    <row r="139" s="31" customFormat="1" ht="14.25"/>
    <row r="140" s="31" customFormat="1" ht="14.25"/>
    <row r="141" s="31" customFormat="1" ht="14.25"/>
    <row r="142" s="31" customFormat="1" ht="14.25"/>
    <row r="143" s="31" customFormat="1" ht="14.25"/>
    <row r="144" s="31" customFormat="1" ht="14.25"/>
    <row r="145" s="31" customFormat="1" ht="14.25"/>
    <row r="146" s="31" customFormat="1" ht="14.25"/>
    <row r="147" s="31" customFormat="1" ht="14.25"/>
    <row r="148" s="31" customFormat="1" ht="14.25"/>
    <row r="149" s="31" customFormat="1" ht="14.25"/>
    <row r="150" s="31" customFormat="1" ht="14.25"/>
    <row r="151" s="31" customFormat="1" ht="14.25"/>
    <row r="152" s="31" customFormat="1" ht="14.25"/>
    <row r="153" s="31" customFormat="1" ht="14.25"/>
    <row r="154" s="31" customFormat="1" ht="14.25"/>
    <row r="155" s="31" customFormat="1" ht="14.25"/>
    <row r="156" s="31" customFormat="1" ht="14.25"/>
    <row r="157" s="31" customFormat="1" ht="14.25"/>
    <row r="158" s="31" customFormat="1" ht="14.25"/>
    <row r="159" s="31" customFormat="1" ht="14.25"/>
    <row r="160" s="31" customFormat="1" ht="14.25"/>
    <row r="161" s="31" customFormat="1" ht="14.25"/>
    <row r="162" s="31" customFormat="1" ht="14.25"/>
    <row r="163" s="31" customFormat="1" ht="14.25"/>
    <row r="164" s="31" customFormat="1" ht="14.25"/>
    <row r="165" s="31" customFormat="1" ht="14.25"/>
    <row r="166" s="31" customFormat="1" ht="14.25"/>
    <row r="167" s="31" customFormat="1" ht="14.25"/>
    <row r="168" s="31" customFormat="1" ht="14.25"/>
    <row r="169" s="31" customFormat="1" ht="14.25"/>
    <row r="170" s="31" customFormat="1" ht="14.25"/>
    <row r="171" s="31" customFormat="1" ht="14.25"/>
    <row r="172" s="31" customFormat="1" ht="14.25"/>
    <row r="173" s="31" customFormat="1" ht="14.25"/>
    <row r="174" s="31" customFormat="1" ht="14.25"/>
    <row r="175" s="31" customFormat="1" ht="14.25"/>
    <row r="176" s="31" customFormat="1" ht="14.25"/>
    <row r="177" s="31" customFormat="1" ht="14.25"/>
    <row r="178" s="31" customFormat="1" ht="14.25"/>
    <row r="179" s="31" customFormat="1" ht="14.25"/>
    <row r="180" s="31" customFormat="1" ht="14.25"/>
    <row r="181" s="31" customFormat="1" ht="14.25"/>
    <row r="182" s="31" customFormat="1" ht="14.25"/>
    <row r="183" s="31" customFormat="1" ht="14.25"/>
    <row r="184" s="31" customFormat="1" ht="14.25"/>
    <row r="185" s="31" customFormat="1" ht="14.25"/>
    <row r="186" s="31" customFormat="1" ht="14.25"/>
    <row r="187" s="31" customFormat="1" ht="14.25"/>
    <row r="188" s="31" customFormat="1" ht="14.25"/>
    <row r="189" s="31" customFormat="1" ht="14.25"/>
    <row r="190" s="31" customFormat="1" ht="14.25"/>
    <row r="191" s="31" customFormat="1" ht="14.25"/>
    <row r="192" s="31" customFormat="1" ht="14.25"/>
    <row r="193" s="31" customFormat="1" ht="14.25"/>
    <row r="194" s="31" customFormat="1" ht="14.25"/>
    <row r="195" s="31" customFormat="1" ht="14.25"/>
    <row r="196" s="31" customFormat="1" ht="14.25"/>
    <row r="197" s="31" customFormat="1" ht="14.25"/>
    <row r="198" s="31" customFormat="1" ht="14.25"/>
    <row r="199" s="31" customFormat="1" ht="14.25"/>
    <row r="200" s="31" customFormat="1" ht="14.25"/>
    <row r="201" s="31" customFormat="1" ht="14.25"/>
    <row r="202" s="31" customFormat="1" ht="14.25"/>
    <row r="203" s="31" customFormat="1" ht="14.25"/>
    <row r="204" s="31" customFormat="1" ht="14.25"/>
    <row r="205" s="31" customFormat="1" ht="14.25"/>
    <row r="206" s="31" customFormat="1" ht="14.25"/>
    <row r="207" s="31" customFormat="1" ht="14.25"/>
    <row r="208" s="31" customFormat="1" ht="14.25"/>
    <row r="209" s="31" customFormat="1" ht="14.25"/>
    <row r="210" s="31" customFormat="1" ht="14.25"/>
    <row r="211" s="31" customFormat="1" ht="14.25"/>
    <row r="212" s="31" customFormat="1" ht="14.25"/>
    <row r="213" s="31" customFormat="1" ht="14.25"/>
    <row r="214" s="31" customFormat="1" ht="14.25"/>
    <row r="215" s="31" customFormat="1" ht="14.25"/>
    <row r="216" s="31" customFormat="1" ht="14.25"/>
    <row r="217" s="31" customFormat="1" ht="14.25"/>
    <row r="218" s="31" customFormat="1" ht="14.25"/>
    <row r="219" s="31" customFormat="1" ht="14.25"/>
    <row r="220" s="31" customFormat="1" ht="14.25"/>
    <row r="221" s="31" customFormat="1" ht="14.25"/>
    <row r="222" s="31" customFormat="1" ht="14.25"/>
    <row r="223" s="31" customFormat="1" ht="14.25"/>
    <row r="224" s="31" customFormat="1" ht="14.25"/>
    <row r="225" s="31" customFormat="1" ht="14.25"/>
    <row r="226" s="31" customFormat="1" ht="14.25"/>
    <row r="227" s="31" customFormat="1" ht="14.25"/>
    <row r="228" s="31" customFormat="1" ht="14.25"/>
    <row r="229" s="31" customFormat="1" ht="14.25"/>
    <row r="230" s="31" customFormat="1" ht="14.25"/>
    <row r="231" s="31" customFormat="1" ht="14.25"/>
    <row r="232" s="31" customFormat="1" ht="14.25"/>
    <row r="233" s="31" customFormat="1" ht="14.25"/>
    <row r="234" s="31" customFormat="1" ht="14.25"/>
    <row r="235" s="31" customFormat="1" ht="14.25"/>
    <row r="236" s="31" customFormat="1" ht="14.25"/>
    <row r="237" s="31" customFormat="1" ht="14.25"/>
    <row r="238" s="31" customFormat="1" ht="14.25"/>
    <row r="239" s="31" customFormat="1" ht="14.25"/>
    <row r="240" s="31" customFormat="1" ht="14.25"/>
    <row r="241" s="31" customFormat="1" ht="14.25"/>
    <row r="242" s="31" customFormat="1" ht="14.25"/>
    <row r="243" s="31" customFormat="1" ht="14.25"/>
    <row r="244" s="31" customFormat="1" ht="14.25"/>
    <row r="245" s="31" customFormat="1" ht="14.25"/>
    <row r="246" s="31" customFormat="1" ht="14.25"/>
    <row r="247" s="31" customFormat="1" ht="14.25"/>
    <row r="248" s="31" customFormat="1" ht="14.25"/>
    <row r="249" s="31" customFormat="1" ht="14.25"/>
    <row r="250" s="31" customFormat="1" ht="14.25"/>
    <row r="251" s="31" customFormat="1" ht="14.25"/>
    <row r="252" s="31" customFormat="1" ht="14.25"/>
    <row r="253" s="31" customFormat="1" ht="14.25"/>
    <row r="254" s="31" customFormat="1" ht="14.25"/>
    <row r="255" s="31" customFormat="1" ht="14.25"/>
    <row r="256" s="31" customFormat="1" ht="14.25"/>
    <row r="257" s="31" customFormat="1" ht="14.25"/>
    <row r="258" s="31" customFormat="1" ht="14.25"/>
    <row r="259" s="31" customFormat="1" ht="14.25"/>
    <row r="260" s="31" customFormat="1" ht="14.25"/>
    <row r="261" s="31" customFormat="1" ht="14.25"/>
    <row r="262" s="31" customFormat="1" ht="14.25"/>
    <row r="263" s="31" customFormat="1" ht="14.25"/>
    <row r="264" s="31" customFormat="1" ht="14.25"/>
    <row r="265" s="31" customFormat="1" ht="14.25"/>
    <row r="266" s="31" customFormat="1" ht="14.25"/>
    <row r="267" s="31" customFormat="1" ht="14.25"/>
    <row r="268" s="31" customFormat="1" ht="14.25"/>
    <row r="269" s="31" customFormat="1" ht="14.25"/>
    <row r="270" s="31" customFormat="1" ht="14.25"/>
    <row r="271" s="31" customFormat="1" ht="14.25"/>
    <row r="272" s="31" customFormat="1" ht="14.25"/>
    <row r="273" s="31" customFormat="1" ht="14.25"/>
    <row r="274" s="31" customFormat="1" ht="14.25"/>
    <row r="275" s="31" customFormat="1" ht="14.25"/>
    <row r="276" s="31" customFormat="1" ht="14.25"/>
    <row r="277" s="31" customFormat="1" ht="14.25"/>
    <row r="278" s="31" customFormat="1" ht="14.25"/>
    <row r="279" s="31" customFormat="1" ht="14.25"/>
    <row r="280" s="31" customFormat="1" ht="14.25"/>
    <row r="281" s="31" customFormat="1" ht="14.25"/>
    <row r="282" s="31" customFormat="1" ht="14.25"/>
    <row r="283" s="31" customFormat="1" ht="14.25"/>
    <row r="284" s="31" customFormat="1" ht="14.25"/>
    <row r="285" s="31" customFormat="1" ht="14.25"/>
    <row r="286" s="31" customFormat="1" ht="14.25"/>
    <row r="287" s="31" customFormat="1" ht="14.25"/>
    <row r="288" s="31" customFormat="1" ht="14.25"/>
    <row r="289" s="31" customFormat="1" ht="14.25"/>
    <row r="290" s="31" customFormat="1" ht="14.25"/>
    <row r="291" s="31" customFormat="1" ht="14.25"/>
    <row r="292" s="31" customFormat="1" ht="14.25"/>
    <row r="293" s="31" customFormat="1" ht="14.25"/>
    <row r="294" s="31" customFormat="1" ht="14.25"/>
    <row r="295" s="31" customFormat="1" ht="14.25"/>
    <row r="296" s="31" customFormat="1" ht="14.25"/>
    <row r="297" s="31" customFormat="1" ht="14.25"/>
    <row r="298" s="31" customFormat="1" ht="14.25"/>
    <row r="299" s="31" customFormat="1" ht="14.25"/>
    <row r="300" s="31" customFormat="1" ht="14.25"/>
    <row r="301" s="31" customFormat="1" ht="14.25"/>
    <row r="302" s="31" customFormat="1" ht="14.25"/>
    <row r="303" s="31" customFormat="1" ht="14.25"/>
    <row r="304" s="31" customFormat="1" ht="14.25"/>
    <row r="305" s="31" customFormat="1" ht="14.25"/>
    <row r="306" s="31" customFormat="1" ht="14.25"/>
    <row r="307" s="31" customFormat="1" ht="14.25"/>
    <row r="308" s="31" customFormat="1" ht="14.25"/>
    <row r="309" s="31" customFormat="1" ht="14.25"/>
    <row r="310" s="31" customFormat="1" ht="14.25"/>
    <row r="311" s="31" customFormat="1" ht="14.25"/>
    <row r="312" s="31" customFormat="1" ht="14.25"/>
    <row r="313" s="31" customFormat="1" ht="14.25"/>
    <row r="314" s="31" customFormat="1" ht="14.25"/>
    <row r="315" s="31" customFormat="1" ht="14.25"/>
    <row r="316" s="31" customFormat="1" ht="14.25"/>
    <row r="317" s="31" customFormat="1" ht="14.25"/>
    <row r="318" s="31" customFormat="1" ht="14.25"/>
    <row r="319" s="31" customFormat="1" ht="14.25"/>
    <row r="320" s="31" customFormat="1" ht="14.25"/>
    <row r="321" s="31" customFormat="1" ht="14.25"/>
    <row r="322" s="31" customFormat="1" ht="14.25"/>
    <row r="323" s="31" customFormat="1" ht="14.25"/>
    <row r="324" s="31" customFormat="1" ht="14.25"/>
    <row r="325" s="31" customFormat="1" ht="14.25"/>
    <row r="326" s="31" customFormat="1" ht="14.25"/>
    <row r="327" s="31" customFormat="1" ht="14.25"/>
    <row r="328" s="31" customFormat="1" ht="14.25"/>
    <row r="329" s="31" customFormat="1" ht="14.25"/>
    <row r="330" s="31" customFormat="1" ht="14.25"/>
    <row r="331" s="31" customFormat="1" ht="14.25"/>
    <row r="332" s="31" customFormat="1" ht="14.25"/>
    <row r="333" s="31" customFormat="1" ht="14.25"/>
    <row r="334" s="31" customFormat="1" ht="14.25"/>
    <row r="335" s="31" customFormat="1" ht="14.25"/>
    <row r="336" s="31" customFormat="1" ht="14.25"/>
    <row r="337" s="31" customFormat="1" ht="14.25"/>
    <row r="338" s="31" customFormat="1" ht="14.25"/>
    <row r="339" s="31" customFormat="1" ht="14.25"/>
    <row r="340" s="31" customFormat="1" ht="14.25"/>
    <row r="341" s="31" customFormat="1" ht="14.25"/>
    <row r="342" s="31" customFormat="1" ht="14.25"/>
    <row r="343" s="31" customFormat="1" ht="14.25"/>
    <row r="344" s="31" customFormat="1" ht="14.25"/>
    <row r="345" s="31" customFormat="1" ht="14.25"/>
    <row r="346" s="31" customFormat="1" ht="14.25"/>
    <row r="347" s="31" customFormat="1" ht="14.25"/>
    <row r="348" s="31" customFormat="1" ht="14.25"/>
    <row r="349" s="31" customFormat="1" ht="14.25"/>
    <row r="350" s="31" customFormat="1" ht="14.25"/>
    <row r="351" s="31" customFormat="1" ht="14.25"/>
    <row r="352" s="31" customFormat="1" ht="14.25"/>
    <row r="353" s="31" customFormat="1" ht="14.25"/>
    <row r="354" s="31" customFormat="1" ht="14.25"/>
    <row r="355" s="31" customFormat="1" ht="14.25"/>
    <row r="356" s="31" customFormat="1" ht="14.25"/>
    <row r="357" s="31" customFormat="1" ht="14.25"/>
    <row r="358" s="31" customFormat="1" ht="14.25"/>
    <row r="359" s="31" customFormat="1" ht="14.25"/>
    <row r="360" s="31" customFormat="1" ht="14.25"/>
    <row r="361" s="31" customFormat="1" ht="14.25"/>
    <row r="362" s="31" customFormat="1" ht="14.25"/>
    <row r="363" s="31" customFormat="1" ht="14.25"/>
    <row r="364" s="31" customFormat="1" ht="14.25"/>
    <row r="365" s="31" customFormat="1" ht="14.25"/>
    <row r="366" s="31" customFormat="1" ht="14.25"/>
    <row r="367" s="31" customFormat="1" ht="14.25"/>
    <row r="368" s="31" customFormat="1" ht="14.25"/>
    <row r="369" s="31" customFormat="1" ht="14.25"/>
    <row r="370" s="31" customFormat="1" ht="14.25"/>
    <row r="371" s="31" customFormat="1" ht="14.25"/>
    <row r="372" s="31" customFormat="1" ht="14.25"/>
    <row r="373" s="31" customFormat="1" ht="14.25"/>
    <row r="374" s="31" customFormat="1" ht="14.25"/>
    <row r="375" s="31" customFormat="1" ht="14.25"/>
    <row r="376" s="31" customFormat="1" ht="14.25"/>
    <row r="377" s="31" customFormat="1" ht="14.25"/>
    <row r="378" s="31" customFormat="1" ht="14.25"/>
    <row r="379" s="31" customFormat="1" ht="14.25"/>
    <row r="380" s="31" customFormat="1" ht="14.25"/>
    <row r="381" s="31" customFormat="1" ht="14.25"/>
    <row r="382" s="31" customFormat="1" ht="14.25"/>
    <row r="383" s="31" customFormat="1" ht="14.25"/>
    <row r="384" s="31" customFormat="1" ht="14.25"/>
    <row r="385" s="31" customFormat="1" ht="14.25"/>
    <row r="386" s="31" customFormat="1" ht="14.25"/>
    <row r="387" s="31" customFormat="1" ht="14.25"/>
    <row r="388" s="31" customFormat="1" ht="14.25"/>
    <row r="389" s="31" customFormat="1" ht="14.25"/>
    <row r="390" s="31" customFormat="1" ht="14.25"/>
    <row r="391" s="31" customFormat="1" ht="14.25"/>
    <row r="392" s="31" customFormat="1" ht="14.25"/>
    <row r="393" s="31" customFormat="1" ht="14.25"/>
    <row r="394" s="31" customFormat="1" ht="14.25"/>
    <row r="395" s="31" customFormat="1" ht="14.25"/>
    <row r="396" s="31" customFormat="1" ht="14.25"/>
    <row r="397" s="31" customFormat="1" ht="14.25"/>
    <row r="398" s="31" customFormat="1" ht="14.25"/>
    <row r="399" s="31" customFormat="1" ht="14.25"/>
    <row r="400" s="31" customFormat="1" ht="14.25"/>
    <row r="401" s="31" customFormat="1" ht="14.25"/>
    <row r="402" s="31" customFormat="1" ht="14.25"/>
    <row r="403" s="31" customFormat="1" ht="14.25"/>
    <row r="404" s="31" customFormat="1" ht="14.25"/>
    <row r="405" s="31" customFormat="1" ht="14.25"/>
    <row r="406" s="31" customFormat="1" ht="14.25"/>
    <row r="407" s="31" customFormat="1" ht="14.25"/>
    <row r="408" s="31" customFormat="1" ht="14.25"/>
    <row r="1000" ht="14.25">
      <c r="A1000" t="s">
        <v>396</v>
      </c>
    </row>
  </sheetData>
  <sheetProtection/>
  <conditionalFormatting sqref="B15:B16">
    <cfRule type="cellIs" priority="6" dxfId="14" operator="notEqual">
      <formula>0</formula>
    </cfRule>
  </conditionalFormatting>
  <conditionalFormatting sqref="C15:C16">
    <cfRule type="cellIs" priority="5" dxfId="14" operator="notEqual">
      <formula>0</formula>
    </cfRule>
  </conditionalFormatting>
  <conditionalFormatting sqref="D15:D16">
    <cfRule type="cellIs" priority="4" dxfId="14" operator="notEqual">
      <formula>0</formula>
    </cfRule>
  </conditionalFormatting>
  <conditionalFormatting sqref="E15:I16">
    <cfRule type="cellIs" priority="3" dxfId="14" operator="notEqual">
      <formula>0</formula>
    </cfRule>
  </conditionalFormatting>
  <conditionalFormatting sqref="B31:I32">
    <cfRule type="cellIs" priority="2" dxfId="14" operator="notEqual">
      <formula>0</formula>
    </cfRule>
  </conditionalFormatting>
  <conditionalFormatting sqref="B47:I47">
    <cfRule type="cellIs" priority="1" dxfId="14" operator="notEqual">
      <formula>0</formula>
    </cfRule>
  </conditionalFormatting>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W1000"/>
  <sheetViews>
    <sheetView showGridLines="0" zoomScalePageLayoutView="0" workbookViewId="0" topLeftCell="A1">
      <selection activeCell="A1" sqref="A1"/>
    </sheetView>
  </sheetViews>
  <sheetFormatPr defaultColWidth="11.421875" defaultRowHeight="15"/>
  <cols>
    <col min="1" max="1" width="13.421875" style="0" customWidth="1"/>
    <col min="2" max="2" width="32.140625" style="0" customWidth="1"/>
    <col min="6" max="6" width="8.140625" style="0" customWidth="1"/>
    <col min="7" max="7" width="7.421875" style="0" customWidth="1"/>
    <col min="8" max="9" width="14.140625" style="0" customWidth="1"/>
  </cols>
  <sheetData>
    <row r="1" spans="1:23" ht="16.5">
      <c r="A1" s="95" t="str">
        <f>HLOOKUP(INDICE!$F$2,Nombres!$C$3:$D$636,161,FALSE)</f>
        <v>Exchange rates</v>
      </c>
      <c r="B1" s="95"/>
      <c r="C1" s="96"/>
      <c r="D1" s="96"/>
      <c r="E1" s="96"/>
      <c r="F1" s="96"/>
      <c r="G1" s="96"/>
      <c r="H1" s="96"/>
      <c r="I1" s="96"/>
      <c r="J1" s="118"/>
      <c r="K1" s="97"/>
      <c r="L1" s="97"/>
      <c r="M1" s="97"/>
      <c r="N1" s="163"/>
      <c r="O1" s="163"/>
      <c r="P1" s="163"/>
      <c r="Q1" s="163"/>
      <c r="R1" s="163"/>
      <c r="S1" s="163"/>
      <c r="T1" s="163"/>
      <c r="U1" s="163"/>
      <c r="V1" s="163"/>
      <c r="W1" s="163"/>
    </row>
    <row r="2" spans="1:13" ht="14.25">
      <c r="A2" s="164" t="str">
        <f>HLOOKUP(INDICE!$F$2,Nombres!$C$3:$D$636,162,FALSE)</f>
        <v>(Expressed in currency/euro)</v>
      </c>
      <c r="B2" s="164"/>
      <c r="C2" s="165"/>
      <c r="D2" s="165"/>
      <c r="E2" s="165"/>
      <c r="F2" s="165"/>
      <c r="G2" s="165"/>
      <c r="H2" s="165"/>
      <c r="I2" s="165"/>
      <c r="J2" s="118"/>
      <c r="K2" s="97"/>
      <c r="L2" s="97"/>
      <c r="M2" s="97"/>
    </row>
    <row r="3" spans="1:9" ht="19.5">
      <c r="A3" s="166"/>
      <c r="B3" s="166"/>
      <c r="C3" s="309" t="str">
        <f>HLOOKUP(INDICE!$F$2,Nombres!$C$3:$D$636,163,FALSE)</f>
        <v>Year-end exchange rates (*)</v>
      </c>
      <c r="D3" s="309"/>
      <c r="E3" s="309"/>
      <c r="F3" s="167"/>
      <c r="G3" s="168"/>
      <c r="H3" s="309" t="str">
        <f>HLOOKUP(INDICE!$F$2,Nombres!$C$3:$D$636,164,FALSE)</f>
        <v>Average exchange rates (**)</v>
      </c>
      <c r="I3" s="309"/>
    </row>
    <row r="4" spans="1:9" ht="14.25">
      <c r="A4" s="100"/>
      <c r="B4" s="100"/>
      <c r="C4" s="76"/>
      <c r="D4" s="169" t="str">
        <f>HLOOKUP(INDICE!$F$2,Nombres!$C$3:$D$636,165,FALSE)</f>
        <v>∆% on</v>
      </c>
      <c r="E4" s="169" t="str">
        <f>HLOOKUP(INDICE!$F$2,Nombres!$C$3:$D$636,165,FALSE)</f>
        <v>∆% on</v>
      </c>
      <c r="F4" s="167"/>
      <c r="G4" s="168"/>
      <c r="H4" s="170"/>
      <c r="I4" s="169" t="str">
        <f>HLOOKUP(INDICE!$F$2,Nombres!$C$3:$D$636,165,FALSE)</f>
        <v>∆% on</v>
      </c>
    </row>
    <row r="5" spans="1:9" ht="14.25">
      <c r="A5" s="100"/>
      <c r="B5" s="100"/>
      <c r="C5" s="171">
        <v>44561</v>
      </c>
      <c r="D5" s="171">
        <f>DATE(YEAR(C5),MONTH(C5)-12,DAY(C5))</f>
        <v>44196</v>
      </c>
      <c r="E5" s="171">
        <v>44469</v>
      </c>
      <c r="F5" s="172"/>
      <c r="G5" s="173"/>
      <c r="H5" s="171">
        <f>+C5</f>
        <v>44561</v>
      </c>
      <c r="I5" s="174">
        <f>+D5</f>
        <v>44196</v>
      </c>
    </row>
    <row r="6" spans="1:9" ht="14.25">
      <c r="A6" s="59" t="str">
        <f>HLOOKUP(INDICE!$F$2,Nombres!$C$3:$D$636,152,FALSE)</f>
        <v>Mexican peso</v>
      </c>
      <c r="B6" s="59"/>
      <c r="C6" s="175">
        <v>23.143799999758624</v>
      </c>
      <c r="D6" s="176">
        <v>0.05496936546552034</v>
      </c>
      <c r="E6" s="176">
        <v>0.025929190540955993</v>
      </c>
      <c r="F6" s="177"/>
      <c r="G6" s="58"/>
      <c r="H6" s="175">
        <v>23.984161000143004</v>
      </c>
      <c r="I6" s="176">
        <v>0.022763231115047633</v>
      </c>
    </row>
    <row r="7" spans="1:9" ht="14.25">
      <c r="A7" s="59" t="str">
        <f>HLOOKUP(INDICE!$F$2,Nombres!$C$3:$D$636,153,FALSE)</f>
        <v>U.S. dollar</v>
      </c>
      <c r="B7" s="59"/>
      <c r="C7" s="175">
        <v>1.1325999999997056</v>
      </c>
      <c r="D7" s="176">
        <v>0.08343634116155374</v>
      </c>
      <c r="E7" s="176">
        <v>0.022337983401730988</v>
      </c>
      <c r="F7" s="145"/>
      <c r="G7" s="58"/>
      <c r="H7" s="175">
        <v>1.1827139999996679</v>
      </c>
      <c r="I7" s="176">
        <v>-0.034617836602807484</v>
      </c>
    </row>
    <row r="8" spans="1:9" ht="14.25">
      <c r="A8" s="59" t="str">
        <f>HLOOKUP(INDICE!$F$2,Nombres!$C$3:$D$636,154,FALSE)</f>
        <v>Argentine peso</v>
      </c>
      <c r="B8" s="280" t="s">
        <v>425</v>
      </c>
      <c r="C8" s="281">
        <v>116.37464999957433</v>
      </c>
      <c r="D8" s="176">
        <v>-0.11274208771847316</v>
      </c>
      <c r="E8" s="176">
        <v>-0.017908797147481725</v>
      </c>
      <c r="F8" s="145"/>
      <c r="G8" s="58"/>
      <c r="H8" s="276" t="s">
        <v>418</v>
      </c>
      <c r="I8" s="276" t="s">
        <v>418</v>
      </c>
    </row>
    <row r="9" spans="1:9" ht="14.25">
      <c r="A9" s="59" t="str">
        <f>HLOOKUP(INDICE!$F$2,Nombres!$C$3:$D$636,155,FALSE)</f>
        <v>Chilean peso</v>
      </c>
      <c r="B9" s="59"/>
      <c r="C9" s="175">
        <v>956.6958941376118</v>
      </c>
      <c r="D9" s="176">
        <v>-0.08810443305461224</v>
      </c>
      <c r="E9" s="176">
        <v>-0.02740581789515295</v>
      </c>
      <c r="F9" s="145"/>
      <c r="G9" s="58"/>
      <c r="H9" s="175">
        <v>897.7781276957808</v>
      </c>
      <c r="I9" s="176">
        <v>0.0058843016404102055</v>
      </c>
    </row>
    <row r="10" spans="1:9" ht="14.25">
      <c r="A10" s="59" t="str">
        <f>HLOOKUP(INDICE!$F$2,Nombres!$C$3:$D$636,156,FALSE)</f>
        <v>Colombian peso</v>
      </c>
      <c r="B10" s="59"/>
      <c r="C10" s="175">
        <v>4509.061825478168</v>
      </c>
      <c r="D10" s="176">
        <v>-0.06587646798505775</v>
      </c>
      <c r="E10" s="176">
        <v>-0.015277202472810392</v>
      </c>
      <c r="F10" s="145"/>
      <c r="G10" s="58"/>
      <c r="H10" s="175">
        <v>4427.361068380313</v>
      </c>
      <c r="I10" s="176">
        <v>-0.04755620847744202</v>
      </c>
    </row>
    <row r="11" spans="1:9" ht="14.25">
      <c r="A11" s="59" t="str">
        <f>HLOOKUP(INDICE!$F$2,Nombres!$C$3:$D$636,157,FALSE)</f>
        <v>Peruvian sol</v>
      </c>
      <c r="B11" s="59"/>
      <c r="C11" s="175">
        <v>4.504462999996905</v>
      </c>
      <c r="D11" s="176">
        <v>-0.012754683522302357</v>
      </c>
      <c r="E11" s="176">
        <v>0.06169348044525824</v>
      </c>
      <c r="F11" s="145"/>
      <c r="G11" s="58"/>
      <c r="H11" s="175">
        <v>4.586746000008391</v>
      </c>
      <c r="I11" s="176">
        <v>-0.12959645029597922</v>
      </c>
    </row>
    <row r="12" spans="1:9" ht="14.25">
      <c r="A12" s="59" t="str">
        <f>HLOOKUP(INDICE!$F$2,Nombres!$C$3:$D$636,158,FALSE)</f>
        <v>Turkish lira</v>
      </c>
      <c r="B12" s="59"/>
      <c r="C12" s="175">
        <v>15.233499999952754</v>
      </c>
      <c r="D12" s="176">
        <v>-0.40177240949095916</v>
      </c>
      <c r="E12" s="176">
        <v>-0.32398332621748127</v>
      </c>
      <c r="F12" s="145"/>
      <c r="G12" s="58"/>
      <c r="H12" s="175">
        <v>10.506678999966832</v>
      </c>
      <c r="I12" s="176">
        <v>-0.23380784736505367</v>
      </c>
    </row>
    <row r="13" spans="1:9" ht="14.25">
      <c r="A13" s="99"/>
      <c r="B13" s="99"/>
      <c r="D13" s="178"/>
      <c r="E13" s="178"/>
      <c r="F13" s="178"/>
      <c r="G13" s="178"/>
      <c r="H13" s="99"/>
      <c r="I13" s="99"/>
    </row>
    <row r="14" spans="1:9" ht="14.25">
      <c r="A14" s="99"/>
      <c r="B14" s="99"/>
      <c r="C14" s="179"/>
      <c r="D14" s="178"/>
      <c r="E14" s="178"/>
      <c r="F14" s="178"/>
      <c r="G14" s="178"/>
      <c r="H14" s="99"/>
      <c r="I14" s="99"/>
    </row>
    <row r="15" spans="1:9" ht="14.25">
      <c r="A15" s="117" t="str">
        <f>HLOOKUP(INDICE!$F$2,Nombres!$C$3:$D$636,159,FALSE)</f>
        <v>(*) Used in the constant euros comparisons for the balance sheet and business activity</v>
      </c>
      <c r="B15" s="117"/>
      <c r="C15" s="129"/>
      <c r="D15" s="129"/>
      <c r="E15" s="129"/>
      <c r="F15" s="178"/>
      <c r="G15" s="178"/>
      <c r="H15" s="99"/>
      <c r="I15" s="99"/>
    </row>
    <row r="16" spans="1:9" ht="14.25">
      <c r="A16" s="117" t="str">
        <f>HLOOKUP(INDICE!$F$2,Nombres!$C$3:$D$636,160,FALSE)</f>
        <v>(**) Used in the constant euros comparisons for the profit and loss</v>
      </c>
      <c r="B16" s="117"/>
      <c r="C16" s="129"/>
      <c r="D16" s="129"/>
      <c r="E16" s="129"/>
      <c r="F16" s="178"/>
      <c r="G16" s="178"/>
      <c r="H16" s="99"/>
      <c r="I16" s="99"/>
    </row>
    <row r="17" ht="14.25">
      <c r="A17" s="117" t="str">
        <f>HLOOKUP(INDICE!$F$2,Nombres!$C$3:$D$636,256,FALSE)</f>
        <v>(1) According to IAS 29 "Financial information in hyperinflationary economies", the year-end exchange rate is used for the conversion of the Argentina income statement. </v>
      </c>
    </row>
    <row r="20" ht="14.25">
      <c r="D20" s="178"/>
    </row>
    <row r="25" spans="3:5" ht="14.25">
      <c r="C25" s="303"/>
      <c r="D25" s="303"/>
      <c r="E25" s="303"/>
    </row>
    <row r="27" ht="14.25">
      <c r="E27" s="303"/>
    </row>
    <row r="1000" ht="14.25">
      <c r="A1000" t="s">
        <v>396</v>
      </c>
    </row>
  </sheetData>
  <sheetProtection/>
  <mergeCells count="2">
    <mergeCell ref="C3:E3"/>
    <mergeCell ref="H3:I3"/>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1003"/>
  <sheetViews>
    <sheetView showGridLines="0" tabSelected="1" zoomScale="80" zoomScaleNormal="80" zoomScalePageLayoutView="0" workbookViewId="0" topLeftCell="A1">
      <selection activeCell="G1" sqref="G1"/>
    </sheetView>
  </sheetViews>
  <sheetFormatPr defaultColWidth="12.57421875" defaultRowHeight="23.25" customHeight="1"/>
  <cols>
    <col min="1" max="1" width="40.421875" style="1" customWidth="1"/>
    <col min="2" max="2" width="21.8515625" style="1" customWidth="1"/>
    <col min="3" max="3" width="115.7109375" style="28" customWidth="1"/>
    <col min="4" max="4" width="13.28125" style="1" customWidth="1"/>
    <col min="5" max="5" width="18.140625" style="1" hidden="1" customWidth="1"/>
    <col min="6" max="6" width="12.57421875" style="1" hidden="1" customWidth="1"/>
    <col min="7" max="16384" width="12.57421875" style="1" customWidth="1"/>
  </cols>
  <sheetData>
    <row r="1" spans="2:5" ht="23.25" customHeight="1">
      <c r="B1" s="2"/>
      <c r="C1" s="3"/>
      <c r="D1" s="2"/>
      <c r="E1" s="2"/>
    </row>
    <row r="2" spans="2:6" ht="23.25" customHeight="1">
      <c r="B2" s="2"/>
      <c r="C2" s="4" t="str">
        <f>HLOOKUP($F$2,Nombres!$C$3:$D$636,2,FALSE)</f>
        <v>Quarterly series 2020-2021</v>
      </c>
      <c r="D2" s="2"/>
      <c r="E2" s="2"/>
      <c r="F2" s="5">
        <v>8</v>
      </c>
    </row>
    <row r="3" spans="2:5" ht="23.25" customHeight="1">
      <c r="B3" s="2"/>
      <c r="C3" s="3"/>
      <c r="D3" s="2"/>
      <c r="E3" s="2"/>
    </row>
    <row r="4" spans="1:7" ht="23.25" customHeight="1">
      <c r="A4" s="6"/>
      <c r="B4" s="2"/>
      <c r="C4" s="7" t="str">
        <f>HLOOKUP($F$2,Nombres!$C$3:$D$636,3,FALSE)</f>
        <v>BBVA Group</v>
      </c>
      <c r="D4" s="8"/>
      <c r="E4" s="2" t="b">
        <v>0</v>
      </c>
      <c r="G4" s="9"/>
    </row>
    <row r="5" spans="2:7" ht="23.25" customHeight="1">
      <c r="B5" s="2"/>
      <c r="C5" s="10" t="str">
        <f>HLOOKUP($F$2,Nombres!$C$3:$D$636,4,FALSE)</f>
        <v>Consolidated income statement</v>
      </c>
      <c r="D5" s="2"/>
      <c r="E5" s="2" t="b">
        <v>0</v>
      </c>
      <c r="F5" s="1" t="b">
        <f>OR($E$4,E5)</f>
        <v>0</v>
      </c>
      <c r="G5" s="9"/>
    </row>
    <row r="6" spans="2:7" ht="23.25" customHeight="1" hidden="1">
      <c r="B6" s="2"/>
      <c r="C6" s="10"/>
      <c r="D6" s="2"/>
      <c r="E6" s="2" t="b">
        <v>0</v>
      </c>
      <c r="F6" s="1" t="b">
        <f>OR($E$4,E6)</f>
        <v>0</v>
      </c>
      <c r="G6" s="9"/>
    </row>
    <row r="7" spans="2:7" ht="23.25" customHeight="1">
      <c r="B7" s="2"/>
      <c r="C7" s="10" t="str">
        <f>HLOOKUP($F$2,Nombres!$C$3:$D$636,5,FALSE)</f>
        <v>Consolidated balance sheet</v>
      </c>
      <c r="D7" s="2"/>
      <c r="E7" s="2"/>
      <c r="G7" s="9"/>
    </row>
    <row r="8" spans="2:7" ht="23.25" customHeight="1">
      <c r="B8" s="11"/>
      <c r="C8" s="7" t="str">
        <f>HLOOKUP($F$2,Nombres!$C$3:$D$636,6,FALSE)</f>
        <v>Business areas</v>
      </c>
      <c r="D8" s="11"/>
      <c r="E8" s="11" t="b">
        <v>0</v>
      </c>
      <c r="F8" s="12"/>
      <c r="G8" s="13"/>
    </row>
    <row r="9" spans="1:7" s="16" customFormat="1" ht="23.25" customHeight="1">
      <c r="A9" s="1"/>
      <c r="B9" s="14"/>
      <c r="C9" s="243" t="str">
        <f>HLOOKUP($F$2,Nombres!$C$3:$D$636,7,FALSE)</f>
        <v>Spain</v>
      </c>
      <c r="D9" s="14"/>
      <c r="E9" s="14" t="b">
        <v>1</v>
      </c>
      <c r="F9" s="1" t="b">
        <f aca="true" t="shared" si="0" ref="F9:F19">OR($E$8,E9)</f>
        <v>1</v>
      </c>
      <c r="G9" s="15"/>
    </row>
    <row r="10" spans="1:7" ht="23.25" customHeight="1">
      <c r="A10" s="17"/>
      <c r="B10" s="2"/>
      <c r="C10" s="10" t="str">
        <f>HLOOKUP($F$2,Nombres!$C$3:$D$636,11,FALSE)</f>
        <v>Mexico</v>
      </c>
      <c r="D10" s="2"/>
      <c r="E10" s="2" t="b">
        <v>1</v>
      </c>
      <c r="F10" s="1" t="b">
        <f t="shared" si="0"/>
        <v>1</v>
      </c>
      <c r="G10" s="9"/>
    </row>
    <row r="11" spans="2:7" ht="23.25" customHeight="1">
      <c r="B11" s="2"/>
      <c r="C11" s="10" t="str">
        <f>HLOOKUP($F$2,Nombres!$C$3:$D$636,12,FALSE)</f>
        <v>Turkey </v>
      </c>
      <c r="D11" s="2"/>
      <c r="E11" s="2" t="b">
        <v>1</v>
      </c>
      <c r="F11" s="1" t="b">
        <f t="shared" si="0"/>
        <v>1</v>
      </c>
      <c r="G11" s="9"/>
    </row>
    <row r="12" spans="1:7" ht="23.25" customHeight="1">
      <c r="A12" s="18"/>
      <c r="B12" s="2"/>
      <c r="C12" s="10" t="str">
        <f>HLOOKUP($F$2,Nombres!$C$3:$D$636,13,FALSE)</f>
        <v>South America</v>
      </c>
      <c r="D12" s="2"/>
      <c r="E12" s="2" t="b">
        <v>1</v>
      </c>
      <c r="F12" s="1" t="b">
        <f t="shared" si="0"/>
        <v>1</v>
      </c>
      <c r="G12" s="9"/>
    </row>
    <row r="13" spans="1:7" s="17" customFormat="1" ht="23.25" customHeight="1">
      <c r="A13" s="18"/>
      <c r="B13" s="19"/>
      <c r="C13" s="10" t="str">
        <f>HLOOKUP($F$2,Nombres!$C$3:$D$636,14,FALSE)</f>
        <v>Argentina</v>
      </c>
      <c r="D13" s="2"/>
      <c r="E13" s="2" t="b">
        <v>1</v>
      </c>
      <c r="F13" s="20" t="b">
        <f>OR($E$8,E13)</f>
        <v>1</v>
      </c>
      <c r="G13" s="21"/>
    </row>
    <row r="14" spans="2:7" ht="23.25" customHeight="1">
      <c r="B14" s="2"/>
      <c r="C14" s="10" t="str">
        <f>HLOOKUP($F$2,Nombres!$C$3:$D$636,15,FALSE)</f>
        <v>Chile</v>
      </c>
      <c r="D14" s="2"/>
      <c r="E14" s="2" t="b">
        <v>0</v>
      </c>
      <c r="F14" s="1" t="b">
        <f t="shared" si="0"/>
        <v>0</v>
      </c>
      <c r="G14" s="9"/>
    </row>
    <row r="15" spans="1:7" s="17" customFormat="1" ht="23.25" customHeight="1">
      <c r="A15" s="1"/>
      <c r="B15" s="19"/>
      <c r="C15" s="10" t="str">
        <f>HLOOKUP($F$2,Nombres!$C$3:$D$636,16,FALSE)</f>
        <v>Colombia</v>
      </c>
      <c r="D15" s="22"/>
      <c r="E15" s="2" t="b">
        <v>0</v>
      </c>
      <c r="F15" s="20" t="b">
        <f t="shared" si="0"/>
        <v>0</v>
      </c>
      <c r="G15" s="21"/>
    </row>
    <row r="16" spans="1:7" s="17" customFormat="1" ht="23.25" customHeight="1">
      <c r="A16" s="6"/>
      <c r="B16" s="19"/>
      <c r="C16" s="10" t="str">
        <f>HLOOKUP($F$2,Nombres!$C$3:$D$636,17,FALSE)</f>
        <v>Peru</v>
      </c>
      <c r="D16" s="22"/>
      <c r="E16" s="2" t="b">
        <v>1</v>
      </c>
      <c r="F16" s="20" t="b">
        <f t="shared" si="0"/>
        <v>1</v>
      </c>
      <c r="G16" s="21"/>
    </row>
    <row r="17" spans="2:7" ht="23.25" customHeight="1">
      <c r="B17" s="2"/>
      <c r="C17" s="10" t="str">
        <f>HLOOKUP($F$2,Nombres!$C$3:$D$636,263,FALSE)</f>
        <v>Rest of Business</v>
      </c>
      <c r="D17" s="22"/>
      <c r="E17" s="2" t="b">
        <v>0</v>
      </c>
      <c r="F17" s="1" t="b">
        <f t="shared" si="0"/>
        <v>0</v>
      </c>
      <c r="G17" s="9"/>
    </row>
    <row r="18" spans="2:7" ht="21.75" customHeight="1">
      <c r="B18" s="2"/>
      <c r="C18" s="10" t="str">
        <f>HLOOKUP($F$2,Nombres!$C$3:$D$636,19,FALSE)</f>
        <v>Corporate Center </v>
      </c>
      <c r="D18" s="22"/>
      <c r="E18" s="2" t="b">
        <v>0</v>
      </c>
      <c r="F18" s="1" t="b">
        <f t="shared" si="0"/>
        <v>0</v>
      </c>
      <c r="G18" s="9"/>
    </row>
    <row r="19" spans="2:7" ht="23.25" customHeight="1">
      <c r="B19" s="2"/>
      <c r="C19" s="23"/>
      <c r="D19" s="22"/>
      <c r="E19" s="2" t="b">
        <v>0</v>
      </c>
      <c r="F19" s="1" t="b">
        <f t="shared" si="0"/>
        <v>0</v>
      </c>
      <c r="G19" s="9"/>
    </row>
    <row r="20" spans="2:7" ht="24.75" customHeight="1">
      <c r="B20" s="2"/>
      <c r="C20" s="7" t="str">
        <f>HLOOKUP($F$2,Nombres!$C$3:$D$636,20,FALSE)</f>
        <v>Additional information:</v>
      </c>
      <c r="D20" s="2"/>
      <c r="E20" s="2"/>
      <c r="G20" s="9"/>
    </row>
    <row r="21" spans="2:11" s="16" customFormat="1" ht="23.25" customHeight="1">
      <c r="B21" s="2"/>
      <c r="C21" s="10" t="str">
        <f>HLOOKUP($F$2,Nombres!$C$3:$D$636,21,FALSE)</f>
        <v>Corporate &amp; Investment Banking</v>
      </c>
      <c r="D21" s="2"/>
      <c r="E21" s="2"/>
      <c r="F21" s="1"/>
      <c r="G21" s="9"/>
      <c r="H21" s="1"/>
      <c r="I21" s="1"/>
      <c r="J21" s="1"/>
      <c r="K21" s="1"/>
    </row>
    <row r="22" spans="2:11" s="24" customFormat="1" ht="23.25" customHeight="1">
      <c r="B22" s="2"/>
      <c r="C22" s="7" t="str">
        <f>HLOOKUP($F$2,Nombres!$C$3:$D$636,22,FALSE)</f>
        <v>Annex:</v>
      </c>
      <c r="D22" s="2"/>
      <c r="E22" s="2" t="b">
        <v>0</v>
      </c>
      <c r="F22" s="1" t="b">
        <f>OR($E$8,E22)</f>
        <v>0</v>
      </c>
      <c r="G22" s="9"/>
      <c r="H22" s="1"/>
      <c r="I22" s="1"/>
      <c r="J22" s="1"/>
      <c r="K22" s="1"/>
    </row>
    <row r="23" spans="2:7" ht="23.25" customHeight="1">
      <c r="B23" s="2"/>
      <c r="C23" s="25" t="str">
        <f>HLOOKUP($F$2,Nombres!$C$3:$D$636,23,FALSE)</f>
        <v>Efficiency</v>
      </c>
      <c r="D23" s="22"/>
      <c r="E23" s="2"/>
      <c r="G23" s="9"/>
    </row>
    <row r="24" spans="2:7" ht="23.25" customHeight="1">
      <c r="B24" s="2"/>
      <c r="C24" s="25" t="str">
        <f>HLOOKUP($F$2,Nombres!$C$3:$D$636,24,FALSE)</f>
        <v>NPL, coverage ratios and cost of risk</v>
      </c>
      <c r="D24" s="22"/>
      <c r="E24" s="2"/>
      <c r="G24" s="9"/>
    </row>
    <row r="25" spans="2:7" ht="23.25" customHeight="1">
      <c r="B25" s="2"/>
      <c r="C25" s="25" t="str">
        <f>HLOOKUP($F$2,Nombres!$C$3:$D$636,25,FALSE)</f>
        <v>Branches, employees and atm´s</v>
      </c>
      <c r="D25" s="22"/>
      <c r="E25" s="2"/>
      <c r="G25" s="9"/>
    </row>
    <row r="26" spans="2:7" ht="23.25" customHeight="1">
      <c r="B26" s="2"/>
      <c r="C26" s="25" t="str">
        <f>HLOOKUP($F$2,Nombres!$C$3:$D$636,26,FALSE)</f>
        <v>Exchange rates</v>
      </c>
      <c r="D26" s="14"/>
      <c r="E26" s="2"/>
      <c r="G26" s="9"/>
    </row>
    <row r="27" spans="2:11" ht="22.5" customHeight="1">
      <c r="B27" s="14"/>
      <c r="C27" s="25" t="str">
        <f>HLOOKUP($F$2,Nombres!$C$3:$D$636,27,FALSE)</f>
        <v>Customer Spreads</v>
      </c>
      <c r="D27" s="2"/>
      <c r="E27" s="14" t="b">
        <v>0</v>
      </c>
      <c r="F27" s="1" t="b">
        <f aca="true" t="shared" si="1" ref="F27:F34">OR($E$26,E27)</f>
        <v>0</v>
      </c>
      <c r="G27" s="15"/>
      <c r="H27" s="16"/>
      <c r="I27" s="16"/>
      <c r="J27" s="16"/>
      <c r="K27" s="16"/>
    </row>
    <row r="28" spans="2:11" ht="22.5" customHeight="1">
      <c r="B28" s="26"/>
      <c r="C28" s="25" t="str">
        <f>HLOOKUP($F$2,Nombres!$C$3:$D$636,28,FALSE)</f>
        <v>Risk-weighted assets. Breakdown by business areas and main countries</v>
      </c>
      <c r="D28" s="2"/>
      <c r="E28" s="26" t="b">
        <v>0</v>
      </c>
      <c r="F28" s="24" t="b">
        <f t="shared" si="1"/>
        <v>0</v>
      </c>
      <c r="G28" s="27"/>
      <c r="H28" s="24"/>
      <c r="I28" s="24"/>
      <c r="J28" s="24"/>
      <c r="K28" s="24"/>
    </row>
    <row r="29" spans="2:7" ht="23.25" customHeight="1">
      <c r="B29" s="2"/>
      <c r="C29" s="25" t="str">
        <f>HLOOKUP($F$2,Nombres!$C$3:$D$636,29,FALSE)</f>
        <v>Breakdown of performing loans under management</v>
      </c>
      <c r="D29" s="2"/>
      <c r="E29" s="2" t="b">
        <v>0</v>
      </c>
      <c r="F29" s="1" t="b">
        <f t="shared" si="1"/>
        <v>0</v>
      </c>
      <c r="G29" s="9"/>
    </row>
    <row r="30" spans="2:7" ht="23.25" customHeight="1">
      <c r="B30" s="2"/>
      <c r="C30" s="25" t="str">
        <f>HLOOKUP($F$2,Nombres!$C$3:$D$636,120,FALSE)</f>
        <v>Breakdown of customer funds under management</v>
      </c>
      <c r="D30" s="2"/>
      <c r="E30" s="2" t="b">
        <v>0</v>
      </c>
      <c r="F30" s="1" t="b">
        <f t="shared" si="1"/>
        <v>0</v>
      </c>
      <c r="G30" s="9"/>
    </row>
    <row r="31" spans="2:6" ht="23.25" customHeight="1">
      <c r="B31" s="2"/>
      <c r="C31" s="25" t="str">
        <f>HLOOKUP($F$2,Nombres!$C$3:$D$636,242,FALSE)</f>
        <v>ALCO Portfolio</v>
      </c>
      <c r="D31" s="14"/>
      <c r="E31" s="2" t="b">
        <v>1</v>
      </c>
      <c r="F31" s="1" t="b">
        <f t="shared" si="1"/>
        <v>1</v>
      </c>
    </row>
    <row r="32" spans="2:6" ht="23.25" customHeight="1">
      <c r="B32" s="2"/>
      <c r="C32" s="3"/>
      <c r="D32" s="26"/>
      <c r="E32" s="2" t="b">
        <v>0</v>
      </c>
      <c r="F32" s="1" t="b">
        <f t="shared" si="1"/>
        <v>0</v>
      </c>
    </row>
    <row r="33" spans="2:6" ht="23.25" customHeight="1">
      <c r="B33" s="2"/>
      <c r="C33" s="272"/>
      <c r="D33" s="2"/>
      <c r="E33" s="2" t="b">
        <v>0</v>
      </c>
      <c r="F33" s="1" t="b">
        <f t="shared" si="1"/>
        <v>0</v>
      </c>
    </row>
    <row r="34" spans="2:6" ht="23.25" customHeight="1">
      <c r="B34" s="2"/>
      <c r="C34" s="3"/>
      <c r="D34" s="2"/>
      <c r="E34" s="2" t="b">
        <v>0</v>
      </c>
      <c r="F34" s="1" t="b">
        <f t="shared" si="1"/>
        <v>0</v>
      </c>
    </row>
    <row r="35" spans="2:5" ht="23.25" customHeight="1">
      <c r="B35" s="2"/>
      <c r="C35" s="3"/>
      <c r="D35" s="2"/>
      <c r="E35" s="2"/>
    </row>
    <row r="36" spans="2:5" ht="23.25" customHeight="1">
      <c r="B36" s="2"/>
      <c r="C36" s="3"/>
      <c r="D36" s="2"/>
      <c r="E36" s="2"/>
    </row>
    <row r="37" spans="2:8" ht="23.25" customHeight="1">
      <c r="B37" s="2"/>
      <c r="C37" s="305"/>
      <c r="D37" s="305"/>
      <c r="E37" s="305"/>
      <c r="F37" s="305"/>
      <c r="G37" s="305"/>
      <c r="H37" s="305"/>
    </row>
    <row r="38" spans="2:5" ht="23.25" customHeight="1">
      <c r="B38" s="2"/>
      <c r="D38" s="2"/>
      <c r="E38" s="2"/>
    </row>
    <row r="39" spans="2:5" ht="23.25" customHeight="1">
      <c r="B39" s="2"/>
      <c r="D39" s="2"/>
      <c r="E39" s="2"/>
    </row>
    <row r="40" spans="2:5" ht="23.25" customHeight="1">
      <c r="B40" s="2"/>
      <c r="D40" s="2"/>
      <c r="E40" s="2"/>
    </row>
    <row r="41" spans="2:5" ht="23.25" customHeight="1">
      <c r="B41" s="2"/>
      <c r="D41" s="2"/>
      <c r="E41" s="2"/>
    </row>
    <row r="46" ht="23.25" customHeight="1">
      <c r="G46" s="288"/>
    </row>
    <row r="1003" ht="23.25" customHeight="1">
      <c r="A1003" s="1" t="s">
        <v>396</v>
      </c>
    </row>
  </sheetData>
  <sheetProtection/>
  <mergeCells count="1">
    <mergeCell ref="C37:H37"/>
  </mergeCells>
  <hyperlinks>
    <hyperlink ref="C5" location="'Cuenta de Resultados'!A1" display="'Cuenta de Resultados'!A1"/>
    <hyperlink ref="C9" location="España!A1" display="España!A1"/>
    <hyperlink ref="C10" location="Mexico!A1" display="Mexico!A1"/>
    <hyperlink ref="C11" location="Turquia!A1" display="Turquia!A1"/>
    <hyperlink ref="C12" location="AdS!A1" display="AdS!A1"/>
    <hyperlink ref="C13" location="Argentina!A1" display="Argentina!A1"/>
    <hyperlink ref="C14" location="Chile!A1" display="Chile!A1"/>
    <hyperlink ref="C15" location="Colombia!A1" display="Colombia!A1"/>
    <hyperlink ref="C16" location="Peru!A1" display="Peru!A1"/>
    <hyperlink ref="C17" location="'Resto de Negocios'!A1" display="'Resto de Negocios'!A1"/>
    <hyperlink ref="C18" location="'Centro Corporativo'!A1" display="'Centro Corporativo'!A1"/>
    <hyperlink ref="C21" location="'Corporate &amp; Investment Banking'!A1" display="'Corporate &amp; Investment Banking'!A1"/>
    <hyperlink ref="C23" location="Eficiencia!A1" display="Eficiencia!A1"/>
    <hyperlink ref="C24" location="'Mora,cobertura,coste de riesgo'!A1" display="'Mora,cobertura,coste de riesgo'!A1"/>
    <hyperlink ref="C25" location="'Empleados, oficinas y cajeros'!A1" display="'Empleados, oficinas y cajeros'!A1"/>
    <hyperlink ref="C26" location="'Tipos de Cambio'!A1" display="'Tipos de Cambio'!A1"/>
    <hyperlink ref="C28" location="APRs!A1" display="APRs!A1"/>
    <hyperlink ref="C29" location="Inversion!A1" display="Inversion!A1"/>
    <hyperlink ref="C27" location="Diferenciales!A1" display="Diferenciales!A1"/>
    <hyperlink ref="C30" location="Recursos!A1" display="Recursos!A1"/>
    <hyperlink ref="C7" location="Balance!A1" display="Balance!A1"/>
    <hyperlink ref="C31" location="ALCO!A1" display="ALCO!A1"/>
  </hyperlinks>
  <printOptions/>
  <pageMargins left="0.7" right="0.7" top="0.75" bottom="0.75" header="0.3" footer="0.3"/>
  <pageSetup horizontalDpi="600" verticalDpi="600" orientation="portrait" paperSize="9" r:id="rId3"/>
  <drawing r:id="rId2"/>
  <legacyDrawing r:id="rId1"/>
</worksheet>
</file>

<file path=xl/worksheets/sheet20.xml><?xml version="1.0" encoding="utf-8"?>
<worksheet xmlns="http://schemas.openxmlformats.org/spreadsheetml/2006/main" xmlns:r="http://schemas.openxmlformats.org/officeDocument/2006/relationships">
  <dimension ref="A1:L1005"/>
  <sheetViews>
    <sheetView showGridLines="0" zoomScalePageLayoutView="0" workbookViewId="0" topLeftCell="A1">
      <selection activeCell="G25" sqref="G25"/>
    </sheetView>
  </sheetViews>
  <sheetFormatPr defaultColWidth="11.421875" defaultRowHeight="15"/>
  <cols>
    <col min="1" max="1" width="40.28125" style="0" customWidth="1"/>
    <col min="2" max="2" width="15.8515625" style="0" customWidth="1"/>
    <col min="3" max="3" width="14.140625" style="0" customWidth="1"/>
    <col min="4" max="4" width="14.57421875" style="0" customWidth="1"/>
    <col min="5" max="5" width="13.421875" style="0" customWidth="1"/>
    <col min="6" max="6" width="12.8515625" style="0" customWidth="1"/>
    <col min="7" max="10" width="11.421875" style="0" customWidth="1"/>
    <col min="11" max="12" width="14.7109375" style="0" bestFit="1" customWidth="1"/>
  </cols>
  <sheetData>
    <row r="1" spans="1:9" ht="16.5">
      <c r="A1" s="95" t="str">
        <f>HLOOKUP(INDICE!$F$2,Nombres!$C$3:$D$636,88,FALSE)</f>
        <v>Risk-weighted assets. Breakdown by business areas and main countries</v>
      </c>
      <c r="B1" s="156"/>
      <c r="C1" s="156"/>
      <c r="D1" s="157"/>
      <c r="E1" s="157"/>
      <c r="F1" s="157"/>
      <c r="G1" s="157"/>
      <c r="H1" s="157"/>
      <c r="I1" s="157"/>
    </row>
    <row r="2" spans="1:9" ht="14.25">
      <c r="A2" s="164" t="str">
        <f>HLOOKUP(INDICE!$F$2,Nombres!$C$3:$D$636,32,FALSE)</f>
        <v>(Million euros)</v>
      </c>
      <c r="B2" s="58"/>
      <c r="C2" s="58"/>
      <c r="D2" s="196"/>
      <c r="E2" s="196"/>
      <c r="F2" s="196"/>
      <c r="G2" s="196"/>
      <c r="H2" s="196"/>
      <c r="I2" s="196"/>
    </row>
    <row r="3" spans="1:9" ht="15">
      <c r="A3" s="197"/>
      <c r="B3" s="58"/>
      <c r="C3" s="58"/>
      <c r="D3" s="160"/>
      <c r="E3" s="160"/>
      <c r="F3" s="160"/>
      <c r="G3" s="160"/>
      <c r="H3" s="160"/>
      <c r="I3" s="160"/>
    </row>
    <row r="4" spans="1:9" ht="15.75" customHeight="1">
      <c r="A4" s="198"/>
      <c r="B4" s="310" t="str">
        <f>HLOOKUP(INDICE!$F$2,Nombres!$C$3:$D$636,222,FALSE)</f>
        <v>CRD IV fully loaded</v>
      </c>
      <c r="C4" s="310"/>
      <c r="D4" s="310"/>
      <c r="E4" s="310"/>
      <c r="F4" s="310"/>
      <c r="G4" s="310"/>
      <c r="H4" s="310"/>
      <c r="I4" s="310"/>
    </row>
    <row r="5" spans="1:11" ht="14.25">
      <c r="A5" s="198"/>
      <c r="B5" s="199">
        <f>+España!B30</f>
        <v>43921</v>
      </c>
      <c r="C5" s="199">
        <f>+España!C30</f>
        <v>44012</v>
      </c>
      <c r="D5" s="199">
        <f>+España!D30</f>
        <v>44104</v>
      </c>
      <c r="E5" s="199">
        <f>+España!E30</f>
        <v>44196</v>
      </c>
      <c r="F5" s="199">
        <f>+España!F30</f>
        <v>44286</v>
      </c>
      <c r="G5" s="199">
        <f>+España!G30</f>
        <v>44377</v>
      </c>
      <c r="H5" s="199">
        <f>+España!H30</f>
        <v>44469</v>
      </c>
      <c r="I5" s="199">
        <f>+España!I30</f>
        <v>44561</v>
      </c>
      <c r="K5" s="200"/>
    </row>
    <row r="6" spans="1:12" ht="14.25">
      <c r="A6" s="104" t="str">
        <f>HLOOKUP(INDICE!$F$2,Nombres!$C$3:$D$636,3,FALSE)</f>
        <v>BBVA Group</v>
      </c>
      <c r="B6" s="201">
        <v>368839</v>
      </c>
      <c r="C6" s="201">
        <v>362388</v>
      </c>
      <c r="D6" s="201">
        <v>344215</v>
      </c>
      <c r="E6" s="201">
        <v>352622</v>
      </c>
      <c r="F6" s="201">
        <v>354433</v>
      </c>
      <c r="G6" s="201">
        <v>305543.34494778</v>
      </c>
      <c r="H6" s="201">
        <v>302547.52793548116</v>
      </c>
      <c r="I6" s="201">
        <v>307331.45301315</v>
      </c>
      <c r="K6" s="202"/>
      <c r="L6" s="203"/>
    </row>
    <row r="7" spans="1:12" ht="14.25">
      <c r="A7" s="59" t="str">
        <f>HLOOKUP(INDICE!$F$2,Nombres!$C$3:$D$636,7,FALSE)</f>
        <v>Spain</v>
      </c>
      <c r="B7" s="44">
        <v>110929.24808814001</v>
      </c>
      <c r="C7" s="44">
        <v>109624.87456919</v>
      </c>
      <c r="D7" s="44">
        <v>106859.04001274999</v>
      </c>
      <c r="E7" s="44">
        <v>104387.87228553</v>
      </c>
      <c r="F7" s="44">
        <v>107872.02321967999</v>
      </c>
      <c r="G7" s="44">
        <v>112030.32493748</v>
      </c>
      <c r="H7" s="44">
        <v>108775.31166464</v>
      </c>
      <c r="I7" s="44">
        <v>113825.42672948999</v>
      </c>
      <c r="K7" s="202"/>
      <c r="L7" s="203"/>
    </row>
    <row r="8" spans="1:12" ht="14.25">
      <c r="A8" s="59" t="str">
        <f>HLOOKUP(INDICE!$F$2,Nombres!$C$3:$D$636,11,FALSE)</f>
        <v>Mexico</v>
      </c>
      <c r="B8" s="44">
        <v>53539.94933836</v>
      </c>
      <c r="C8" s="44">
        <v>54965.7587876</v>
      </c>
      <c r="D8" s="44">
        <v>53464.0767211</v>
      </c>
      <c r="E8" s="44">
        <v>60825.49644080999</v>
      </c>
      <c r="F8" s="44">
        <v>61980.77996204999</v>
      </c>
      <c r="G8" s="44">
        <v>62395.633376269994</v>
      </c>
      <c r="H8" s="44">
        <v>61240.10900000001</v>
      </c>
      <c r="I8" s="44">
        <v>64572.994997839996</v>
      </c>
      <c r="K8" s="202"/>
      <c r="L8" s="203"/>
    </row>
    <row r="9" spans="1:12" ht="14.25">
      <c r="A9" s="59" t="str">
        <f>HLOOKUP(INDICE!$F$2,Nombres!$C$3:$D$636,12,FALSE)</f>
        <v>Turkey </v>
      </c>
      <c r="B9" s="44">
        <v>59163.223</v>
      </c>
      <c r="C9" s="44">
        <v>57189.86</v>
      </c>
      <c r="D9" s="44">
        <v>50130.676999999996</v>
      </c>
      <c r="E9" s="44">
        <v>53020.526015300005</v>
      </c>
      <c r="F9" s="44">
        <v>53251.74</v>
      </c>
      <c r="G9" s="44">
        <v>53554.30000000001</v>
      </c>
      <c r="H9" s="44">
        <v>55233.178</v>
      </c>
      <c r="I9" s="44">
        <v>49718.483983800004</v>
      </c>
      <c r="K9" s="202"/>
      <c r="L9" s="203"/>
    </row>
    <row r="10" spans="1:12" ht="14.25">
      <c r="A10" s="59" t="str">
        <f>HLOOKUP(INDICE!$F$2,Nombres!$C$3:$D$636,13,FALSE)</f>
        <v>South America</v>
      </c>
      <c r="B10" s="44">
        <f aca="true" t="shared" si="0" ref="B10:I10">+B11+B12+B13+B14+B15</f>
        <v>44876.2198411</v>
      </c>
      <c r="C10" s="44">
        <f t="shared" si="0"/>
        <v>44015.18471731</v>
      </c>
      <c r="D10" s="44">
        <f t="shared" si="0"/>
        <v>40087.468540019996</v>
      </c>
      <c r="E10" s="44">
        <f t="shared" si="0"/>
        <v>39804.424999409996</v>
      </c>
      <c r="F10" s="44">
        <f t="shared" si="0"/>
        <v>38947.77803282</v>
      </c>
      <c r="G10" s="44">
        <f t="shared" si="0"/>
        <v>39113.19486358</v>
      </c>
      <c r="H10" s="44">
        <f t="shared" si="0"/>
        <v>40870.448252999995</v>
      </c>
      <c r="I10" s="44">
        <f t="shared" si="0"/>
        <v>43334.14399471</v>
      </c>
      <c r="K10" s="202"/>
      <c r="L10" s="203"/>
    </row>
    <row r="11" spans="1:12" ht="14.25">
      <c r="A11" s="204" t="str">
        <f>HLOOKUP(INDICE!$F$2,Nombres!$C$3:$D$636,14,FALSE)</f>
        <v>Argentina</v>
      </c>
      <c r="B11" s="44">
        <v>6910.432117140001</v>
      </c>
      <c r="C11" s="44">
        <v>6353.540634369999</v>
      </c>
      <c r="D11" s="44">
        <v>5987.350096560001</v>
      </c>
      <c r="E11" s="44">
        <v>5684.74992963</v>
      </c>
      <c r="F11" s="44">
        <v>5727.42467177</v>
      </c>
      <c r="G11" s="44">
        <v>5548.0146043</v>
      </c>
      <c r="H11" s="44">
        <v>6180.594252999999</v>
      </c>
      <c r="I11" s="44">
        <v>6775.30599561</v>
      </c>
      <c r="K11" s="202"/>
      <c r="L11" s="203"/>
    </row>
    <row r="12" spans="1:12" ht="14.25">
      <c r="A12" s="204" t="str">
        <f>HLOOKUP(INDICE!$F$2,Nombres!$C$3:$D$636,15,FALSE)</f>
        <v>Chile</v>
      </c>
      <c r="B12" s="44">
        <v>1748.7650000000003</v>
      </c>
      <c r="C12" s="44">
        <v>1736.961</v>
      </c>
      <c r="D12" s="44">
        <v>2140.844</v>
      </c>
      <c r="E12" s="44">
        <v>1575.173</v>
      </c>
      <c r="F12" s="44">
        <v>1577.494</v>
      </c>
      <c r="G12" s="44">
        <v>1700.4819999999995</v>
      </c>
      <c r="H12" s="44">
        <v>1602.6979999999999</v>
      </c>
      <c r="I12" s="44">
        <v>1635.52199571</v>
      </c>
      <c r="K12" s="202"/>
      <c r="L12" s="203"/>
    </row>
    <row r="13" spans="1:12" ht="14.25">
      <c r="A13" s="204" t="str">
        <f>HLOOKUP(INDICE!$F$2,Nombres!$C$3:$D$636,16,FALSE)</f>
        <v>Colombia</v>
      </c>
      <c r="B13" s="44">
        <v>13100.239411009998</v>
      </c>
      <c r="C13" s="44">
        <v>13499.122104820002</v>
      </c>
      <c r="D13" s="44">
        <v>12079.88084906</v>
      </c>
      <c r="E13" s="44">
        <v>13095.646906889999</v>
      </c>
      <c r="F13" s="44">
        <v>12609.25952864</v>
      </c>
      <c r="G13" s="44">
        <v>12951.161905739998</v>
      </c>
      <c r="H13" s="44">
        <v>13376.350999999999</v>
      </c>
      <c r="I13" s="44">
        <v>14262.200003910002</v>
      </c>
      <c r="K13" s="202"/>
      <c r="L13" s="203"/>
    </row>
    <row r="14" spans="1:12" ht="14.25">
      <c r="A14" s="204" t="str">
        <f>HLOOKUP(INDICE!$F$2,Nombres!$C$3:$D$636,17,FALSE)</f>
        <v>Peru</v>
      </c>
      <c r="B14" s="44">
        <v>19278.294312949998</v>
      </c>
      <c r="C14" s="44">
        <v>18734.891978120002</v>
      </c>
      <c r="D14" s="44">
        <v>16439.1045944</v>
      </c>
      <c r="E14" s="44">
        <v>15844.840162789998</v>
      </c>
      <c r="F14" s="44">
        <v>16675.773832410003</v>
      </c>
      <c r="G14" s="44">
        <v>16469.43935354</v>
      </c>
      <c r="H14" s="44">
        <v>17336.05</v>
      </c>
      <c r="I14" s="44">
        <v>18016.47699951</v>
      </c>
      <c r="K14" s="202"/>
      <c r="L14" s="203"/>
    </row>
    <row r="15" spans="1:12" ht="14.25">
      <c r="A15" s="204" t="str">
        <f>HLOOKUP(INDICE!$F$2,Nombres!$C$3:$D$636,89,FALSE)</f>
        <v>Resto of South América</v>
      </c>
      <c r="B15" s="44">
        <v>3838.489</v>
      </c>
      <c r="C15" s="44">
        <v>3690.669</v>
      </c>
      <c r="D15" s="44">
        <v>3440.2890000000007</v>
      </c>
      <c r="E15" s="44">
        <v>3604.0150001</v>
      </c>
      <c r="F15" s="44">
        <v>2357.826</v>
      </c>
      <c r="G15" s="44">
        <v>2444.0969999999998</v>
      </c>
      <c r="H15" s="44">
        <v>2374.755</v>
      </c>
      <c r="I15" s="44">
        <v>2644.63899997</v>
      </c>
      <c r="K15" s="202"/>
      <c r="L15" s="203"/>
    </row>
    <row r="16" spans="1:12" ht="14.25">
      <c r="A16" s="296" t="str">
        <f>HLOOKUP(INDICE!$F$2,Nombres!$C$3:$D$636,263,FALSE)</f>
        <v>Rest of Business</v>
      </c>
      <c r="B16" s="44">
        <v>25598.11478826</v>
      </c>
      <c r="C16" s="44">
        <v>27968.764307649995</v>
      </c>
      <c r="D16" s="44">
        <v>25515.741743520004</v>
      </c>
      <c r="E16" s="44">
        <v>24331.2185127</v>
      </c>
      <c r="F16" s="44">
        <v>28436.27412497</v>
      </c>
      <c r="G16" s="44">
        <v>28314.13164086</v>
      </c>
      <c r="H16" s="44">
        <v>27016.24635077</v>
      </c>
      <c r="I16" s="44">
        <v>29252.130059020004</v>
      </c>
      <c r="K16" s="202"/>
      <c r="L16" s="203"/>
    </row>
    <row r="17" spans="1:12" ht="14.25">
      <c r="A17" s="59" t="str">
        <f>HLOOKUP(INDICE!$F$2,Nombres!$C$3:$D$636,272,FALSE)</f>
        <v>Corporate Center (1)</v>
      </c>
      <c r="B17" s="44">
        <f>+B6-B7-B8-B9-B11-B12-B13-B14-B15-B16</f>
        <v>74732.24494413998</v>
      </c>
      <c r="C17" s="44">
        <f aca="true" t="shared" si="1" ref="C17:I17">+C6-C7-C8-C9-C11-C12-C13-C14-C15-C16</f>
        <v>68623.55761825001</v>
      </c>
      <c r="D17" s="44">
        <f t="shared" si="1"/>
        <v>68157.99598261001</v>
      </c>
      <c r="E17" s="44">
        <f t="shared" si="1"/>
        <v>70252.46174624999</v>
      </c>
      <c r="F17" s="44">
        <f t="shared" si="1"/>
        <v>63944.40466047998</v>
      </c>
      <c r="G17" s="44">
        <f t="shared" si="1"/>
        <v>10135.760129590013</v>
      </c>
      <c r="H17" s="44">
        <f t="shared" si="1"/>
        <v>9412.234667071134</v>
      </c>
      <c r="I17" s="44">
        <f t="shared" si="1"/>
        <v>6628.273248290017</v>
      </c>
      <c r="K17" s="202"/>
      <c r="L17" s="203"/>
    </row>
    <row r="18" spans="1:12" ht="14.25">
      <c r="A18" s="59"/>
      <c r="B18" s="44"/>
      <c r="C18" s="44"/>
      <c r="D18" s="44"/>
      <c r="E18" s="44"/>
      <c r="F18" s="44"/>
      <c r="G18" s="44"/>
      <c r="H18" s="44"/>
      <c r="I18" s="44"/>
      <c r="K18" s="202"/>
      <c r="L18" s="203"/>
    </row>
    <row r="19" spans="1:12" ht="14.25">
      <c r="A19" s="59"/>
      <c r="B19" s="44"/>
      <c r="C19" s="44"/>
      <c r="D19" s="44"/>
      <c r="E19" s="44"/>
      <c r="F19" s="44"/>
      <c r="G19" s="44"/>
      <c r="H19" s="44"/>
      <c r="I19" s="44"/>
      <c r="K19" s="202"/>
      <c r="L19" s="203"/>
    </row>
    <row r="20" spans="1:12" ht="14.25">
      <c r="A20" s="59" t="str">
        <f>HLOOKUP(INDICE!$F$2,Nombres!$C$3:$D$636,273,FALSE)</f>
        <v>(1) Includes RWAs from the USA business sold.</v>
      </c>
      <c r="B20" s="44"/>
      <c r="C20" s="44"/>
      <c r="D20" s="44"/>
      <c r="E20" s="44"/>
      <c r="F20" s="44"/>
      <c r="G20" s="44"/>
      <c r="H20" s="44"/>
      <c r="I20" s="44"/>
      <c r="K20" s="202"/>
      <c r="L20" s="203"/>
    </row>
    <row r="21" spans="1:12" ht="14.25">
      <c r="A21" s="59"/>
      <c r="K21" s="202"/>
      <c r="L21" s="203"/>
    </row>
    <row r="22" spans="1:12" ht="14.25">
      <c r="A22" s="291"/>
      <c r="B22" s="44"/>
      <c r="C22" s="44"/>
      <c r="D22" s="44"/>
      <c r="E22" s="44"/>
      <c r="F22" s="44"/>
      <c r="G22" s="44"/>
      <c r="H22" s="44"/>
      <c r="I22" s="56"/>
      <c r="K22" s="202"/>
      <c r="L22" s="203"/>
    </row>
    <row r="23" spans="1:12" ht="14.25">
      <c r="A23" s="291"/>
      <c r="B23" s="297">
        <v>0</v>
      </c>
      <c r="C23" s="297">
        <v>0</v>
      </c>
      <c r="D23" s="297">
        <v>0</v>
      </c>
      <c r="E23" s="297">
        <v>0</v>
      </c>
      <c r="F23" s="297">
        <v>0</v>
      </c>
      <c r="G23" s="297">
        <v>0</v>
      </c>
      <c r="H23" s="297">
        <v>0</v>
      </c>
      <c r="I23" s="297">
        <v>0</v>
      </c>
      <c r="K23" s="202"/>
      <c r="L23" s="203"/>
    </row>
    <row r="24" spans="1:9" ht="14.25">
      <c r="A24" s="59"/>
      <c r="B24" s="44"/>
      <c r="C24" s="44"/>
      <c r="D24" s="44"/>
      <c r="E24" s="44"/>
      <c r="F24" s="44"/>
      <c r="G24" s="44"/>
      <c r="H24" s="44"/>
      <c r="I24" s="44"/>
    </row>
    <row r="25" spans="1:6" ht="14.25">
      <c r="A25" s="160"/>
      <c r="B25" s="160"/>
      <c r="C25" s="160"/>
      <c r="D25" s="160"/>
      <c r="E25" s="160"/>
      <c r="F25" s="160"/>
    </row>
    <row r="26" spans="1:6" ht="14.25">
      <c r="A26" s="259"/>
      <c r="B26" s="205"/>
      <c r="C26" s="205"/>
      <c r="D26" s="205"/>
      <c r="E26" s="205"/>
      <c r="F26" s="205"/>
    </row>
    <row r="27" spans="2:6" ht="14.25">
      <c r="B27" s="108"/>
      <c r="F27" s="31"/>
    </row>
    <row r="1005" ht="14.25">
      <c r="A1005" t="s">
        <v>396</v>
      </c>
    </row>
  </sheetData>
  <sheetProtection/>
  <mergeCells count="1">
    <mergeCell ref="B4:I4"/>
  </mergeCells>
  <conditionalFormatting sqref="B23:I23">
    <cfRule type="cellIs" priority="1" dxfId="114" operator="notBetween">
      <formula>0.25</formula>
      <formula>-0.25</formula>
    </cfRule>
  </conditionalFormatting>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AD996"/>
  <sheetViews>
    <sheetView showGridLines="0" zoomScalePageLayoutView="0" workbookViewId="0" topLeftCell="A1">
      <selection activeCell="A1" sqref="A1"/>
    </sheetView>
  </sheetViews>
  <sheetFormatPr defaultColWidth="11.421875" defaultRowHeight="15"/>
  <cols>
    <col min="1" max="1" width="30.7109375" style="181" customWidth="1"/>
    <col min="2" max="9" width="10.7109375" style="181" customWidth="1"/>
    <col min="10" max="10" width="11.57421875" style="181" customWidth="1"/>
    <col min="11" max="255" width="11.421875" style="181" customWidth="1"/>
  </cols>
  <sheetData>
    <row r="1" spans="1:9" ht="19.5">
      <c r="A1" s="95" t="str">
        <f>HLOOKUP(INDICE!$F$2,Nombres!$C$3:$D$636,171,FALSE)</f>
        <v>Customer Spreads (*)</v>
      </c>
      <c r="B1" s="180"/>
      <c r="C1" s="180"/>
      <c r="D1" s="180"/>
      <c r="E1" s="180"/>
      <c r="F1" s="180"/>
      <c r="G1" s="258"/>
      <c r="H1" s="258"/>
      <c r="I1" s="258"/>
    </row>
    <row r="2" spans="1:9" ht="19.5">
      <c r="A2" s="182" t="str">
        <f>HLOOKUP(INDICE!$F$2,Nombres!$C$3:$D$636,172,FALSE)</f>
        <v>(Percentage)</v>
      </c>
      <c r="B2" s="183"/>
      <c r="C2" s="183"/>
      <c r="D2" s="183"/>
      <c r="E2" s="183"/>
      <c r="F2" s="183"/>
      <c r="G2" s="184"/>
      <c r="H2" s="184"/>
      <c r="I2" s="184"/>
    </row>
    <row r="3" spans="1:9" ht="14.25">
      <c r="A3" s="184"/>
      <c r="B3" s="311">
        <f>+España!B6</f>
        <v>2020</v>
      </c>
      <c r="C3" s="311"/>
      <c r="D3" s="311"/>
      <c r="E3" s="311"/>
      <c r="F3" s="311">
        <f>+España!F6</f>
        <v>2021</v>
      </c>
      <c r="G3" s="311"/>
      <c r="H3" s="311"/>
      <c r="I3" s="311"/>
    </row>
    <row r="4" spans="1:9" ht="14.25">
      <c r="A4" s="145"/>
      <c r="B4" s="185" t="str">
        <f>HLOOKUP(INDICE!$F$2,Nombres!$C$3:$D$636,167,FALSE)</f>
        <v>1Q</v>
      </c>
      <c r="C4" s="185" t="str">
        <f>HLOOKUP(INDICE!$F$2,Nombres!$C$3:$D$636,168,FALSE)</f>
        <v>2Q</v>
      </c>
      <c r="D4" s="185" t="str">
        <f>HLOOKUP(INDICE!$F$2,Nombres!$C$3:$D$636,169,FALSE)</f>
        <v>3Q</v>
      </c>
      <c r="E4" s="185" t="str">
        <f>HLOOKUP(INDICE!$F$2,Nombres!$C$3:$D$636,170,FALSE)</f>
        <v>4Q</v>
      </c>
      <c r="F4" s="185" t="str">
        <f>HLOOKUP(INDICE!$F$2,Nombres!$C$3:$D$636,167,FALSE)</f>
        <v>1Q</v>
      </c>
      <c r="G4" s="185" t="str">
        <f>HLOOKUP(INDICE!$F$2,Nombres!$C$3:$D$636,168,FALSE)</f>
        <v>2Q</v>
      </c>
      <c r="H4" s="185" t="str">
        <f>HLOOKUP(INDICE!$F$2,Nombres!$C$3:$D$636,169,FALSE)</f>
        <v>3Q</v>
      </c>
      <c r="I4" s="185" t="str">
        <f>HLOOKUP(INDICE!$F$2,Nombres!$C$3:$D$636,170,FALSE)</f>
        <v>4Q</v>
      </c>
    </row>
    <row r="5" spans="1:9" ht="14.25">
      <c r="A5" s="145"/>
      <c r="B5" s="102"/>
      <c r="C5" s="102"/>
      <c r="D5" s="102"/>
      <c r="E5" s="102"/>
      <c r="F5" s="102"/>
      <c r="G5" s="184"/>
      <c r="H5" s="184"/>
      <c r="I5" s="184"/>
    </row>
    <row r="6" spans="1:30" ht="14.25">
      <c r="A6" s="186" t="str">
        <f>HLOOKUP(INDICE!$F$2,Nombres!$C$3:$D$636,173,FALSE)</f>
        <v>Lending Yield</v>
      </c>
      <c r="B6" s="187">
        <v>0.0198168567422495</v>
      </c>
      <c r="C6" s="187">
        <v>0.019288938292984264</v>
      </c>
      <c r="D6" s="187">
        <v>0.01894662582056927</v>
      </c>
      <c r="E6" s="187">
        <v>0.018318738484201683</v>
      </c>
      <c r="F6" s="187">
        <v>0.017671795676112517</v>
      </c>
      <c r="G6" s="187">
        <v>0.017491607684414313</v>
      </c>
      <c r="H6" s="187">
        <v>0.017416715373765327</v>
      </c>
      <c r="I6" s="187">
        <v>0.017264739259598025</v>
      </c>
      <c r="J6" s="301"/>
      <c r="K6" s="287"/>
      <c r="L6" s="287"/>
      <c r="M6" s="287"/>
      <c r="O6" s="188"/>
      <c r="P6" s="188"/>
      <c r="Q6" s="188"/>
      <c r="R6" s="188"/>
      <c r="W6" s="188"/>
      <c r="X6" s="188"/>
      <c r="Y6" s="188"/>
      <c r="Z6" s="188"/>
      <c r="AA6" s="188"/>
      <c r="AB6" s="188"/>
      <c r="AC6" s="188"/>
      <c r="AD6" s="188"/>
    </row>
    <row r="7" spans="1:30" ht="14.25">
      <c r="A7" s="186" t="str">
        <f>HLOOKUP(INDICE!$F$2,Nombres!$C$3:$D$636,174,FALSE)</f>
        <v>Cost of deposits</v>
      </c>
      <c r="B7" s="187">
        <v>-0.00028402603307544824</v>
      </c>
      <c r="C7" s="187">
        <v>-0.00010085432128469272</v>
      </c>
      <c r="D7" s="187">
        <v>-6.466098165346204E-05</v>
      </c>
      <c r="E7" s="187">
        <v>-7.421501615362272E-05</v>
      </c>
      <c r="F7" s="187">
        <v>-2.8855582289337086E-06</v>
      </c>
      <c r="G7" s="187">
        <v>6.313180380963709E-05</v>
      </c>
      <c r="H7" s="187">
        <v>5.955099791106753E-05</v>
      </c>
      <c r="I7" s="187">
        <v>4.1103154803061946E-05</v>
      </c>
      <c r="J7" s="301"/>
      <c r="K7" s="287"/>
      <c r="L7" s="287"/>
      <c r="M7" s="287"/>
      <c r="O7" s="188"/>
      <c r="P7" s="188"/>
      <c r="Q7" s="188"/>
      <c r="R7" s="188"/>
      <c r="W7" s="188"/>
      <c r="X7" s="188"/>
      <c r="Y7" s="188"/>
      <c r="Z7" s="188"/>
      <c r="AA7" s="188"/>
      <c r="AB7" s="188"/>
      <c r="AC7" s="188"/>
      <c r="AD7" s="188"/>
    </row>
    <row r="8" spans="1:30" ht="14.25">
      <c r="A8" s="189" t="str">
        <f>HLOOKUP(INDICE!$F$2,Nombres!$C$3:$D$636,175,FALSE)</f>
        <v>Banking activity in Spain</v>
      </c>
      <c r="B8" s="190">
        <v>0.01953283070917405</v>
      </c>
      <c r="C8" s="190">
        <v>0.01918808397169957</v>
      </c>
      <c r="D8" s="190">
        <v>0.01888196483891581</v>
      </c>
      <c r="E8" s="190">
        <v>0.01824452346804806</v>
      </c>
      <c r="F8" s="190">
        <v>0.017668910117883584</v>
      </c>
      <c r="G8" s="190">
        <v>0.01755473948822395</v>
      </c>
      <c r="H8" s="190">
        <v>0.017476266371676395</v>
      </c>
      <c r="I8" s="190">
        <v>0.017305842414401088</v>
      </c>
      <c r="J8" s="301"/>
      <c r="K8" s="287"/>
      <c r="L8" s="287"/>
      <c r="M8" s="287"/>
      <c r="O8" s="188"/>
      <c r="P8" s="188"/>
      <c r="Q8" s="188"/>
      <c r="R8" s="188"/>
      <c r="W8" s="188"/>
      <c r="X8" s="188"/>
      <c r="Y8" s="188"/>
      <c r="Z8" s="188"/>
      <c r="AA8" s="188"/>
      <c r="AB8" s="188"/>
      <c r="AC8" s="188"/>
      <c r="AD8" s="188"/>
    </row>
    <row r="9" spans="1:30" ht="14.25">
      <c r="A9" s="145"/>
      <c r="B9" s="191"/>
      <c r="C9" s="191"/>
      <c r="D9" s="191"/>
      <c r="E9" s="191"/>
      <c r="F9" s="191"/>
      <c r="G9" s="191"/>
      <c r="H9" s="191"/>
      <c r="I9" s="191"/>
      <c r="O9" s="188"/>
      <c r="P9" s="188"/>
      <c r="Q9" s="188"/>
      <c r="R9" s="188"/>
      <c r="W9" s="188"/>
      <c r="X9" s="188"/>
      <c r="Y9" s="188"/>
      <c r="Z9" s="188"/>
      <c r="AA9" s="188"/>
      <c r="AB9" s="188"/>
      <c r="AC9" s="188"/>
      <c r="AD9" s="188"/>
    </row>
    <row r="10" spans="1:30" ht="14.25">
      <c r="A10" s="186" t="str">
        <f>HLOOKUP(INDICE!$F$2,Nombres!$C$3:$D$636,173,FALSE)</f>
        <v>Lending Yield</v>
      </c>
      <c r="B10" s="187">
        <v>0.1385644675147111</v>
      </c>
      <c r="C10" s="187">
        <v>0.12100770872281284</v>
      </c>
      <c r="D10" s="187">
        <v>0.12818879887129644</v>
      </c>
      <c r="E10" s="187">
        <v>0.12418285702021734</v>
      </c>
      <c r="F10" s="187">
        <v>0.12202723800358595</v>
      </c>
      <c r="G10" s="187">
        <v>0.12105006870837849</v>
      </c>
      <c r="H10" s="187">
        <v>0.12313056053581566</v>
      </c>
      <c r="I10" s="187">
        <v>0.12486746569572679</v>
      </c>
      <c r="J10" s="301"/>
      <c r="K10" s="287"/>
      <c r="L10" s="287"/>
      <c r="M10" s="287"/>
      <c r="O10" s="188"/>
      <c r="P10" s="188"/>
      <c r="Q10" s="188"/>
      <c r="R10" s="188"/>
      <c r="W10" s="188"/>
      <c r="X10" s="188"/>
      <c r="Y10" s="188"/>
      <c r="Z10" s="188"/>
      <c r="AA10" s="188"/>
      <c r="AB10" s="188"/>
      <c r="AC10" s="188"/>
      <c r="AD10" s="188"/>
    </row>
    <row r="11" spans="1:30" ht="14.25">
      <c r="A11" s="186" t="str">
        <f>HLOOKUP(INDICE!$F$2,Nombres!$C$3:$D$636,174,FALSE)</f>
        <v>Cost of deposits</v>
      </c>
      <c r="B11" s="187">
        <v>-0.02466663223802347</v>
      </c>
      <c r="C11" s="187">
        <v>-0.02213570138477802</v>
      </c>
      <c r="D11" s="187">
        <v>-0.016530572823665653</v>
      </c>
      <c r="E11" s="187">
        <v>-0.013399429631589682</v>
      </c>
      <c r="F11" s="187">
        <v>-0.01206963717892306</v>
      </c>
      <c r="G11" s="187">
        <v>-0.011008080465674414</v>
      </c>
      <c r="H11" s="187">
        <v>-0.011480515447492708</v>
      </c>
      <c r="I11" s="187">
        <v>-0.0125804918305472</v>
      </c>
      <c r="J11" s="301"/>
      <c r="K11" s="287"/>
      <c r="L11" s="287"/>
      <c r="M11" s="287"/>
      <c r="O11" s="188"/>
      <c r="P11" s="188"/>
      <c r="Q11" s="188"/>
      <c r="R11" s="188"/>
      <c r="W11" s="188"/>
      <c r="X11" s="188"/>
      <c r="Y11" s="188"/>
      <c r="Z11" s="188"/>
      <c r="AA11" s="188"/>
      <c r="AB11" s="188"/>
      <c r="AC11" s="188"/>
      <c r="AD11" s="188"/>
    </row>
    <row r="12" spans="1:30" ht="14.25">
      <c r="A12" s="189" t="str">
        <f>HLOOKUP(INDICE!$F$2,Nombres!$C$3:$D$636,177,FALSE)</f>
        <v>Mexico MXN</v>
      </c>
      <c r="B12" s="190">
        <v>0.11389783527668763</v>
      </c>
      <c r="C12" s="190">
        <v>0.09887200733803482</v>
      </c>
      <c r="D12" s="190">
        <v>0.11165822604763079</v>
      </c>
      <c r="E12" s="190">
        <v>0.11078342738862765</v>
      </c>
      <c r="F12" s="190">
        <v>0.10995760082466288</v>
      </c>
      <c r="G12" s="190">
        <v>0.11004198824270407</v>
      </c>
      <c r="H12" s="190">
        <v>0.11165004508832295</v>
      </c>
      <c r="I12" s="190">
        <v>0.11228697386517959</v>
      </c>
      <c r="J12" s="301"/>
      <c r="K12" s="287"/>
      <c r="L12" s="287"/>
      <c r="M12" s="287"/>
      <c r="O12" s="188"/>
      <c r="P12" s="188"/>
      <c r="Q12" s="188"/>
      <c r="R12" s="188"/>
      <c r="W12" s="188"/>
      <c r="X12" s="188"/>
      <c r="Y12" s="188"/>
      <c r="Z12" s="188"/>
      <c r="AA12" s="188"/>
      <c r="AB12" s="188"/>
      <c r="AC12" s="188"/>
      <c r="AD12" s="188"/>
    </row>
    <row r="13" spans="1:30" ht="14.25">
      <c r="A13" s="145"/>
      <c r="B13" s="191"/>
      <c r="C13" s="191"/>
      <c r="D13" s="191"/>
      <c r="E13" s="191"/>
      <c r="F13" s="191"/>
      <c r="G13" s="191"/>
      <c r="H13" s="191"/>
      <c r="I13" s="191"/>
      <c r="O13" s="188"/>
      <c r="P13" s="188"/>
      <c r="Q13" s="188"/>
      <c r="R13" s="188"/>
      <c r="W13" s="188"/>
      <c r="X13" s="188"/>
      <c r="Y13" s="188"/>
      <c r="Z13" s="188"/>
      <c r="AA13" s="188"/>
      <c r="AB13" s="188"/>
      <c r="AC13" s="188"/>
      <c r="AD13" s="188"/>
    </row>
    <row r="14" spans="1:30" ht="14.25">
      <c r="A14" s="186" t="str">
        <f>HLOOKUP(INDICE!$F$2,Nombres!$C$3:$D$636,173,FALSE)</f>
        <v>Lending Yield</v>
      </c>
      <c r="B14" s="191">
        <v>0.0403037147078215</v>
      </c>
      <c r="C14" s="191">
        <v>0.0347989576703468</v>
      </c>
      <c r="D14" s="191">
        <v>0.030442610713643677</v>
      </c>
      <c r="E14" s="191">
        <v>0.02898689721501311</v>
      </c>
      <c r="F14" s="191">
        <v>0.030174382296457917</v>
      </c>
      <c r="G14" s="191">
        <v>0.029770912407578586</v>
      </c>
      <c r="H14" s="191">
        <v>0.02950139897040329</v>
      </c>
      <c r="I14" s="191">
        <v>0.02897582242199459</v>
      </c>
      <c r="K14" s="287"/>
      <c r="L14" s="287"/>
      <c r="M14" s="287"/>
      <c r="O14" s="188"/>
      <c r="P14" s="188"/>
      <c r="Q14" s="188"/>
      <c r="R14" s="188"/>
      <c r="W14" s="188"/>
      <c r="X14" s="188"/>
      <c r="Y14" s="188"/>
      <c r="Z14" s="188"/>
      <c r="AA14" s="188"/>
      <c r="AB14" s="188"/>
      <c r="AC14" s="188"/>
      <c r="AD14" s="188"/>
    </row>
    <row r="15" spans="1:30" ht="14.25">
      <c r="A15" s="186" t="str">
        <f>HLOOKUP(INDICE!$F$2,Nombres!$C$3:$D$636,174,FALSE)</f>
        <v>Cost of deposits</v>
      </c>
      <c r="B15" s="191">
        <v>-0.0022562904884840798</v>
      </c>
      <c r="C15" s="191">
        <v>-0.0014076015592446483</v>
      </c>
      <c r="D15" s="191">
        <v>-0.0006171507298293056</v>
      </c>
      <c r="E15" s="191">
        <v>-0.000506234892570365</v>
      </c>
      <c r="F15" s="191">
        <v>-0.0002822828636173589</v>
      </c>
      <c r="G15" s="191">
        <v>-0.000212496075746828</v>
      </c>
      <c r="H15" s="191">
        <v>-0.00018936801327365524</v>
      </c>
      <c r="I15" s="191">
        <v>-0.0001902538254438967</v>
      </c>
      <c r="K15" s="287"/>
      <c r="L15" s="287"/>
      <c r="M15" s="287"/>
      <c r="O15" s="188"/>
      <c r="P15" s="188"/>
      <c r="Q15" s="188"/>
      <c r="R15" s="188"/>
      <c r="W15" s="188"/>
      <c r="X15" s="188"/>
      <c r="Y15" s="188"/>
      <c r="Z15" s="188"/>
      <c r="AA15" s="188"/>
      <c r="AB15" s="188"/>
      <c r="AC15" s="188"/>
      <c r="AD15" s="188"/>
    </row>
    <row r="16" spans="1:30" ht="14.25">
      <c r="A16" s="189" t="str">
        <f>HLOOKUP(INDICE!$F$2,Nombres!$C$3:$D$636,178,FALSE)</f>
        <v>Mexico  FC (Foreing currency)</v>
      </c>
      <c r="B16" s="192">
        <v>0.03804742421933742</v>
      </c>
      <c r="C16" s="192">
        <v>0.03339135611110215</v>
      </c>
      <c r="D16" s="192">
        <v>0.029825459983814372</v>
      </c>
      <c r="E16" s="192">
        <v>0.028480662322442743</v>
      </c>
      <c r="F16" s="192">
        <v>0.029892099432840557</v>
      </c>
      <c r="G16" s="192">
        <v>0.029558416331831757</v>
      </c>
      <c r="H16" s="192">
        <v>0.029312030957129635</v>
      </c>
      <c r="I16" s="192">
        <v>0.028785568596550695</v>
      </c>
      <c r="K16" s="287"/>
      <c r="L16" s="287"/>
      <c r="M16" s="287"/>
      <c r="O16" s="188"/>
      <c r="P16" s="188"/>
      <c r="Q16" s="188"/>
      <c r="R16" s="188"/>
      <c r="W16" s="188"/>
      <c r="X16" s="188"/>
      <c r="Y16" s="188"/>
      <c r="Z16" s="188"/>
      <c r="AA16" s="188"/>
      <c r="AB16" s="188"/>
      <c r="AC16" s="188"/>
      <c r="AD16" s="188"/>
    </row>
    <row r="17" spans="1:30" ht="14.25">
      <c r="A17" s="145"/>
      <c r="B17" s="191"/>
      <c r="C17" s="191"/>
      <c r="D17" s="191"/>
      <c r="E17" s="191"/>
      <c r="F17" s="191"/>
      <c r="G17" s="191"/>
      <c r="H17" s="191"/>
      <c r="I17" s="191"/>
      <c r="O17" s="188"/>
      <c r="P17" s="188"/>
      <c r="Q17" s="188"/>
      <c r="R17" s="188"/>
      <c r="W17" s="188"/>
      <c r="X17" s="188"/>
      <c r="Y17" s="188"/>
      <c r="Z17" s="188"/>
      <c r="AA17" s="188"/>
      <c r="AB17" s="188"/>
      <c r="AC17" s="188"/>
      <c r="AD17" s="188"/>
    </row>
    <row r="18" spans="1:30" ht="14.25">
      <c r="A18" s="186" t="str">
        <f>HLOOKUP(INDICE!$F$2,Nombres!$C$3:$D$636,173,FALSE)</f>
        <v>Lending Yield</v>
      </c>
      <c r="B18" s="187">
        <v>0.14579727625245514</v>
      </c>
      <c r="C18" s="187">
        <v>0.13223221716743155</v>
      </c>
      <c r="D18" s="187">
        <v>0.12169318670817225</v>
      </c>
      <c r="E18" s="187">
        <v>0.12880281693033194</v>
      </c>
      <c r="F18" s="187">
        <v>0.14296907634056272</v>
      </c>
      <c r="G18" s="187">
        <v>0.1556028031922443</v>
      </c>
      <c r="H18" s="187">
        <v>0.1626449959832971</v>
      </c>
      <c r="I18" s="187">
        <v>0.16480238585276782</v>
      </c>
      <c r="J18" s="301"/>
      <c r="O18" s="188"/>
      <c r="P18" s="188"/>
      <c r="Q18" s="188"/>
      <c r="R18" s="188"/>
      <c r="W18" s="188"/>
      <c r="X18" s="188"/>
      <c r="Y18" s="188"/>
      <c r="Z18" s="188"/>
      <c r="AA18" s="188"/>
      <c r="AB18" s="188"/>
      <c r="AC18" s="188"/>
      <c r="AD18" s="188"/>
    </row>
    <row r="19" spans="1:30" ht="14.25">
      <c r="A19" s="186" t="str">
        <f>HLOOKUP(INDICE!$F$2,Nombres!$C$3:$D$636,174,FALSE)</f>
        <v>Cost of deposits</v>
      </c>
      <c r="B19" s="187">
        <v>-0.07122935045239195</v>
      </c>
      <c r="C19" s="187">
        <v>-0.05925141394336347</v>
      </c>
      <c r="D19" s="187">
        <v>-0.06119945613812865</v>
      </c>
      <c r="E19" s="187">
        <v>-0.08979932642488939</v>
      </c>
      <c r="F19" s="187">
        <v>-0.11751316698854768</v>
      </c>
      <c r="G19" s="187">
        <v>-0.12680247724077123</v>
      </c>
      <c r="H19" s="187">
        <v>-0.12832951194832729</v>
      </c>
      <c r="I19" s="187">
        <v>-0.11589034648448437</v>
      </c>
      <c r="J19" s="301"/>
      <c r="O19" s="188"/>
      <c r="P19" s="188"/>
      <c r="Q19" s="188"/>
      <c r="R19" s="188"/>
      <c r="W19" s="188"/>
      <c r="X19" s="188"/>
      <c r="Y19" s="188"/>
      <c r="Z19" s="188"/>
      <c r="AA19" s="188"/>
      <c r="AB19" s="188"/>
      <c r="AC19" s="188"/>
      <c r="AD19" s="188"/>
    </row>
    <row r="20" spans="1:30" ht="14.25">
      <c r="A20" s="189" t="str">
        <f>HLOOKUP(INDICE!$F$2,Nombres!$C$3:$D$636,179,FALSE)</f>
        <v>Turkey TRY</v>
      </c>
      <c r="B20" s="190">
        <v>0.07456792580006319</v>
      </c>
      <c r="C20" s="190">
        <v>0.07298080322406808</v>
      </c>
      <c r="D20" s="190">
        <v>0.060493730570043605</v>
      </c>
      <c r="E20" s="190">
        <v>0.03900349050544255</v>
      </c>
      <c r="F20" s="190">
        <v>0.02545590935201504</v>
      </c>
      <c r="G20" s="190">
        <v>0.028800325951473055</v>
      </c>
      <c r="H20" s="190">
        <v>0.03431548403496981</v>
      </c>
      <c r="I20" s="190">
        <v>0.04891203936828345</v>
      </c>
      <c r="J20" s="301"/>
      <c r="O20" s="188"/>
      <c r="P20" s="188"/>
      <c r="Q20" s="188"/>
      <c r="R20" s="188"/>
      <c r="W20" s="188"/>
      <c r="X20" s="188"/>
      <c r="Y20" s="188"/>
      <c r="Z20" s="188"/>
      <c r="AA20" s="188"/>
      <c r="AB20" s="188"/>
      <c r="AC20" s="188"/>
      <c r="AD20" s="188"/>
    </row>
    <row r="21" spans="1:30" ht="14.25">
      <c r="A21" s="189"/>
      <c r="B21" s="190"/>
      <c r="C21" s="190"/>
      <c r="D21" s="190"/>
      <c r="E21" s="190"/>
      <c r="F21" s="190"/>
      <c r="G21" s="190"/>
      <c r="H21" s="190"/>
      <c r="I21" s="190"/>
      <c r="J21" s="301"/>
      <c r="O21" s="188"/>
      <c r="P21" s="188"/>
      <c r="Q21" s="188"/>
      <c r="R21" s="188"/>
      <c r="W21" s="188"/>
      <c r="X21" s="188"/>
      <c r="Y21" s="188"/>
      <c r="Z21" s="188"/>
      <c r="AA21" s="188"/>
      <c r="AB21" s="188"/>
      <c r="AC21" s="188"/>
      <c r="AD21" s="188"/>
    </row>
    <row r="22" spans="1:30" ht="14.25">
      <c r="A22" s="186" t="str">
        <f>HLOOKUP(INDICE!$F$2,Nombres!$C$3:$D$636,173,FALSE)</f>
        <v>Lending Yield</v>
      </c>
      <c r="B22" s="193">
        <v>0.062180682384926876</v>
      </c>
      <c r="C22" s="193">
        <v>0.053749685757730765</v>
      </c>
      <c r="D22" s="193">
        <v>0.05037076981933646</v>
      </c>
      <c r="E22" s="193">
        <v>0.050664115430607455</v>
      </c>
      <c r="F22" s="193">
        <v>0.05017027201428375</v>
      </c>
      <c r="G22" s="193">
        <v>0.05039928855800079</v>
      </c>
      <c r="H22" s="193">
        <v>0.048929059926155205</v>
      </c>
      <c r="I22" s="193">
        <v>0.04865460905160399</v>
      </c>
      <c r="J22" s="301"/>
      <c r="K22" s="287"/>
      <c r="L22" s="287"/>
      <c r="M22" s="287"/>
      <c r="O22" s="188"/>
      <c r="P22" s="188"/>
      <c r="Q22" s="188"/>
      <c r="R22" s="188"/>
      <c r="W22" s="188"/>
      <c r="X22" s="188"/>
      <c r="Y22" s="188"/>
      <c r="Z22" s="188"/>
      <c r="AA22" s="188"/>
      <c r="AB22" s="188"/>
      <c r="AC22" s="188"/>
      <c r="AD22" s="188"/>
    </row>
    <row r="23" spans="1:30" ht="14.25">
      <c r="A23" s="186" t="str">
        <f>HLOOKUP(INDICE!$F$2,Nombres!$C$3:$D$636,174,FALSE)</f>
        <v>Cost of deposits</v>
      </c>
      <c r="B23" s="193">
        <v>-0.009191274794191162</v>
      </c>
      <c r="C23" s="193">
        <v>-0.004309127182139025</v>
      </c>
      <c r="D23" s="193">
        <v>-0.002010039753048756</v>
      </c>
      <c r="E23" s="193">
        <v>-0.003559089841399381</v>
      </c>
      <c r="F23" s="193">
        <v>-0.003909204429493572</v>
      </c>
      <c r="G23" s="193">
        <v>-0.0034245561499075816</v>
      </c>
      <c r="H23" s="193">
        <v>-0.0023701396601340163</v>
      </c>
      <c r="I23" s="193">
        <v>-0.0021495394083072676</v>
      </c>
      <c r="J23" s="301"/>
      <c r="K23" s="287"/>
      <c r="L23" s="287"/>
      <c r="M23" s="287"/>
      <c r="O23" s="188"/>
      <c r="P23" s="188"/>
      <c r="Q23" s="188"/>
      <c r="R23" s="188"/>
      <c r="W23" s="188"/>
      <c r="X23" s="188"/>
      <c r="Y23" s="188"/>
      <c r="Z23" s="188"/>
      <c r="AA23" s="188"/>
      <c r="AB23" s="188"/>
      <c r="AC23" s="188"/>
      <c r="AD23" s="188"/>
    </row>
    <row r="24" spans="1:30" ht="14.25">
      <c r="A24" s="189" t="str">
        <f>HLOOKUP(INDICE!$F$2,Nombres!$C$3:$D$636,180,FALSE)</f>
        <v>Turkey FC (Foreing currency)</v>
      </c>
      <c r="B24" s="190">
        <v>0.05298940759073571</v>
      </c>
      <c r="C24" s="190">
        <v>0.04944055857559174</v>
      </c>
      <c r="D24" s="190">
        <v>0.04836073006628771</v>
      </c>
      <c r="E24" s="190">
        <v>0.04710502558920807</v>
      </c>
      <c r="F24" s="190">
        <v>0.04626106758479018</v>
      </c>
      <c r="G24" s="190">
        <v>0.04697473240809321</v>
      </c>
      <c r="H24" s="190">
        <v>0.04655892026602119</v>
      </c>
      <c r="I24" s="190">
        <v>0.046505069643296724</v>
      </c>
      <c r="J24" s="301"/>
      <c r="K24" s="287"/>
      <c r="L24" s="287"/>
      <c r="M24" s="287"/>
      <c r="O24" s="188"/>
      <c r="P24" s="188"/>
      <c r="Q24" s="188"/>
      <c r="R24" s="188"/>
      <c r="W24" s="188"/>
      <c r="X24" s="188"/>
      <c r="Y24" s="188"/>
      <c r="Z24" s="188"/>
      <c r="AA24" s="188"/>
      <c r="AB24" s="188"/>
      <c r="AC24" s="188"/>
      <c r="AD24" s="188"/>
    </row>
    <row r="25" spans="1:30" ht="14.25">
      <c r="A25" s="145"/>
      <c r="B25" s="191"/>
      <c r="C25" s="191"/>
      <c r="D25" s="191"/>
      <c r="E25" s="191"/>
      <c r="F25" s="191"/>
      <c r="G25" s="191"/>
      <c r="H25" s="191"/>
      <c r="I25" s="191"/>
      <c r="K25" s="287"/>
      <c r="L25" s="287"/>
      <c r="M25" s="287"/>
      <c r="O25" s="188"/>
      <c r="P25" s="188"/>
      <c r="Q25" s="188"/>
      <c r="R25" s="188"/>
      <c r="W25" s="188"/>
      <c r="X25" s="188"/>
      <c r="Y25" s="188"/>
      <c r="Z25" s="188"/>
      <c r="AA25" s="188"/>
      <c r="AB25" s="188"/>
      <c r="AC25" s="188"/>
      <c r="AD25" s="188"/>
    </row>
    <row r="26" spans="1:30" ht="14.25">
      <c r="A26" s="186" t="str">
        <f>HLOOKUP(INDICE!$F$2,Nombres!$C$3:$D$636,173,FALSE)</f>
        <v>Lending Yield</v>
      </c>
      <c r="B26" s="187">
        <v>0.31991610287004885</v>
      </c>
      <c r="C26" s="187">
        <v>0.25734070691470634</v>
      </c>
      <c r="D26" s="187">
        <v>0.24785641646487547</v>
      </c>
      <c r="E26" s="187">
        <v>0.2521277866911026</v>
      </c>
      <c r="F26" s="187">
        <v>0.27287944816889914</v>
      </c>
      <c r="G26" s="187">
        <v>0.2545189075122043</v>
      </c>
      <c r="H26" s="187">
        <v>0.2646468795186635</v>
      </c>
      <c r="I26" s="187">
        <v>0.2743612191968006</v>
      </c>
      <c r="J26" s="301"/>
      <c r="K26" s="287"/>
      <c r="L26" s="287"/>
      <c r="M26" s="287"/>
      <c r="O26" s="188"/>
      <c r="P26" s="188"/>
      <c r="Q26" s="188"/>
      <c r="R26" s="188"/>
      <c r="W26" s="188"/>
      <c r="X26" s="188"/>
      <c r="Y26" s="188"/>
      <c r="Z26" s="188"/>
      <c r="AA26" s="188"/>
      <c r="AB26" s="188"/>
      <c r="AC26" s="188"/>
      <c r="AD26" s="188"/>
    </row>
    <row r="27" spans="1:30" ht="14.25">
      <c r="A27" s="186" t="str">
        <f>HLOOKUP(INDICE!$F$2,Nombres!$C$3:$D$636,174,FALSE)</f>
        <v>Cost of deposits</v>
      </c>
      <c r="B27" s="187">
        <v>-0.09195033518363706</v>
      </c>
      <c r="C27" s="187">
        <v>-0.06410693852930854</v>
      </c>
      <c r="D27" s="187">
        <v>-0.08711671547285336</v>
      </c>
      <c r="E27" s="187">
        <v>-0.10793193966215896</v>
      </c>
      <c r="F27" s="187">
        <v>-0.11808404827847262</v>
      </c>
      <c r="G27" s="187">
        <v>-0.13245229274081424</v>
      </c>
      <c r="H27" s="187">
        <v>-0.1372979585825155</v>
      </c>
      <c r="I27" s="187">
        <v>-0.1276625198599774</v>
      </c>
      <c r="J27" s="301"/>
      <c r="K27" s="287"/>
      <c r="L27" s="287"/>
      <c r="M27" s="287"/>
      <c r="O27" s="188"/>
      <c r="P27" s="188"/>
      <c r="Q27" s="188"/>
      <c r="R27" s="188"/>
      <c r="W27" s="188"/>
      <c r="X27" s="188"/>
      <c r="Y27" s="188"/>
      <c r="Z27" s="188"/>
      <c r="AA27" s="188"/>
      <c r="AB27" s="188"/>
      <c r="AC27" s="188"/>
      <c r="AD27" s="188"/>
    </row>
    <row r="28" spans="1:30" ht="14.25">
      <c r="A28" s="189" t="str">
        <f>HLOOKUP(INDICE!$F$2,Nombres!$C$3:$D$636,181,FALSE)</f>
        <v>Argentina</v>
      </c>
      <c r="B28" s="194">
        <v>0.2279657676864118</v>
      </c>
      <c r="C28" s="194">
        <v>0.1932337683853978</v>
      </c>
      <c r="D28" s="194">
        <v>0.16073970099202212</v>
      </c>
      <c r="E28" s="194">
        <v>0.1441958470289436</v>
      </c>
      <c r="F28" s="194">
        <v>0.1547953998904265</v>
      </c>
      <c r="G28" s="194">
        <v>0.12206661477139005</v>
      </c>
      <c r="H28" s="194">
        <v>0.127348920936148</v>
      </c>
      <c r="I28" s="194">
        <v>0.14669869933682322</v>
      </c>
      <c r="J28" s="301"/>
      <c r="K28" s="287"/>
      <c r="L28" s="287"/>
      <c r="M28" s="287"/>
      <c r="O28" s="188"/>
      <c r="P28" s="188"/>
      <c r="Q28" s="188"/>
      <c r="R28" s="188"/>
      <c r="W28" s="188"/>
      <c r="X28" s="188"/>
      <c r="Y28" s="188"/>
      <c r="Z28" s="188"/>
      <c r="AA28" s="188"/>
      <c r="AB28" s="188"/>
      <c r="AC28" s="188"/>
      <c r="AD28" s="188"/>
    </row>
    <row r="29" spans="1:30" ht="14.25">
      <c r="A29" s="145"/>
      <c r="B29" s="191"/>
      <c r="C29" s="191"/>
      <c r="D29" s="191"/>
      <c r="E29" s="191"/>
      <c r="F29" s="191"/>
      <c r="G29" s="191"/>
      <c r="H29" s="191"/>
      <c r="I29" s="191"/>
      <c r="O29" s="188"/>
      <c r="P29" s="188"/>
      <c r="Q29" s="188"/>
      <c r="R29" s="188"/>
      <c r="W29" s="188"/>
      <c r="X29" s="188"/>
      <c r="Y29" s="188"/>
      <c r="Z29" s="188"/>
      <c r="AA29" s="188"/>
      <c r="AB29" s="188"/>
      <c r="AC29" s="188"/>
      <c r="AD29" s="188"/>
    </row>
    <row r="30" spans="1:30" ht="14.25">
      <c r="A30" s="186" t="str">
        <f>HLOOKUP(INDICE!$F$2,Nombres!$C$3:$D$636,173,FALSE)</f>
        <v>Lending Yield</v>
      </c>
      <c r="B30" s="187">
        <v>0.10420609702542187</v>
      </c>
      <c r="C30" s="187">
        <v>0.10144140828029898</v>
      </c>
      <c r="D30" s="187">
        <v>0.09777337072839347</v>
      </c>
      <c r="E30" s="187">
        <v>0.0943072153953358</v>
      </c>
      <c r="F30" s="187">
        <v>0.0907840059161003</v>
      </c>
      <c r="G30" s="187">
        <v>0.08721585256993951</v>
      </c>
      <c r="H30" s="187">
        <v>0.0862644469234545</v>
      </c>
      <c r="I30" s="187">
        <v>0.08565940458006299</v>
      </c>
      <c r="J30" s="301"/>
      <c r="K30" s="287"/>
      <c r="L30" s="287"/>
      <c r="M30" s="287"/>
      <c r="O30" s="188"/>
      <c r="P30" s="188"/>
      <c r="Q30" s="188"/>
      <c r="R30" s="188"/>
      <c r="W30" s="188"/>
      <c r="X30" s="188"/>
      <c r="Y30" s="188"/>
      <c r="Z30" s="188"/>
      <c r="AA30" s="188"/>
      <c r="AB30" s="188"/>
      <c r="AC30" s="188"/>
      <c r="AD30" s="188"/>
    </row>
    <row r="31" spans="1:30" ht="14.25">
      <c r="A31" s="186" t="str">
        <f>HLOOKUP(INDICE!$F$2,Nombres!$C$3:$D$636,174,FALSE)</f>
        <v>Cost of deposits</v>
      </c>
      <c r="B31" s="187">
        <v>-0.04059609847919352</v>
      </c>
      <c r="C31" s="187">
        <v>-0.03728764569179078</v>
      </c>
      <c r="D31" s="187">
        <v>-0.031545343483443615</v>
      </c>
      <c r="E31" s="187">
        <v>-0.027672530713464275</v>
      </c>
      <c r="F31" s="187">
        <v>-0.025658619101376113</v>
      </c>
      <c r="G31" s="187">
        <v>-0.024167549353759893</v>
      </c>
      <c r="H31" s="187">
        <v>-0.024142178980391872</v>
      </c>
      <c r="I31" s="187">
        <v>-0.02448387872201383</v>
      </c>
      <c r="J31" s="301"/>
      <c r="K31" s="287"/>
      <c r="L31" s="287"/>
      <c r="M31" s="287"/>
      <c r="O31" s="188"/>
      <c r="P31" s="188"/>
      <c r="Q31" s="188"/>
      <c r="R31" s="188"/>
      <c r="W31" s="188"/>
      <c r="X31" s="188"/>
      <c r="Y31" s="188"/>
      <c r="Z31" s="188"/>
      <c r="AA31" s="188"/>
      <c r="AB31" s="188"/>
      <c r="AC31" s="188"/>
      <c r="AD31" s="188"/>
    </row>
    <row r="32" spans="1:30" ht="14.25">
      <c r="A32" s="189" t="str">
        <f>HLOOKUP(INDICE!$F$2,Nombres!$C$3:$D$636,182,FALSE)</f>
        <v>Colombia</v>
      </c>
      <c r="B32" s="190">
        <v>0.06360999854622834</v>
      </c>
      <c r="C32" s="190">
        <v>0.06415376258850819</v>
      </c>
      <c r="D32" s="190">
        <v>0.06622802724494986</v>
      </c>
      <c r="E32" s="190">
        <v>0.06663468468187153</v>
      </c>
      <c r="F32" s="190">
        <v>0.06512538681472418</v>
      </c>
      <c r="G32" s="190">
        <v>0.06304830321617962</v>
      </c>
      <c r="H32" s="190">
        <v>0.06212226794306263</v>
      </c>
      <c r="I32" s="190">
        <v>0.06117552585804916</v>
      </c>
      <c r="J32" s="301"/>
      <c r="K32" s="287"/>
      <c r="L32" s="287"/>
      <c r="M32" s="287"/>
      <c r="O32" s="188"/>
      <c r="P32" s="188"/>
      <c r="Q32" s="188"/>
      <c r="R32" s="188"/>
      <c r="W32" s="188"/>
      <c r="X32" s="188"/>
      <c r="Y32" s="188"/>
      <c r="Z32" s="188"/>
      <c r="AA32" s="188"/>
      <c r="AB32" s="188"/>
      <c r="AC32" s="188"/>
      <c r="AD32" s="188"/>
    </row>
    <row r="33" spans="1:30" ht="14.25">
      <c r="A33" s="145"/>
      <c r="B33" s="191"/>
      <c r="C33" s="191"/>
      <c r="D33" s="191"/>
      <c r="E33" s="191"/>
      <c r="F33" s="191"/>
      <c r="G33" s="191"/>
      <c r="H33" s="191"/>
      <c r="I33" s="191"/>
      <c r="O33" s="188"/>
      <c r="P33" s="188"/>
      <c r="Q33" s="188"/>
      <c r="R33" s="188"/>
      <c r="W33" s="188"/>
      <c r="X33" s="188"/>
      <c r="Y33" s="188"/>
      <c r="Z33" s="188"/>
      <c r="AA33" s="188"/>
      <c r="AB33" s="188"/>
      <c r="AC33" s="188"/>
      <c r="AD33" s="188"/>
    </row>
    <row r="34" spans="1:30" ht="14.25">
      <c r="A34" s="186" t="str">
        <f>HLOOKUP(INDICE!$F$2,Nombres!$C$3:$D$636,173,FALSE)</f>
        <v>Lending Yield</v>
      </c>
      <c r="B34" s="187">
        <v>0.07365269738258541</v>
      </c>
      <c r="C34" s="187">
        <v>0.06573472646968637</v>
      </c>
      <c r="D34" s="187">
        <v>0.058814429453178683</v>
      </c>
      <c r="E34" s="187">
        <v>0.05513116733588462</v>
      </c>
      <c r="F34" s="187">
        <v>0.05374959984534193</v>
      </c>
      <c r="G34" s="187">
        <v>0.051655784908604035</v>
      </c>
      <c r="H34" s="187">
        <v>0.054590015457192394</v>
      </c>
      <c r="I34" s="187">
        <v>0.05664259862586235</v>
      </c>
      <c r="J34" s="301"/>
      <c r="K34" s="287"/>
      <c r="L34" s="287"/>
      <c r="M34" s="287"/>
      <c r="O34" s="188"/>
      <c r="P34" s="188"/>
      <c r="Q34" s="188"/>
      <c r="R34" s="188"/>
      <c r="W34" s="188"/>
      <c r="X34" s="188"/>
      <c r="Y34" s="188"/>
      <c r="Z34" s="188"/>
      <c r="AA34" s="188"/>
      <c r="AB34" s="188"/>
      <c r="AC34" s="188"/>
      <c r="AD34" s="188"/>
    </row>
    <row r="35" spans="1:30" ht="14.25">
      <c r="A35" s="186" t="str">
        <f>HLOOKUP(INDICE!$F$2,Nombres!$C$3:$D$636,174,FALSE)</f>
        <v>Cost of deposits</v>
      </c>
      <c r="B35" s="187">
        <v>-0.011615505287869537</v>
      </c>
      <c r="C35" s="187">
        <v>-0.00958689719151348</v>
      </c>
      <c r="D35" s="187">
        <v>-0.005668703360217166</v>
      </c>
      <c r="E35" s="187">
        <v>-0.004261266120165212</v>
      </c>
      <c r="F35" s="187">
        <v>-0.0032830542140836853</v>
      </c>
      <c r="G35" s="187">
        <v>-0.0025482861281171123</v>
      </c>
      <c r="H35" s="187">
        <v>-0.0023624693349372783</v>
      </c>
      <c r="I35" s="187">
        <v>-0.002570644383853652</v>
      </c>
      <c r="J35" s="301"/>
      <c r="K35" s="287"/>
      <c r="L35" s="287"/>
      <c r="M35" s="287"/>
      <c r="O35" s="188"/>
      <c r="P35" s="188"/>
      <c r="Q35" s="188"/>
      <c r="R35" s="188"/>
      <c r="W35" s="188"/>
      <c r="X35" s="188"/>
      <c r="Y35" s="188"/>
      <c r="Z35" s="188"/>
      <c r="AA35" s="188"/>
      <c r="AB35" s="188"/>
      <c r="AC35" s="188"/>
      <c r="AD35" s="188"/>
    </row>
    <row r="36" spans="1:30" ht="14.25">
      <c r="A36" s="189" t="str">
        <f>HLOOKUP(INDICE!$F$2,Nombres!$C$3:$D$636,183,FALSE)</f>
        <v>Peru</v>
      </c>
      <c r="B36" s="190">
        <v>0.06203719209471587</v>
      </c>
      <c r="C36" s="190">
        <v>0.056147829278172884</v>
      </c>
      <c r="D36" s="190">
        <v>0.05314572609296152</v>
      </c>
      <c r="E36" s="190">
        <v>0.05086990121571941</v>
      </c>
      <c r="F36" s="190">
        <v>0.05046654563125824</v>
      </c>
      <c r="G36" s="190">
        <v>0.049107498780486925</v>
      </c>
      <c r="H36" s="190">
        <v>0.052227546122255115</v>
      </c>
      <c r="I36" s="190">
        <v>0.054071954242008696</v>
      </c>
      <c r="J36" s="301"/>
      <c r="K36" s="287"/>
      <c r="L36" s="287"/>
      <c r="M36" s="287"/>
      <c r="O36" s="188"/>
      <c r="P36" s="188"/>
      <c r="Q36" s="188"/>
      <c r="R36" s="188"/>
      <c r="W36" s="188"/>
      <c r="X36" s="188"/>
      <c r="Y36" s="188"/>
      <c r="Z36" s="188"/>
      <c r="AA36" s="188"/>
      <c r="AB36" s="188"/>
      <c r="AC36" s="188"/>
      <c r="AD36" s="188"/>
    </row>
    <row r="37" spans="1:30" ht="14.25">
      <c r="A37" s="145"/>
      <c r="B37" s="191"/>
      <c r="C37" s="191"/>
      <c r="D37" s="191"/>
      <c r="E37" s="191"/>
      <c r="F37" s="191"/>
      <c r="G37" s="191"/>
      <c r="H37" s="191"/>
      <c r="I37" s="191"/>
      <c r="O37" s="188"/>
      <c r="P37" s="188"/>
      <c r="Q37" s="188"/>
      <c r="R37" s="188"/>
      <c r="W37" s="188"/>
      <c r="X37" s="188"/>
      <c r="Y37" s="188"/>
      <c r="Z37" s="188"/>
      <c r="AA37" s="188"/>
      <c r="AB37" s="188"/>
      <c r="AC37" s="188"/>
      <c r="AD37" s="188"/>
    </row>
    <row r="38" spans="1:30" ht="14.25">
      <c r="A38" s="195" t="str">
        <f>HLOOKUP(INDICE!$F$2,Nombres!$C$3:$D$636,184,FALSE)</f>
        <v>(*) Difference between lending yield on loans and cost of deposits from customers.</v>
      </c>
      <c r="B38" s="184"/>
      <c r="C38" s="184"/>
      <c r="D38" s="184"/>
      <c r="E38" s="184"/>
      <c r="F38" s="312"/>
      <c r="G38" s="312"/>
      <c r="H38" s="184"/>
      <c r="I38" s="184"/>
      <c r="K38" s="287"/>
      <c r="L38" s="287"/>
      <c r="M38" s="287"/>
      <c r="O38" s="188"/>
      <c r="P38" s="188"/>
      <c r="Q38" s="188"/>
      <c r="R38" s="188"/>
      <c r="W38" s="188"/>
      <c r="X38" s="188"/>
      <c r="Y38" s="188"/>
      <c r="Z38" s="188"/>
      <c r="AA38" s="188"/>
      <c r="AB38" s="188"/>
      <c r="AC38" s="188"/>
      <c r="AD38" s="188"/>
    </row>
    <row r="39" spans="1:30" ht="14.25">
      <c r="A39" s="195"/>
      <c r="B39" s="184"/>
      <c r="C39" s="184"/>
      <c r="D39" s="184"/>
      <c r="E39" s="184"/>
      <c r="F39" s="184"/>
      <c r="G39" s="284"/>
      <c r="H39" s="184"/>
      <c r="I39" s="184"/>
      <c r="K39" s="287"/>
      <c r="L39" s="287"/>
      <c r="M39" s="287"/>
      <c r="O39" s="188"/>
      <c r="P39" s="188"/>
      <c r="Q39" s="188"/>
      <c r="R39" s="188"/>
      <c r="W39" s="188"/>
      <c r="X39" s="188"/>
      <c r="Y39" s="188"/>
      <c r="Z39" s="188"/>
      <c r="AA39" s="188"/>
      <c r="AB39" s="188"/>
      <c r="AC39" s="188"/>
      <c r="AD39" s="188"/>
    </row>
    <row r="40" spans="1:30" ht="14.25">
      <c r="A40" s="195"/>
      <c r="K40" s="287"/>
      <c r="L40" s="287"/>
      <c r="M40" s="287"/>
      <c r="O40" s="188"/>
      <c r="P40" s="188"/>
      <c r="Q40" s="188"/>
      <c r="R40" s="188"/>
      <c r="W40" s="188"/>
      <c r="X40" s="188"/>
      <c r="Y40" s="188"/>
      <c r="Z40" s="188"/>
      <c r="AA40" s="188"/>
      <c r="AB40" s="188"/>
      <c r="AC40" s="188"/>
      <c r="AD40" s="188"/>
    </row>
    <row r="41" spans="15:18" ht="14.25">
      <c r="O41" s="188"/>
      <c r="P41" s="188"/>
      <c r="Q41" s="188"/>
      <c r="R41" s="188"/>
    </row>
    <row r="996" ht="14.25">
      <c r="A996" t="s">
        <v>396</v>
      </c>
    </row>
  </sheetData>
  <sheetProtection/>
  <mergeCells count="3">
    <mergeCell ref="B3:E3"/>
    <mergeCell ref="F3:I3"/>
    <mergeCell ref="F38:G38"/>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N996"/>
  <sheetViews>
    <sheetView showGridLines="0" zoomScalePageLayoutView="0" workbookViewId="0" topLeftCell="A1">
      <selection activeCell="A1" sqref="A1"/>
    </sheetView>
  </sheetViews>
  <sheetFormatPr defaultColWidth="11.421875" defaultRowHeight="15"/>
  <cols>
    <col min="1" max="1" width="42.421875" style="209" customWidth="1"/>
    <col min="2" max="2" width="13.57421875" style="209" bestFit="1" customWidth="1"/>
    <col min="3" max="4" width="11.421875" style="209" customWidth="1"/>
    <col min="5" max="5" width="11.7109375" style="209" bestFit="1" customWidth="1"/>
    <col min="6" max="9" width="11.421875" style="209" customWidth="1"/>
    <col min="10" max="10" width="4.7109375" style="208" customWidth="1"/>
    <col min="11" max="11" width="11.421875" style="209" customWidth="1"/>
    <col min="12" max="12" width="11.7109375" style="209" bestFit="1" customWidth="1"/>
    <col min="13" max="16384" width="11.421875" style="209" customWidth="1"/>
  </cols>
  <sheetData>
    <row r="1" spans="1:12" ht="16.5">
      <c r="A1" s="206" t="str">
        <f>HLOOKUP(INDICE!$F$2,Nombres!$C$3:$D$636,113,FALSE)</f>
        <v>Breakdown of performing loans under management</v>
      </c>
      <c r="B1" s="207"/>
      <c r="C1" s="207"/>
      <c r="D1" s="207"/>
      <c r="E1" s="207"/>
      <c r="F1" s="207"/>
      <c r="G1" s="207"/>
      <c r="H1" s="207"/>
      <c r="I1" s="207"/>
      <c r="L1" s="210"/>
    </row>
    <row r="2" spans="1:12" ht="14.25">
      <c r="A2" s="211" t="str">
        <f>HLOOKUP(INDICE!$F$2,Nombres!$C$3:$D$636,73,FALSE)</f>
        <v>(Constant million euros)    </v>
      </c>
      <c r="B2" s="210"/>
      <c r="C2" s="210"/>
      <c r="D2" s="210"/>
      <c r="E2" s="210"/>
      <c r="F2" s="210"/>
      <c r="L2" s="210"/>
    </row>
    <row r="3" spans="1:12" ht="14.25">
      <c r="A3" s="212"/>
      <c r="B3" s="210"/>
      <c r="C3" s="210"/>
      <c r="D3" s="210"/>
      <c r="E3" s="210"/>
      <c r="F3" s="210"/>
      <c r="L3" s="210"/>
    </row>
    <row r="4" spans="1:9" ht="15.75" customHeight="1">
      <c r="A4" s="213"/>
      <c r="B4" s="313" t="str">
        <f>HLOOKUP(INDICE!$F$2,Nombres!$C$3:$D$636,7,FALSE)</f>
        <v>Spain</v>
      </c>
      <c r="C4" s="313"/>
      <c r="D4" s="313"/>
      <c r="E4" s="313"/>
      <c r="F4" s="313"/>
      <c r="G4" s="313"/>
      <c r="H4" s="313"/>
      <c r="I4" s="313"/>
    </row>
    <row r="5" spans="1:12" ht="14.25">
      <c r="A5" s="214"/>
      <c r="B5" s="121">
        <f>+España!B30</f>
        <v>43921</v>
      </c>
      <c r="C5" s="121">
        <f>+España!C30</f>
        <v>44012</v>
      </c>
      <c r="D5" s="121">
        <f>+España!D30</f>
        <v>44104</v>
      </c>
      <c r="E5" s="121">
        <f>+España!E30</f>
        <v>44196</v>
      </c>
      <c r="F5" s="121">
        <f>+España!F30</f>
        <v>44286</v>
      </c>
      <c r="G5" s="121">
        <f>+España!G30</f>
        <v>44377</v>
      </c>
      <c r="H5" s="121">
        <f>+España!H30</f>
        <v>44469</v>
      </c>
      <c r="I5" s="121">
        <f>+España!I30</f>
        <v>44561</v>
      </c>
      <c r="L5" s="121"/>
    </row>
    <row r="6" spans="1:14" ht="14.25">
      <c r="A6" s="215" t="str">
        <f>HLOOKUP(INDICE!$F$2,Nombres!$C$3:$D$636,209,FALSE)</f>
        <v>Mortages</v>
      </c>
      <c r="B6" s="216">
        <v>71518.73296000001</v>
      </c>
      <c r="C6" s="216">
        <v>70700.413705</v>
      </c>
      <c r="D6" s="216">
        <v>70123.828433</v>
      </c>
      <c r="E6" s="216">
        <v>69966.69398400001</v>
      </c>
      <c r="F6" s="216">
        <v>69627.90255</v>
      </c>
      <c r="G6" s="216">
        <v>69670.178127</v>
      </c>
      <c r="H6" s="216">
        <v>69522.5832</v>
      </c>
      <c r="I6" s="216">
        <v>69478.950925</v>
      </c>
      <c r="L6" s="216"/>
      <c r="N6" s="271"/>
    </row>
    <row r="7" spans="1:14" ht="14.25">
      <c r="A7" s="215" t="str">
        <f>HLOOKUP(INDICE!$F$2,Nombres!$C$3:$D$636,210,FALSE)</f>
        <v>Consumer &amp; Credit Cards</v>
      </c>
      <c r="B7" s="216">
        <v>13534.321819000003</v>
      </c>
      <c r="C7" s="216">
        <v>13340.822999</v>
      </c>
      <c r="D7" s="216">
        <v>13586.875076999999</v>
      </c>
      <c r="E7" s="216">
        <v>13906.873101000001</v>
      </c>
      <c r="F7" s="216">
        <v>13943.287111</v>
      </c>
      <c r="G7" s="216">
        <v>14549.699296</v>
      </c>
      <c r="H7" s="216">
        <v>14789.349513000001</v>
      </c>
      <c r="I7" s="216">
        <v>15178.645015000002</v>
      </c>
      <c r="J7" s="302"/>
      <c r="L7" s="216"/>
      <c r="N7" s="271"/>
    </row>
    <row r="8" spans="1:14" ht="14.25">
      <c r="A8" s="215" t="str">
        <f>HLOOKUP(INDICE!$F$2,Nombres!$C$3:$D$636,211,FALSE)</f>
        <v>Very small business</v>
      </c>
      <c r="B8" s="216">
        <v>13758.71167</v>
      </c>
      <c r="C8" s="216">
        <v>14850.759939</v>
      </c>
      <c r="D8" s="216">
        <v>15037.313578</v>
      </c>
      <c r="E8" s="216">
        <v>15347.878110999998</v>
      </c>
      <c r="F8" s="216">
        <v>15357.717637</v>
      </c>
      <c r="G8" s="216">
        <v>15370.643759999999</v>
      </c>
      <c r="H8" s="216">
        <v>15362.27056</v>
      </c>
      <c r="I8" s="216">
        <v>15518.812504999998</v>
      </c>
      <c r="J8" s="302"/>
      <c r="L8" s="216"/>
      <c r="N8" s="271"/>
    </row>
    <row r="9" spans="1:14" ht="14.25">
      <c r="A9" s="215" t="str">
        <f>HLOOKUP(INDICE!$F$2,Nombres!$C$3:$D$636,212,FALSE)</f>
        <v>Mid-size companies</v>
      </c>
      <c r="B9" s="216">
        <v>17087.961375</v>
      </c>
      <c r="C9" s="216">
        <v>18043.224456</v>
      </c>
      <c r="D9" s="216">
        <v>17806.629531</v>
      </c>
      <c r="E9" s="216">
        <v>18191.853354999996</v>
      </c>
      <c r="F9" s="216">
        <v>18358.452911</v>
      </c>
      <c r="G9" s="216">
        <v>18984.634033</v>
      </c>
      <c r="H9" s="216">
        <v>19328.344112</v>
      </c>
      <c r="I9" s="216">
        <v>20049.488617999996</v>
      </c>
      <c r="J9" s="302"/>
      <c r="L9" s="216"/>
      <c r="N9" s="271"/>
    </row>
    <row r="10" spans="1:14" ht="14.25">
      <c r="A10" s="215" t="str">
        <f>HLOOKUP(INDICE!$F$2,Nombres!$C$3:$D$636,213,FALSE)</f>
        <v>Corporates + CIB</v>
      </c>
      <c r="B10" s="216">
        <v>24784.800433</v>
      </c>
      <c r="C10" s="216">
        <v>25217.900889</v>
      </c>
      <c r="D10" s="216">
        <v>24353.853535</v>
      </c>
      <c r="E10" s="216">
        <v>23846.199391000002</v>
      </c>
      <c r="F10" s="216">
        <v>23286.409966</v>
      </c>
      <c r="G10" s="216">
        <v>22899.869162</v>
      </c>
      <c r="H10" s="216">
        <v>22789.49358037</v>
      </c>
      <c r="I10" s="216">
        <v>24100.984218</v>
      </c>
      <c r="L10" s="216"/>
      <c r="N10" s="271"/>
    </row>
    <row r="11" spans="1:14" ht="14.25">
      <c r="A11" s="215" t="str">
        <f>HLOOKUP(INDICE!$F$2,Nombres!$C$3:$D$636,214,FALSE)</f>
        <v>Public Sector</v>
      </c>
      <c r="B11" s="216">
        <v>15193.973657</v>
      </c>
      <c r="C11" s="216">
        <v>16255.107344999999</v>
      </c>
      <c r="D11" s="216">
        <v>13834.594334000001</v>
      </c>
      <c r="E11" s="216">
        <v>13835.933625000001</v>
      </c>
      <c r="F11" s="216">
        <v>13792.066191999998</v>
      </c>
      <c r="G11" s="216">
        <v>15820.083642999998</v>
      </c>
      <c r="H11" s="216">
        <v>13945.046287</v>
      </c>
      <c r="I11" s="216">
        <v>13631.872726999998</v>
      </c>
      <c r="L11" s="216"/>
      <c r="N11" s="271"/>
    </row>
    <row r="12" spans="1:14" ht="15.75" customHeight="1">
      <c r="A12" s="215" t="str">
        <f>HLOOKUP(INDICE!$F$2,Nombres!$C$3:$D$636,215,FALSE)</f>
        <v>Other</v>
      </c>
      <c r="B12" s="216">
        <v>9907.910757619979</v>
      </c>
      <c r="C12" s="216">
        <v>10120.075049569983</v>
      </c>
      <c r="D12" s="216">
        <v>9314.751923999998</v>
      </c>
      <c r="E12" s="216">
        <v>10415.683194000008</v>
      </c>
      <c r="F12" s="216">
        <v>9135.391748999993</v>
      </c>
      <c r="G12" s="216">
        <v>9969.974399999996</v>
      </c>
      <c r="H12" s="216">
        <v>10151.696183999991</v>
      </c>
      <c r="I12" s="216">
        <v>10292.275051000006</v>
      </c>
      <c r="L12" s="216"/>
      <c r="N12" s="271"/>
    </row>
    <row r="13" spans="1:14" ht="14.25">
      <c r="A13" s="217" t="str">
        <f>HLOOKUP(INDICE!$F$2,Nombres!$C$3:$D$636,112,FALSE)</f>
        <v>Performing Loans under management (*)</v>
      </c>
      <c r="B13" s="218">
        <v>165786.41267162</v>
      </c>
      <c r="C13" s="218">
        <v>168528.30438256997</v>
      </c>
      <c r="D13" s="218">
        <v>164057.846412</v>
      </c>
      <c r="E13" s="218">
        <v>165511.11476100003</v>
      </c>
      <c r="F13" s="218">
        <v>163501.22811599998</v>
      </c>
      <c r="G13" s="218">
        <v>167265.082421</v>
      </c>
      <c r="H13" s="218">
        <v>165888.78343637</v>
      </c>
      <c r="I13" s="218">
        <v>168251.029059</v>
      </c>
      <c r="L13" s="217"/>
      <c r="N13" s="271"/>
    </row>
    <row r="14" spans="1:14" ht="14.25">
      <c r="A14" s="210"/>
      <c r="B14" s="219">
        <f>+SUM(B6:B12)-B13</f>
        <v>0</v>
      </c>
      <c r="C14" s="219">
        <f aca="true" t="shared" si="0" ref="C14:I14">+SUM(C6:C12)-C13</f>
        <v>0</v>
      </c>
      <c r="D14" s="219">
        <f t="shared" si="0"/>
        <v>0</v>
      </c>
      <c r="E14" s="219">
        <f t="shared" si="0"/>
        <v>0</v>
      </c>
      <c r="F14" s="219">
        <f t="shared" si="0"/>
        <v>0</v>
      </c>
      <c r="G14" s="219">
        <f t="shared" si="0"/>
        <v>0</v>
      </c>
      <c r="H14" s="219">
        <f t="shared" si="0"/>
        <v>0</v>
      </c>
      <c r="I14" s="219">
        <f t="shared" si="0"/>
        <v>0</v>
      </c>
      <c r="L14" s="220"/>
      <c r="N14" s="271"/>
    </row>
    <row r="15" spans="1:14" ht="14.25">
      <c r="A15" s="304"/>
      <c r="B15" s="216"/>
      <c r="C15" s="216"/>
      <c r="D15" s="216"/>
      <c r="E15" s="216"/>
      <c r="F15" s="216"/>
      <c r="G15" s="216"/>
      <c r="H15" s="216"/>
      <c r="I15" s="216"/>
      <c r="L15" s="216"/>
      <c r="N15" s="271"/>
    </row>
    <row r="16" spans="1:12" ht="14.25">
      <c r="A16" s="210"/>
      <c r="B16" s="221"/>
      <c r="C16" s="221"/>
      <c r="D16" s="221"/>
      <c r="E16" s="221"/>
      <c r="F16" s="221"/>
      <c r="L16" s="221"/>
    </row>
    <row r="17" spans="1:9" ht="14.25">
      <c r="A17" s="213"/>
      <c r="B17" s="313" t="str">
        <f>HLOOKUP(INDICE!$F$2,Nombres!$C$3:$D$636,204,FALSE)</f>
        <v>Mexico (***)</v>
      </c>
      <c r="C17" s="313"/>
      <c r="D17" s="313"/>
      <c r="E17" s="313"/>
      <c r="F17" s="313"/>
      <c r="G17" s="313"/>
      <c r="H17" s="313"/>
      <c r="I17" s="313"/>
    </row>
    <row r="18" spans="1:12" ht="14.25">
      <c r="A18" s="214"/>
      <c r="B18" s="121">
        <f>+B$5</f>
        <v>43921</v>
      </c>
      <c r="C18" s="121">
        <f aca="true" t="shared" si="1" ref="C18:I18">+C$5</f>
        <v>44012</v>
      </c>
      <c r="D18" s="121">
        <f t="shared" si="1"/>
        <v>44104</v>
      </c>
      <c r="E18" s="121">
        <f t="shared" si="1"/>
        <v>44196</v>
      </c>
      <c r="F18" s="121">
        <f t="shared" si="1"/>
        <v>44286</v>
      </c>
      <c r="G18" s="121">
        <f t="shared" si="1"/>
        <v>44377</v>
      </c>
      <c r="H18" s="121">
        <f t="shared" si="1"/>
        <v>44469</v>
      </c>
      <c r="I18" s="121">
        <f t="shared" si="1"/>
        <v>44561</v>
      </c>
      <c r="L18" s="53"/>
    </row>
    <row r="19" spans="1:14" ht="14.25">
      <c r="A19" s="215" t="str">
        <f>HLOOKUP(INDICE!$F$2,Nombres!$C$3:$D$636,105,FALSE)</f>
        <v>Mortages</v>
      </c>
      <c r="B19" s="216">
        <v>10121.075617906854</v>
      </c>
      <c r="C19" s="216">
        <v>10458.13866690185</v>
      </c>
      <c r="D19" s="216">
        <v>10554.156431390074</v>
      </c>
      <c r="E19" s="216">
        <v>10730.260372108298</v>
      </c>
      <c r="F19" s="216">
        <v>10907.055119852792</v>
      </c>
      <c r="G19" s="216">
        <v>11145.937624511263</v>
      </c>
      <c r="H19" s="216">
        <v>11426.790651503783</v>
      </c>
      <c r="I19" s="216">
        <v>11776.242449381692</v>
      </c>
      <c r="L19" s="216"/>
      <c r="N19" s="271"/>
    </row>
    <row r="20" spans="1:14" ht="14.25">
      <c r="A20" s="215" t="str">
        <f>HLOOKUP(INDICE!$F$2,Nombres!$C$3:$D$636,106,FALSE)</f>
        <v>Consumer</v>
      </c>
      <c r="B20" s="216">
        <v>8256.07826154348</v>
      </c>
      <c r="C20" s="216">
        <v>8061.192611311025</v>
      </c>
      <c r="D20" s="216">
        <v>7991.669097684487</v>
      </c>
      <c r="E20" s="216">
        <v>7677.736586040322</v>
      </c>
      <c r="F20" s="216">
        <v>7703.799943151942</v>
      </c>
      <c r="G20" s="216">
        <v>7794.203624782025</v>
      </c>
      <c r="H20" s="216">
        <v>7966.670787565573</v>
      </c>
      <c r="I20" s="216">
        <v>8038.783605112385</v>
      </c>
      <c r="L20" s="216"/>
      <c r="N20" s="271"/>
    </row>
    <row r="21" spans="1:14" ht="15.75" customHeight="1">
      <c r="A21" s="215" t="str">
        <f>HLOOKUP(INDICE!$F$2,Nombres!$C$3:$D$636,107,FALSE)</f>
        <v>Credit Cards</v>
      </c>
      <c r="B21" s="216">
        <v>4558.669801669999</v>
      </c>
      <c r="C21" s="216">
        <v>4405.678696405525</v>
      </c>
      <c r="D21" s="216">
        <v>4459.771430013656</v>
      </c>
      <c r="E21" s="216">
        <v>4510.927332590154</v>
      </c>
      <c r="F21" s="216">
        <v>4382.939536099513</v>
      </c>
      <c r="G21" s="216">
        <v>4595.293797722065</v>
      </c>
      <c r="H21" s="216">
        <v>4771.259964665694</v>
      </c>
      <c r="I21" s="216">
        <v>5117.0507868197965</v>
      </c>
      <c r="L21" s="216"/>
      <c r="N21" s="271"/>
    </row>
    <row r="22" spans="1:14" ht="14.25">
      <c r="A22" s="215" t="str">
        <f>HLOOKUP(INDICE!$F$2,Nombres!$C$3:$D$636,110,FALSE)</f>
        <v>SMEs</v>
      </c>
      <c r="B22" s="216">
        <v>3149.7638329429897</v>
      </c>
      <c r="C22" s="216">
        <v>3157.478001108229</v>
      </c>
      <c r="D22" s="216">
        <v>3104.865913502986</v>
      </c>
      <c r="E22" s="216">
        <v>2974.6627606529614</v>
      </c>
      <c r="F22" s="216">
        <v>3067.89984900433</v>
      </c>
      <c r="G22" s="216">
        <v>3234.756172704185</v>
      </c>
      <c r="H22" s="216">
        <v>3381.6783247164603</v>
      </c>
      <c r="I22" s="216">
        <v>3433.619371062661</v>
      </c>
      <c r="L22" s="216"/>
      <c r="N22" s="271"/>
    </row>
    <row r="23" spans="1:14" ht="14.25">
      <c r="A23" s="215" t="str">
        <f>HLOOKUP(INDICE!$F$2,Nombres!$C$3:$D$636,216,FALSE)</f>
        <v>Other Retail</v>
      </c>
      <c r="B23" s="216">
        <v>95.4925728704863</v>
      </c>
      <c r="C23" s="216">
        <v>82.893114232319</v>
      </c>
      <c r="D23" s="216">
        <v>82.92459501335284</v>
      </c>
      <c r="E23" s="216">
        <v>82.4410857335442</v>
      </c>
      <c r="F23" s="216">
        <v>74.32841181050581</v>
      </c>
      <c r="G23" s="216">
        <v>74.2961177235385</v>
      </c>
      <c r="H23" s="216">
        <v>74.25912209144342</v>
      </c>
      <c r="I23" s="216">
        <v>74.31795988558491</v>
      </c>
      <c r="L23" s="216"/>
      <c r="N23" s="271"/>
    </row>
    <row r="24" spans="1:14" ht="14.25">
      <c r="A24" s="215" t="str">
        <f>HLOOKUP(INDICE!$F$2,Nombres!$C$3:$D$636,217,FALSE)</f>
        <v>Other Commercial</v>
      </c>
      <c r="B24" s="216">
        <v>26740.016910213093</v>
      </c>
      <c r="C24" s="216">
        <v>25523.37736062447</v>
      </c>
      <c r="D24" s="216">
        <v>23876.17525687395</v>
      </c>
      <c r="E24" s="216">
        <v>21906.81737657602</v>
      </c>
      <c r="F24" s="216">
        <v>22411.621051497565</v>
      </c>
      <c r="G24" s="216">
        <v>21962.50847981863</v>
      </c>
      <c r="H24" s="216">
        <v>21789.494064720497</v>
      </c>
      <c r="I24" s="216">
        <v>22500.194436522957</v>
      </c>
      <c r="L24" s="216"/>
      <c r="N24" s="271"/>
    </row>
    <row r="25" spans="1:14" ht="14.25">
      <c r="A25" s="215" t="str">
        <f>HLOOKUP(INDICE!$F$2,Nombres!$C$3:$D$636,108,FALSE)</f>
        <v>Public Sector</v>
      </c>
      <c r="B25" s="216">
        <v>4155.534301540998</v>
      </c>
      <c r="C25" s="216">
        <v>4102.5807911954325</v>
      </c>
      <c r="D25" s="216">
        <v>4264.0208559644825</v>
      </c>
      <c r="E25" s="216">
        <v>4717.851001132053</v>
      </c>
      <c r="F25" s="216">
        <v>4827.087470387093</v>
      </c>
      <c r="G25" s="216">
        <v>4892.736991016417</v>
      </c>
      <c r="H25" s="216">
        <v>4988.653349691696</v>
      </c>
      <c r="I25" s="216">
        <v>5094.280109575783</v>
      </c>
      <c r="L25" s="216"/>
      <c r="N25" s="271"/>
    </row>
    <row r="26" spans="1:14" ht="14.25">
      <c r="A26" s="217" t="str">
        <f>HLOOKUP(INDICE!$F$2,Nombres!$C$3:$D$636,112,FALSE)</f>
        <v>Performing Loans under management (*)</v>
      </c>
      <c r="B26" s="218">
        <v>57076.6312986879</v>
      </c>
      <c r="C26" s="218">
        <v>55791.33924177885</v>
      </c>
      <c r="D26" s="218">
        <v>54333.58358044299</v>
      </c>
      <c r="E26" s="218">
        <v>52600.69651483335</v>
      </c>
      <c r="F26" s="218">
        <v>53374.73138180374</v>
      </c>
      <c r="G26" s="218">
        <v>53699.73280827813</v>
      </c>
      <c r="H26" s="218">
        <v>54398.80626495515</v>
      </c>
      <c r="I26" s="218">
        <v>56034.48871836086</v>
      </c>
      <c r="J26" s="298"/>
      <c r="L26" s="222"/>
      <c r="N26" s="271"/>
    </row>
    <row r="27" spans="1:14" ht="14.25">
      <c r="A27" s="226" t="str">
        <f>HLOOKUP(INDICE!$F$2,Nombres!$C$3:$D$636,205,FALSE)</f>
        <v>According to Local GAAP(***) </v>
      </c>
      <c r="B27" s="219">
        <f>+SUM(B19:B25)-B26</f>
        <v>0</v>
      </c>
      <c r="C27" s="219">
        <f aca="true" t="shared" si="2" ref="C27:I27">+SUM(C19:C25)-C26</f>
        <v>0</v>
      </c>
      <c r="D27" s="219">
        <f t="shared" si="2"/>
        <v>0</v>
      </c>
      <c r="E27" s="219">
        <f t="shared" si="2"/>
        <v>0</v>
      </c>
      <c r="F27" s="219">
        <f t="shared" si="2"/>
        <v>0</v>
      </c>
      <c r="G27" s="219">
        <f t="shared" si="2"/>
        <v>0</v>
      </c>
      <c r="H27" s="219">
        <f t="shared" si="2"/>
        <v>0</v>
      </c>
      <c r="I27" s="219">
        <f t="shared" si="2"/>
        <v>0</v>
      </c>
      <c r="L27" s="223"/>
      <c r="N27" s="271"/>
    </row>
    <row r="28" spans="1:14" ht="14.25">
      <c r="A28" s="304"/>
      <c r="B28" s="216"/>
      <c r="C28" s="216"/>
      <c r="D28" s="216"/>
      <c r="E28" s="216"/>
      <c r="F28" s="216"/>
      <c r="G28" s="216"/>
      <c r="H28" s="216"/>
      <c r="I28" s="216"/>
      <c r="L28" s="216"/>
      <c r="N28" s="271"/>
    </row>
    <row r="29" spans="2:12" ht="14.25">
      <c r="B29" s="221"/>
      <c r="C29" s="221"/>
      <c r="D29" s="221"/>
      <c r="E29" s="221"/>
      <c r="F29" s="221"/>
      <c r="L29" s="224"/>
    </row>
    <row r="30" spans="1:12" ht="15.75" customHeight="1">
      <c r="A30" s="213"/>
      <c r="B30" s="313" t="str">
        <f>HLOOKUP(INDICE!$F$2,Nombres!$C$3:$D$636,12,FALSE)</f>
        <v>Turkey </v>
      </c>
      <c r="C30" s="313"/>
      <c r="D30" s="313"/>
      <c r="E30" s="313"/>
      <c r="F30" s="313"/>
      <c r="G30" s="313"/>
      <c r="H30" s="313"/>
      <c r="I30" s="313"/>
      <c r="L30" s="225"/>
    </row>
    <row r="31" spans="1:12" ht="14.25">
      <c r="A31" s="214"/>
      <c r="B31" s="121">
        <f>+B$5</f>
        <v>43921</v>
      </c>
      <c r="C31" s="121">
        <f aca="true" t="shared" si="3" ref="C31:I31">+C$5</f>
        <v>44012</v>
      </c>
      <c r="D31" s="121">
        <f t="shared" si="3"/>
        <v>44104</v>
      </c>
      <c r="E31" s="121">
        <f t="shared" si="3"/>
        <v>44196</v>
      </c>
      <c r="F31" s="121">
        <f t="shared" si="3"/>
        <v>44286</v>
      </c>
      <c r="G31" s="121">
        <f t="shared" si="3"/>
        <v>44377</v>
      </c>
      <c r="H31" s="121">
        <f t="shared" si="3"/>
        <v>44469</v>
      </c>
      <c r="I31" s="121">
        <f t="shared" si="3"/>
        <v>44561</v>
      </c>
      <c r="L31" s="53"/>
    </row>
    <row r="32" spans="1:14" ht="14.25">
      <c r="A32" s="215" t="str">
        <f>HLOOKUP(INDICE!$F$2,Nombres!$C$3:$D$636,105,FALSE)</f>
        <v>Mortages</v>
      </c>
      <c r="B32" s="216">
        <v>1345.4132898852217</v>
      </c>
      <c r="C32" s="216">
        <v>1340.1519186455262</v>
      </c>
      <c r="D32" s="216">
        <v>1391.0508068566428</v>
      </c>
      <c r="E32" s="216">
        <v>1405.2657517697508</v>
      </c>
      <c r="F32" s="216">
        <v>1476.1336644562955</v>
      </c>
      <c r="G32" s="216">
        <v>1517.8580521994604</v>
      </c>
      <c r="H32" s="216">
        <v>1615.7618914601035</v>
      </c>
      <c r="I32" s="216">
        <v>1671.55264365</v>
      </c>
      <c r="L32" s="216"/>
      <c r="N32" s="271"/>
    </row>
    <row r="33" spans="1:14" ht="14.25">
      <c r="A33" s="215" t="str">
        <f>HLOOKUP(INDICE!$F$2,Nombres!$C$3:$D$636,106,FALSE)</f>
        <v>Consumer</v>
      </c>
      <c r="B33" s="216">
        <v>2765.9697281782956</v>
      </c>
      <c r="C33" s="216">
        <v>2971.4844617897506</v>
      </c>
      <c r="D33" s="216">
        <v>3218.272064938858</v>
      </c>
      <c r="E33" s="216">
        <v>3365.394993823896</v>
      </c>
      <c r="F33" s="216">
        <v>3719.0025243303767</v>
      </c>
      <c r="G33" s="216">
        <v>4034.174339122431</v>
      </c>
      <c r="H33" s="216">
        <v>4406.614428163499</v>
      </c>
      <c r="I33" s="216">
        <v>4935.13419137</v>
      </c>
      <c r="L33" s="216"/>
      <c r="N33" s="271"/>
    </row>
    <row r="34" spans="1:14" ht="14.25">
      <c r="A34" s="215" t="str">
        <f>HLOOKUP(INDICE!$F$2,Nombres!$C$3:$D$636,107,FALSE)</f>
        <v>Credit Cards</v>
      </c>
      <c r="B34" s="216">
        <v>1581.2666275423642</v>
      </c>
      <c r="C34" s="216">
        <v>1618.3154768547236</v>
      </c>
      <c r="D34" s="216">
        <v>1850.8758310936366</v>
      </c>
      <c r="E34" s="216">
        <v>1949.5399656062928</v>
      </c>
      <c r="F34" s="216">
        <v>2095.6020005345918</v>
      </c>
      <c r="G34" s="216">
        <v>2214.719184833832</v>
      </c>
      <c r="H34" s="216">
        <v>2496.6451751300583</v>
      </c>
      <c r="I34" s="216">
        <v>2814.3580000000006</v>
      </c>
      <c r="L34" s="216"/>
      <c r="N34" s="271"/>
    </row>
    <row r="35" spans="1:14" ht="14.25">
      <c r="A35" s="215" t="str">
        <f>HLOOKUP(INDICE!$F$2,Nombres!$C$3:$D$636,108,FALSE)</f>
        <v>Public Sector</v>
      </c>
      <c r="B35" s="216">
        <v>45.5070500805407</v>
      </c>
      <c r="C35" s="216">
        <v>97.17937057169982</v>
      </c>
      <c r="D35" s="216">
        <v>104.50037391262802</v>
      </c>
      <c r="E35" s="216">
        <v>106.25479171585381</v>
      </c>
      <c r="F35" s="216">
        <v>104.84754652622115</v>
      </c>
      <c r="G35" s="216">
        <v>104.41530797307476</v>
      </c>
      <c r="H35" s="216">
        <v>92.94756052837987</v>
      </c>
      <c r="I35" s="216">
        <v>232.46300000000002</v>
      </c>
      <c r="L35" s="216"/>
      <c r="N35" s="271"/>
    </row>
    <row r="36" spans="1:14" ht="14.25">
      <c r="A36" s="215" t="str">
        <f>HLOOKUP(INDICE!$F$2,Nombres!$C$3:$D$636,109,FALSE)</f>
        <v>Financial and Non Financial Companies</v>
      </c>
      <c r="B36" s="216">
        <v>12613.204369457528</v>
      </c>
      <c r="C36" s="216">
        <v>14106.636564018716</v>
      </c>
      <c r="D36" s="216">
        <v>14686.429891536522</v>
      </c>
      <c r="E36" s="216">
        <v>14714.586096923162</v>
      </c>
      <c r="F36" s="216">
        <v>15231.9080514028</v>
      </c>
      <c r="G36" s="216">
        <v>15949.744870659848</v>
      </c>
      <c r="H36" s="216">
        <v>16711.170032837595</v>
      </c>
      <c r="I36" s="216">
        <v>20548.894999999997</v>
      </c>
      <c r="L36" s="216"/>
      <c r="N36" s="271"/>
    </row>
    <row r="37" spans="1:14" ht="14.25">
      <c r="A37" s="215" t="str">
        <f>HLOOKUP(INDICE!$F$2,Nombres!$C$3:$D$636,111,FALSE)</f>
        <v>Others</v>
      </c>
      <c r="B37" s="216">
        <v>321.3976208957971</v>
      </c>
      <c r="C37" s="216">
        <v>288.7342230694228</v>
      </c>
      <c r="D37" s="216">
        <v>362.3728784855077</v>
      </c>
      <c r="E37" s="216">
        <v>376.93811383902204</v>
      </c>
      <c r="F37" s="216">
        <v>435.09968611969254</v>
      </c>
      <c r="G37" s="216">
        <v>455.30926650137667</v>
      </c>
      <c r="H37" s="216">
        <v>482.52314209793707</v>
      </c>
      <c r="I37" s="216">
        <v>407.18216498000004</v>
      </c>
      <c r="L37" s="216"/>
      <c r="N37" s="271"/>
    </row>
    <row r="38" spans="1:14" ht="14.25">
      <c r="A38" s="217" t="str">
        <f>HLOOKUP(INDICE!$F$2,Nombres!$C$3:$D$636,112,FALSE)</f>
        <v>Performing Loans under management (*)</v>
      </c>
      <c r="B38" s="218">
        <v>18672.75868603975</v>
      </c>
      <c r="C38" s="218">
        <v>20422.502014949838</v>
      </c>
      <c r="D38" s="218">
        <v>21613.501846823798</v>
      </c>
      <c r="E38" s="218">
        <v>21917.97971367798</v>
      </c>
      <c r="F38" s="218">
        <v>23062.593473369976</v>
      </c>
      <c r="G38" s="218">
        <v>24276.221021290025</v>
      </c>
      <c r="H38" s="218">
        <v>25805.66223021757</v>
      </c>
      <c r="I38" s="218">
        <v>30609.584999999995</v>
      </c>
      <c r="L38" s="216"/>
      <c r="N38" s="271"/>
    </row>
    <row r="39" spans="1:14" ht="15.75" customHeight="1">
      <c r="A39" s="217"/>
      <c r="B39" s="218"/>
      <c r="C39" s="218"/>
      <c r="D39" s="218"/>
      <c r="E39" s="218"/>
      <c r="F39" s="218"/>
      <c r="G39" s="218"/>
      <c r="H39" s="218"/>
      <c r="I39" s="218"/>
      <c r="L39" s="222"/>
      <c r="N39" s="271"/>
    </row>
    <row r="40" spans="1:12" ht="15.75" customHeight="1">
      <c r="A40" s="217"/>
      <c r="B40" s="218"/>
      <c r="C40" s="218"/>
      <c r="D40" s="218"/>
      <c r="E40" s="218"/>
      <c r="F40" s="218"/>
      <c r="G40" s="218"/>
      <c r="H40" s="218"/>
      <c r="I40" s="218"/>
      <c r="L40" s="223"/>
    </row>
    <row r="41" spans="1:12" ht="14.25">
      <c r="A41" s="217"/>
      <c r="B41" s="218"/>
      <c r="C41" s="218"/>
      <c r="D41" s="218"/>
      <c r="E41" s="218"/>
      <c r="F41" s="218"/>
      <c r="G41" s="218"/>
      <c r="H41" s="218"/>
      <c r="I41" s="218"/>
      <c r="L41" s="216"/>
    </row>
    <row r="42" spans="1:12" ht="15.75" customHeight="1">
      <c r="A42" s="213"/>
      <c r="B42" s="313" t="str">
        <f>HLOOKUP(INDICE!$F$2,Nombres!$C$3:$D$636,296,FALSE)</f>
        <v>Turkey Bank only</v>
      </c>
      <c r="C42" s="313"/>
      <c r="D42" s="313"/>
      <c r="E42" s="313"/>
      <c r="F42" s="313"/>
      <c r="G42" s="313"/>
      <c r="H42" s="313"/>
      <c r="I42" s="313"/>
      <c r="L42" s="221"/>
    </row>
    <row r="43" spans="1:13" ht="14.25">
      <c r="A43" s="214"/>
      <c r="B43" s="121">
        <f>+B$5</f>
        <v>43921</v>
      </c>
      <c r="C43" s="121">
        <f aca="true" t="shared" si="4" ref="C43:I43">+C$5</f>
        <v>44012</v>
      </c>
      <c r="D43" s="121">
        <f t="shared" si="4"/>
        <v>44104</v>
      </c>
      <c r="E43" s="121">
        <f t="shared" si="4"/>
        <v>44196</v>
      </c>
      <c r="F43" s="121">
        <f t="shared" si="4"/>
        <v>44286</v>
      </c>
      <c r="G43" s="121">
        <f t="shared" si="4"/>
        <v>44377</v>
      </c>
      <c r="H43" s="121">
        <f t="shared" si="4"/>
        <v>44469</v>
      </c>
      <c r="I43" s="121">
        <f t="shared" si="4"/>
        <v>44561</v>
      </c>
      <c r="L43" s="227"/>
      <c r="M43" s="227"/>
    </row>
    <row r="44" spans="1:13" ht="14.25">
      <c r="A44" s="215" t="str">
        <f>HLOOKUP(INDICE!$F$2,Nombres!$C$3:$D$636,285,FALSE)</f>
        <v>Retail Loans TL</v>
      </c>
      <c r="B44" s="216">
        <v>5852.669631783441</v>
      </c>
      <c r="C44" s="216">
        <v>6073.457844642991</v>
      </c>
      <c r="D44" s="216">
        <v>6567.408946715624</v>
      </c>
      <c r="E44" s="216">
        <v>6907.98812055831</v>
      </c>
      <c r="F44" s="216">
        <v>7526.975106012869</v>
      </c>
      <c r="G44" s="216">
        <v>8056.79476748902</v>
      </c>
      <c r="H44" s="216">
        <v>8879.117929761183</v>
      </c>
      <c r="I44" s="216">
        <v>9607.293359134605</v>
      </c>
      <c r="L44" s="53"/>
      <c r="M44" s="227"/>
    </row>
    <row r="45" spans="1:14" ht="14.25">
      <c r="A45" s="215" t="str">
        <f>HLOOKUP(INDICE!$F$2,Nombres!$C$3:$D$636,286,FALSE)</f>
        <v>Commercial Loans TL</v>
      </c>
      <c r="B45" s="216">
        <v>4690.959821176352</v>
      </c>
      <c r="C45" s="216">
        <v>6207.937348987405</v>
      </c>
      <c r="D45" s="216">
        <v>6120.561203384649</v>
      </c>
      <c r="E45" s="216">
        <v>6544.209658937197</v>
      </c>
      <c r="F45" s="216">
        <v>6721.110945275211</v>
      </c>
      <c r="G45" s="216">
        <v>7139.885835955627</v>
      </c>
      <c r="H45" s="216">
        <v>7577.578529977354</v>
      </c>
      <c r="I45" s="216">
        <v>7621.520964456642</v>
      </c>
      <c r="L45" s="216"/>
      <c r="M45" s="227"/>
      <c r="N45" s="271"/>
    </row>
    <row r="46" spans="1:14" ht="14.25">
      <c r="A46" s="217" t="str">
        <f>HLOOKUP(INDICE!$F$2,Nombres!$C$3:$D$636,287,FALSE)</f>
        <v>Total Loans TL</v>
      </c>
      <c r="B46" s="218">
        <v>10543.629452959794</v>
      </c>
      <c r="C46" s="218">
        <v>12281.395193630397</v>
      </c>
      <c r="D46" s="218">
        <v>12687.970150100271</v>
      </c>
      <c r="E46" s="218">
        <v>13452.197779495507</v>
      </c>
      <c r="F46" s="218">
        <v>14248.086051288079</v>
      </c>
      <c r="G46" s="218">
        <v>15196.680603444649</v>
      </c>
      <c r="H46" s="218">
        <v>16456.696459738538</v>
      </c>
      <c r="I46" s="218">
        <v>17228.814323591247</v>
      </c>
      <c r="L46" s="216"/>
      <c r="M46" s="227"/>
      <c r="N46" s="271"/>
    </row>
    <row r="47" spans="1:14" ht="14.25">
      <c r="A47" s="217" t="str">
        <f>HLOOKUP(INDICE!$F$2,Nombres!$C$3:$D$636,288,FALSE)</f>
        <v>Total Loans FC</v>
      </c>
      <c r="B47" s="218">
        <v>11886.301447316702</v>
      </c>
      <c r="C47" s="218">
        <v>11674.997034942962</v>
      </c>
      <c r="D47" s="218">
        <v>11362.033337086561</v>
      </c>
      <c r="E47" s="218">
        <v>11003.798903471898</v>
      </c>
      <c r="F47" s="218">
        <v>10395.952052915076</v>
      </c>
      <c r="G47" s="218">
        <v>10352.271123416922</v>
      </c>
      <c r="H47" s="218">
        <v>10099.252956550565</v>
      </c>
      <c r="I47" s="218">
        <v>9535.63859128647</v>
      </c>
      <c r="L47" s="216"/>
      <c r="M47" s="227"/>
      <c r="N47" s="271"/>
    </row>
    <row r="48" spans="1:14" ht="14.25">
      <c r="A48" s="226" t="str">
        <f>HLOOKUP(INDICE!$F$2,Nombres!$C$3:$D$636,295,FALSE)</f>
        <v>(TL Turkish Lira FC Foreign Currency)</v>
      </c>
      <c r="B48" s="219">
        <f>+SUM(B32:B37)-B38</f>
        <v>0</v>
      </c>
      <c r="C48" s="219">
        <f aca="true" t="shared" si="5" ref="C48:I48">+SUM(C32:C37)-C38</f>
        <v>0</v>
      </c>
      <c r="D48" s="219">
        <f t="shared" si="5"/>
        <v>0</v>
      </c>
      <c r="E48" s="219">
        <f t="shared" si="5"/>
        <v>0</v>
      </c>
      <c r="F48" s="219">
        <f t="shared" si="5"/>
        <v>0</v>
      </c>
      <c r="G48" s="219">
        <f t="shared" si="5"/>
        <v>0</v>
      </c>
      <c r="H48" s="219">
        <f t="shared" si="5"/>
        <v>0</v>
      </c>
      <c r="I48" s="219">
        <f t="shared" si="5"/>
        <v>0</v>
      </c>
      <c r="L48" s="216"/>
      <c r="M48" s="227"/>
      <c r="N48" s="271"/>
    </row>
    <row r="49" spans="1:14" ht="14.25">
      <c r="A49" s="210"/>
      <c r="B49" s="220"/>
      <c r="C49" s="220"/>
      <c r="D49" s="220"/>
      <c r="E49" s="220"/>
      <c r="F49" s="220"/>
      <c r="G49" s="220"/>
      <c r="H49" s="220"/>
      <c r="I49" s="220"/>
      <c r="L49" s="215"/>
      <c r="M49" s="227"/>
      <c r="N49" s="271"/>
    </row>
    <row r="50" spans="1:14" ht="14.25">
      <c r="A50" s="210"/>
      <c r="B50" s="220"/>
      <c r="C50" s="220"/>
      <c r="D50" s="220"/>
      <c r="E50" s="220"/>
      <c r="F50" s="220"/>
      <c r="G50" s="220"/>
      <c r="H50" s="220"/>
      <c r="I50" s="220"/>
      <c r="L50" s="215"/>
      <c r="M50" s="227"/>
      <c r="N50" s="271"/>
    </row>
    <row r="51" spans="1:14" ht="15.75" customHeight="1">
      <c r="A51" s="213"/>
      <c r="B51" s="313" t="str">
        <f>HLOOKUP(INDICE!$F$2,Nombres!$C$3:$D$636,283,FALSE)</f>
        <v>South America (***)</v>
      </c>
      <c r="C51" s="313"/>
      <c r="D51" s="313"/>
      <c r="E51" s="313"/>
      <c r="F51" s="313"/>
      <c r="G51" s="313"/>
      <c r="H51" s="313"/>
      <c r="I51" s="313"/>
      <c r="L51" s="215"/>
      <c r="M51" s="227"/>
      <c r="N51" s="271"/>
    </row>
    <row r="52" spans="1:14" ht="14.25">
      <c r="A52" s="214"/>
      <c r="B52" s="121">
        <f>+B$5</f>
        <v>43921</v>
      </c>
      <c r="C52" s="121">
        <f aca="true" t="shared" si="6" ref="C52:I52">+C$5</f>
        <v>44012</v>
      </c>
      <c r="D52" s="121">
        <f t="shared" si="6"/>
        <v>44104</v>
      </c>
      <c r="E52" s="121">
        <f t="shared" si="6"/>
        <v>44196</v>
      </c>
      <c r="F52" s="121">
        <f t="shared" si="6"/>
        <v>44286</v>
      </c>
      <c r="G52" s="121">
        <f t="shared" si="6"/>
        <v>44377</v>
      </c>
      <c r="H52" s="121">
        <f t="shared" si="6"/>
        <v>44469</v>
      </c>
      <c r="I52" s="121">
        <f t="shared" si="6"/>
        <v>44561</v>
      </c>
      <c r="L52" s="217"/>
      <c r="M52" s="227"/>
      <c r="N52" s="271"/>
    </row>
    <row r="53" spans="1:13" ht="14.25">
      <c r="A53" s="215" t="s">
        <v>7</v>
      </c>
      <c r="B53" s="216">
        <v>1907.4172397241496</v>
      </c>
      <c r="C53" s="216">
        <v>2148.736788099522</v>
      </c>
      <c r="D53" s="216">
        <v>2217.146906371951</v>
      </c>
      <c r="E53" s="216">
        <v>2494.833473925382</v>
      </c>
      <c r="F53" s="216">
        <v>2542.022761583433</v>
      </c>
      <c r="G53" s="216">
        <v>2712.535687320639</v>
      </c>
      <c r="H53" s="216">
        <v>2915.5852953550307</v>
      </c>
      <c r="I53" s="216">
        <v>3332.9642099300004</v>
      </c>
      <c r="L53" s="220"/>
      <c r="M53" s="227"/>
    </row>
    <row r="54" spans="1:12" ht="14.25">
      <c r="A54" s="215" t="s">
        <v>8</v>
      </c>
      <c r="B54" s="216">
        <v>1507.6650099457925</v>
      </c>
      <c r="C54" s="216">
        <v>1357.0330952733884</v>
      </c>
      <c r="D54" s="216">
        <v>1380.1629320574607</v>
      </c>
      <c r="E54" s="216">
        <v>1358.7581348846047</v>
      </c>
      <c r="F54" s="216">
        <v>1344.3534929412122</v>
      </c>
      <c r="G54" s="216">
        <v>1350.90263355334</v>
      </c>
      <c r="H54" s="216">
        <v>1364.3385845555838</v>
      </c>
      <c r="I54" s="216">
        <v>1415.323</v>
      </c>
      <c r="L54" s="220"/>
    </row>
    <row r="55" spans="1:9" ht="15.75" customHeight="1">
      <c r="A55" s="215" t="s">
        <v>9</v>
      </c>
      <c r="B55" s="216">
        <v>10956.938649978383</v>
      </c>
      <c r="C55" s="216">
        <v>11094.553957701597</v>
      </c>
      <c r="D55" s="216">
        <v>10985.215196294064</v>
      </c>
      <c r="E55" s="216">
        <v>10912.810078969589</v>
      </c>
      <c r="F55" s="216">
        <v>11043.896855915495</v>
      </c>
      <c r="G55" s="216">
        <v>11286.900899410582</v>
      </c>
      <c r="H55" s="216">
        <v>11609.614235463521</v>
      </c>
      <c r="I55" s="216">
        <v>12333.665690890002</v>
      </c>
    </row>
    <row r="56" spans="1:9" ht="14.25">
      <c r="A56" s="215" t="s">
        <v>10</v>
      </c>
      <c r="B56" s="216">
        <v>12886.838793425557</v>
      </c>
      <c r="C56" s="216">
        <v>14034.186238185694</v>
      </c>
      <c r="D56" s="216">
        <v>14909.887672284276</v>
      </c>
      <c r="E56" s="216">
        <v>14913.690998593001</v>
      </c>
      <c r="F56" s="216">
        <v>14978.795793230503</v>
      </c>
      <c r="G56" s="216">
        <v>15768.83038819846</v>
      </c>
      <c r="H56" s="216">
        <v>15518.849184480587</v>
      </c>
      <c r="I56" s="216">
        <v>15552.456072430003</v>
      </c>
    </row>
    <row r="57" spans="1:14" ht="14.25">
      <c r="A57" s="215" t="s">
        <v>11</v>
      </c>
      <c r="B57" s="216">
        <v>1601.0435914028676</v>
      </c>
      <c r="C57" s="216">
        <v>1592.9483013926783</v>
      </c>
      <c r="D57" s="216">
        <v>1562.2217611472602</v>
      </c>
      <c r="E57" s="216">
        <v>1674.8977705506984</v>
      </c>
      <c r="F57" s="216">
        <v>1732.7521558689946</v>
      </c>
      <c r="G57" s="216">
        <v>1732.9778186792173</v>
      </c>
      <c r="H57" s="216">
        <v>1733.8676459622295</v>
      </c>
      <c r="I57" s="216">
        <v>1948.4700478900004</v>
      </c>
      <c r="L57" s="216"/>
      <c r="N57" s="271"/>
    </row>
    <row r="58" spans="1:14" ht="14.25">
      <c r="A58" s="217" t="str">
        <f>HLOOKUP(INDICE!$F$2,Nombres!$C$3:$D$636,112,FALSE)</f>
        <v>Performing Loans under management (*)</v>
      </c>
      <c r="B58" s="218">
        <v>28859.90328447675</v>
      </c>
      <c r="C58" s="218">
        <v>30227.45838065288</v>
      </c>
      <c r="D58" s="218">
        <v>31054.63446815501</v>
      </c>
      <c r="E58" s="218">
        <v>31354.990456923275</v>
      </c>
      <c r="F58" s="218">
        <v>31641.821059539634</v>
      </c>
      <c r="G58" s="218">
        <v>32852.147427162236</v>
      </c>
      <c r="H58" s="218">
        <v>33142.25494581696</v>
      </c>
      <c r="I58" s="218">
        <v>34582.879021140005</v>
      </c>
      <c r="L58" s="216"/>
      <c r="N58" s="271"/>
    </row>
    <row r="59" spans="1:14" ht="14.25">
      <c r="A59" s="210"/>
      <c r="B59" s="219">
        <f>+SUM(B53:B57)-B58</f>
        <v>0</v>
      </c>
      <c r="C59" s="219">
        <f aca="true" t="shared" si="7" ref="C59:I59">+SUM(C53:C57)-C58</f>
        <v>0</v>
      </c>
      <c r="D59" s="219">
        <f t="shared" si="7"/>
        <v>0</v>
      </c>
      <c r="E59" s="219">
        <f t="shared" si="7"/>
        <v>0</v>
      </c>
      <c r="F59" s="219">
        <f t="shared" si="7"/>
        <v>0</v>
      </c>
      <c r="G59" s="219">
        <f t="shared" si="7"/>
        <v>0</v>
      </c>
      <c r="H59" s="219">
        <f t="shared" si="7"/>
        <v>0</v>
      </c>
      <c r="I59" s="219">
        <f t="shared" si="7"/>
        <v>0</v>
      </c>
      <c r="L59" s="216"/>
      <c r="N59" s="271"/>
    </row>
    <row r="60" spans="1:14" ht="15" customHeight="1">
      <c r="A60" s="210"/>
      <c r="B60" s="210"/>
      <c r="C60" s="210"/>
      <c r="D60" s="210"/>
      <c r="E60" s="210"/>
      <c r="F60" s="210"/>
      <c r="L60" s="216"/>
      <c r="N60" s="271"/>
    </row>
    <row r="61" spans="1:14" ht="15" customHeight="1">
      <c r="A61" s="228" t="str">
        <f>HLOOKUP(INDICE!$F$2,Nombres!$C$3:$D$636,71,FALSE)</f>
        <v>(*) Excluding repos. </v>
      </c>
      <c r="B61" s="210"/>
      <c r="C61" s="210"/>
      <c r="D61" s="210"/>
      <c r="E61" s="210"/>
      <c r="F61" s="210"/>
      <c r="L61" s="216"/>
      <c r="N61" s="271"/>
    </row>
    <row r="62" spans="1:14" ht="15" customHeight="1">
      <c r="A62" s="228" t="str">
        <f>HLOOKUP(INDICE!$F$2,Nombres!$C$3:$D$636,299,FALSE)</f>
        <v>(***) Paraguay excluded </v>
      </c>
      <c r="B62" s="210"/>
      <c r="C62" s="210"/>
      <c r="D62" s="210"/>
      <c r="E62" s="210"/>
      <c r="F62" s="210"/>
      <c r="L62" s="217"/>
      <c r="N62" s="271"/>
    </row>
    <row r="63" spans="1:12" ht="14.25">
      <c r="A63" s="210"/>
      <c r="B63" s="210"/>
      <c r="C63" s="210"/>
      <c r="D63" s="210"/>
      <c r="E63" s="210"/>
      <c r="F63" s="210"/>
      <c r="L63" s="220"/>
    </row>
    <row r="64" spans="1:12" ht="14.25">
      <c r="A64" s="210"/>
      <c r="B64" s="210"/>
      <c r="C64" s="210"/>
      <c r="D64" s="210"/>
      <c r="E64" s="210"/>
      <c r="F64" s="210"/>
      <c r="L64" s="210"/>
    </row>
    <row r="65" spans="1:12" ht="14.25">
      <c r="A65" s="210"/>
      <c r="B65" s="210"/>
      <c r="C65" s="210"/>
      <c r="D65" s="210"/>
      <c r="E65" s="210"/>
      <c r="F65" s="210"/>
      <c r="L65" s="210"/>
    </row>
    <row r="66" spans="1:12" ht="14.25">
      <c r="A66" s="210"/>
      <c r="B66" s="210"/>
      <c r="C66" s="210"/>
      <c r="D66" s="210"/>
      <c r="E66" s="210"/>
      <c r="F66" s="210"/>
      <c r="L66" s="210"/>
    </row>
    <row r="67" spans="1:12" ht="14.25">
      <c r="A67" s="210"/>
      <c r="B67" s="210"/>
      <c r="C67" s="210"/>
      <c r="D67" s="210"/>
      <c r="E67" s="210"/>
      <c r="F67" s="210"/>
      <c r="L67" s="210"/>
    </row>
    <row r="68" spans="1:12" ht="14.25">
      <c r="A68" s="210"/>
      <c r="B68" s="210"/>
      <c r="C68" s="210"/>
      <c r="D68" s="210"/>
      <c r="E68" s="210"/>
      <c r="F68" s="210"/>
      <c r="L68" s="210"/>
    </row>
    <row r="69" spans="1:12" ht="14.25">
      <c r="A69" s="210"/>
      <c r="B69" s="210"/>
      <c r="C69" s="210"/>
      <c r="D69" s="210"/>
      <c r="E69" s="210"/>
      <c r="F69" s="210"/>
      <c r="L69" s="210"/>
    </row>
    <row r="70" spans="1:12" ht="14.25">
      <c r="A70" s="210"/>
      <c r="B70" s="210"/>
      <c r="C70" s="210"/>
      <c r="D70" s="210"/>
      <c r="E70" s="210"/>
      <c r="F70" s="210"/>
      <c r="L70" s="210"/>
    </row>
    <row r="71" ht="14.25">
      <c r="L71" s="210"/>
    </row>
    <row r="72" ht="14.25">
      <c r="L72" s="210"/>
    </row>
    <row r="73" ht="14.25">
      <c r="L73" s="210"/>
    </row>
    <row r="74" ht="14.25">
      <c r="L74" s="210"/>
    </row>
    <row r="996" ht="14.25">
      <c r="A996" s="209" t="s">
        <v>396</v>
      </c>
    </row>
  </sheetData>
  <sheetProtection/>
  <mergeCells count="5">
    <mergeCell ref="B4:I4"/>
    <mergeCell ref="B17:I17"/>
    <mergeCell ref="B30:I30"/>
    <mergeCell ref="B42:I42"/>
    <mergeCell ref="B51:I51"/>
  </mergeCells>
  <conditionalFormatting sqref="B14:I14">
    <cfRule type="cellIs" priority="6" dxfId="114" operator="notBetween">
      <formula>0.5</formula>
      <formula>-0.5</formula>
    </cfRule>
  </conditionalFormatting>
  <conditionalFormatting sqref="B27:I27">
    <cfRule type="cellIs" priority="5" dxfId="114" operator="notBetween">
      <formula>0.5</formula>
      <formula>-0.5</formula>
    </cfRule>
  </conditionalFormatting>
  <conditionalFormatting sqref="C27:I27">
    <cfRule type="cellIs" priority="4" dxfId="114" operator="notBetween">
      <formula>0.5</formula>
      <formula>-0.5</formula>
    </cfRule>
  </conditionalFormatting>
  <conditionalFormatting sqref="B48">
    <cfRule type="cellIs" priority="3" dxfId="114" operator="notBetween">
      <formula>0.5</formula>
      <formula>-0.5</formula>
    </cfRule>
  </conditionalFormatting>
  <conditionalFormatting sqref="C48:I48">
    <cfRule type="cellIs" priority="2" dxfId="114" operator="notBetween">
      <formula>0.5</formula>
      <formula>-0.5</formula>
    </cfRule>
  </conditionalFormatting>
  <conditionalFormatting sqref="B59:I59">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L1001"/>
  <sheetViews>
    <sheetView showGridLines="0" zoomScalePageLayoutView="0" workbookViewId="0" topLeftCell="A1">
      <selection activeCell="A1" sqref="A1"/>
    </sheetView>
  </sheetViews>
  <sheetFormatPr defaultColWidth="11.421875" defaultRowHeight="15"/>
  <cols>
    <col min="1" max="1" width="35.7109375" style="209" customWidth="1"/>
    <col min="2" max="2" width="12.28125" style="209" customWidth="1"/>
    <col min="3" max="9" width="11.421875" style="209" customWidth="1"/>
    <col min="10" max="11" width="5.7109375" style="209" customWidth="1"/>
    <col min="12" max="12" width="19.57421875" style="209" customWidth="1"/>
    <col min="13" max="16384" width="11.421875" style="209" customWidth="1"/>
  </cols>
  <sheetData>
    <row r="1" spans="1:9" ht="16.5">
      <c r="A1" s="206" t="str">
        <f>HLOOKUP(INDICE!$F$2,Nombres!$C$3:$D$636,120,FALSE)</f>
        <v>Breakdown of customer funds under management</v>
      </c>
      <c r="B1" s="207"/>
      <c r="C1" s="207"/>
      <c r="D1" s="207"/>
      <c r="E1" s="207"/>
      <c r="F1" s="207"/>
      <c r="G1" s="207"/>
      <c r="H1" s="207"/>
      <c r="I1" s="207"/>
    </row>
    <row r="2" spans="1:6" ht="14.25">
      <c r="A2" s="211" t="str">
        <f>HLOOKUP(INDICE!$F$2,Nombres!$C$3:$D$636,73,FALSE)</f>
        <v>(Constant million euros)    </v>
      </c>
      <c r="B2" s="210"/>
      <c r="C2" s="210"/>
      <c r="D2" s="210"/>
      <c r="E2" s="210"/>
      <c r="F2" s="210"/>
    </row>
    <row r="3" spans="1:12" ht="15.75" customHeight="1">
      <c r="A3" s="213"/>
      <c r="B3" s="313" t="str">
        <f>HLOOKUP(INDICE!$F$2,Nombres!$C$3:$D$636,7,FALSE)</f>
        <v>Spain</v>
      </c>
      <c r="C3" s="313"/>
      <c r="D3" s="313"/>
      <c r="E3" s="313"/>
      <c r="F3" s="313"/>
      <c r="G3" s="313"/>
      <c r="H3" s="313"/>
      <c r="I3" s="313"/>
      <c r="L3" s="229"/>
    </row>
    <row r="4" spans="1:9" ht="14.25">
      <c r="A4" s="214"/>
      <c r="B4" s="121">
        <f>+España!B30</f>
        <v>43921</v>
      </c>
      <c r="C4" s="121">
        <f>+España!C30</f>
        <v>44012</v>
      </c>
      <c r="D4" s="121">
        <f>+España!D30</f>
        <v>44104</v>
      </c>
      <c r="E4" s="121">
        <f>+España!E30</f>
        <v>44196</v>
      </c>
      <c r="F4" s="121">
        <f>+España!F30</f>
        <v>44286</v>
      </c>
      <c r="G4" s="121">
        <f>+España!G30</f>
        <v>44377</v>
      </c>
      <c r="H4" s="121">
        <f>+España!H30</f>
        <v>44469</v>
      </c>
      <c r="I4" s="121">
        <f>+España!I30</f>
        <v>44561</v>
      </c>
    </row>
    <row r="5" spans="1:12" ht="14.25">
      <c r="A5" s="215" t="str">
        <f>HLOOKUP(INDICE!$F$2,Nombres!$C$3:$D$636,114,FALSE)</f>
        <v>Demand deposits</v>
      </c>
      <c r="B5" s="216">
        <v>158491.67497999998</v>
      </c>
      <c r="C5" s="216">
        <v>165079.441489</v>
      </c>
      <c r="D5" s="216">
        <v>165967.154141</v>
      </c>
      <c r="E5" s="216">
        <v>174789.43881499997</v>
      </c>
      <c r="F5" s="216">
        <v>168710.114432</v>
      </c>
      <c r="G5" s="216">
        <v>176043.216854</v>
      </c>
      <c r="H5" s="216">
        <v>178825.393642</v>
      </c>
      <c r="I5" s="216">
        <v>187799.701281</v>
      </c>
      <c r="L5" s="215"/>
    </row>
    <row r="6" spans="1:12" ht="14.25">
      <c r="A6" s="215" t="str">
        <f>HLOOKUP(INDICE!$F$2,Nombres!$C$3:$D$636,115,FALSE)</f>
        <v>Time deposits</v>
      </c>
      <c r="B6" s="216">
        <v>27835.713708</v>
      </c>
      <c r="C6" s="216">
        <v>30596.272779</v>
      </c>
      <c r="D6" s="216">
        <v>29715.085445</v>
      </c>
      <c r="E6" s="216">
        <v>31019.070096000003</v>
      </c>
      <c r="F6" s="216">
        <v>27294.733647999998</v>
      </c>
      <c r="G6" s="216">
        <v>23537.501437</v>
      </c>
      <c r="H6" s="216">
        <v>20774.126148</v>
      </c>
      <c r="I6" s="216">
        <v>18108.518429</v>
      </c>
      <c r="L6" s="215"/>
    </row>
    <row r="7" spans="1:12" ht="14.25">
      <c r="A7" s="215" t="str">
        <f>HLOOKUP(INDICE!$F$2,Nombres!$C$3:$D$636,116,FALSE)</f>
        <v>Off balance sheet funds (*)</v>
      </c>
      <c r="B7" s="216">
        <v>58528.213089720004</v>
      </c>
      <c r="C7" s="216">
        <v>60973.8758073</v>
      </c>
      <c r="D7" s="216">
        <v>60890.98777746001</v>
      </c>
      <c r="E7" s="216">
        <v>62706.994929960005</v>
      </c>
      <c r="F7" s="216">
        <v>64452.27035476999</v>
      </c>
      <c r="G7" s="216">
        <v>66399.43729546001</v>
      </c>
      <c r="H7" s="216">
        <v>67118.70451618002</v>
      </c>
      <c r="I7" s="216">
        <v>70072.09911</v>
      </c>
      <c r="L7" s="215"/>
    </row>
    <row r="8" spans="1:12" ht="14.25">
      <c r="A8" s="217" t="str">
        <f>HLOOKUP(INDICE!$F$2,Nombres!$C$3:$D$636,208,FALSE)</f>
        <v>Customer funds under management (**)</v>
      </c>
      <c r="B8" s="217">
        <v>244855.60177772003</v>
      </c>
      <c r="C8" s="217">
        <v>256649.59007530002</v>
      </c>
      <c r="D8" s="217">
        <v>256573.22736346</v>
      </c>
      <c r="E8" s="217">
        <v>268515.50384096</v>
      </c>
      <c r="F8" s="217">
        <v>260457.11843477</v>
      </c>
      <c r="G8" s="260">
        <v>265980.15558646</v>
      </c>
      <c r="H8" s="260">
        <v>266718.22430618</v>
      </c>
      <c r="I8" s="260">
        <v>275980.31882</v>
      </c>
      <c r="L8" s="217"/>
    </row>
    <row r="9" spans="1:12" ht="14.25">
      <c r="A9" s="215" t="str">
        <f>HLOOKUP(INDICE!$F$2,Nombres!$C$3:$D$636,118,FALSE)</f>
        <v>Demand + Time deposits</v>
      </c>
      <c r="B9" s="221">
        <f>+B5+B6</f>
        <v>186327.38868799998</v>
      </c>
      <c r="C9" s="221">
        <f aca="true" t="shared" si="0" ref="C9:I9">+C5+C6</f>
        <v>195675.71426799998</v>
      </c>
      <c r="D9" s="221">
        <f t="shared" si="0"/>
        <v>195682.239586</v>
      </c>
      <c r="E9" s="221">
        <f t="shared" si="0"/>
        <v>205808.50891099998</v>
      </c>
      <c r="F9" s="221">
        <f t="shared" si="0"/>
        <v>196004.84808</v>
      </c>
      <c r="G9" s="261">
        <f t="shared" si="0"/>
        <v>199580.718291</v>
      </c>
      <c r="H9" s="261">
        <f t="shared" si="0"/>
        <v>199599.51979000002</v>
      </c>
      <c r="I9" s="261">
        <f t="shared" si="0"/>
        <v>205908.21970999998</v>
      </c>
      <c r="L9" s="210"/>
    </row>
    <row r="10" spans="1:9" ht="14.25">
      <c r="A10" s="210"/>
      <c r="B10" s="219">
        <f>+B5+B6+B7-B8</f>
        <v>0</v>
      </c>
      <c r="C10" s="219">
        <f aca="true" t="shared" si="1" ref="C10:I10">+C5+C6+C7-C8</f>
        <v>0</v>
      </c>
      <c r="D10" s="219">
        <f t="shared" si="1"/>
        <v>0</v>
      </c>
      <c r="E10" s="219">
        <f t="shared" si="1"/>
        <v>0</v>
      </c>
      <c r="F10" s="219">
        <f t="shared" si="1"/>
        <v>0</v>
      </c>
      <c r="G10" s="219">
        <f t="shared" si="1"/>
        <v>0</v>
      </c>
      <c r="H10" s="219">
        <f t="shared" si="1"/>
        <v>0</v>
      </c>
      <c r="I10" s="219">
        <f t="shared" si="1"/>
        <v>0</v>
      </c>
    </row>
    <row r="11" spans="1:9" ht="14.25">
      <c r="A11" s="210"/>
      <c r="B11" s="230"/>
      <c r="C11" s="221"/>
      <c r="D11" s="221"/>
      <c r="E11" s="221"/>
      <c r="F11" s="221"/>
      <c r="G11" s="221"/>
      <c r="H11" s="221"/>
      <c r="I11" s="221"/>
    </row>
    <row r="12" spans="1:12" ht="15.75" customHeight="1">
      <c r="A12" s="213"/>
      <c r="B12" s="313" t="str">
        <f>HLOOKUP(INDICE!$F$2,Nombres!$C$3:$D$636,204,FALSE)</f>
        <v>Mexico (***)</v>
      </c>
      <c r="C12" s="313"/>
      <c r="D12" s="313"/>
      <c r="E12" s="313"/>
      <c r="F12" s="313"/>
      <c r="G12" s="313"/>
      <c r="H12" s="313"/>
      <c r="I12" s="313"/>
      <c r="L12" s="229"/>
    </row>
    <row r="13" spans="1:9" ht="14.25">
      <c r="A13" s="214"/>
      <c r="B13" s="121">
        <f>+B$4</f>
        <v>43921</v>
      </c>
      <c r="C13" s="121">
        <f aca="true" t="shared" si="2" ref="C13:I13">+C$4</f>
        <v>44012</v>
      </c>
      <c r="D13" s="121">
        <f t="shared" si="2"/>
        <v>44104</v>
      </c>
      <c r="E13" s="121">
        <f t="shared" si="2"/>
        <v>44196</v>
      </c>
      <c r="F13" s="121">
        <f t="shared" si="2"/>
        <v>44286</v>
      </c>
      <c r="G13" s="121">
        <f t="shared" si="2"/>
        <v>44377</v>
      </c>
      <c r="H13" s="121">
        <f t="shared" si="2"/>
        <v>44469</v>
      </c>
      <c r="I13" s="121">
        <f t="shared" si="2"/>
        <v>44561</v>
      </c>
    </row>
    <row r="14" spans="1:12" ht="14.25">
      <c r="A14" s="215" t="str">
        <f>HLOOKUP(INDICE!$F$2,Nombres!$C$3:$D$636,114,FALSE)</f>
        <v>Demand deposits</v>
      </c>
      <c r="B14" s="216">
        <v>43576.78464936747</v>
      </c>
      <c r="C14" s="216">
        <v>43791.44053700054</v>
      </c>
      <c r="D14" s="216">
        <v>45141.68664113581</v>
      </c>
      <c r="E14" s="216">
        <v>46608.847599223925</v>
      </c>
      <c r="F14" s="216">
        <v>48041.45842777425</v>
      </c>
      <c r="G14" s="216">
        <v>48760.69601580164</v>
      </c>
      <c r="H14" s="216">
        <v>49583.63855822907</v>
      </c>
      <c r="I14" s="216">
        <v>53559.0525324277</v>
      </c>
      <c r="J14" s="216"/>
      <c r="L14" s="215"/>
    </row>
    <row r="15" spans="1:12" ht="14.25">
      <c r="A15" s="215" t="str">
        <f>HLOOKUP(INDICE!$F$2,Nombres!$C$3:$D$636,115,FALSE)</f>
        <v>Time deposits</v>
      </c>
      <c r="B15" s="216">
        <v>10968.537531618658</v>
      </c>
      <c r="C15" s="216">
        <v>11030.595815075882</v>
      </c>
      <c r="D15" s="216">
        <v>11192.526953202538</v>
      </c>
      <c r="E15" s="216">
        <v>9977.889875914667</v>
      </c>
      <c r="F15" s="216">
        <v>10213.453155974388</v>
      </c>
      <c r="G15" s="216">
        <v>9600.522084794744</v>
      </c>
      <c r="H15" s="216">
        <v>9767.149011285674</v>
      </c>
      <c r="I15" s="216">
        <v>9550.765215738125</v>
      </c>
      <c r="J15" s="216"/>
      <c r="L15" s="215"/>
    </row>
    <row r="16" spans="1:12" ht="14.25">
      <c r="A16" s="215" t="str">
        <f>HLOOKUP(INDICE!$F$2,Nombres!$C$3:$D$636,116,FALSE)</f>
        <v>Off balance sheet funds (*)</v>
      </c>
      <c r="B16" s="216">
        <v>23373.42904700551</v>
      </c>
      <c r="C16" s="216">
        <v>23909.47776258142</v>
      </c>
      <c r="D16" s="216">
        <v>24199.382299227895</v>
      </c>
      <c r="E16" s="216">
        <v>23467.955242162992</v>
      </c>
      <c r="F16" s="216">
        <v>24467.61461776456</v>
      </c>
      <c r="G16" s="216">
        <v>24898.210637387336</v>
      </c>
      <c r="H16" s="216">
        <v>25266.712513195536</v>
      </c>
      <c r="I16" s="216">
        <v>26128.034289961026</v>
      </c>
      <c r="J16" s="216"/>
      <c r="L16" s="215"/>
    </row>
    <row r="17" spans="1:12" ht="14.25">
      <c r="A17" s="217" t="str">
        <f>HLOOKUP(INDICE!$F$2,Nombres!$C$3:$D$636,208,FALSE)</f>
        <v>Customer funds under management (**)</v>
      </c>
      <c r="B17" s="217">
        <v>77918.75122799164</v>
      </c>
      <c r="C17" s="217">
        <v>78731.51411465784</v>
      </c>
      <c r="D17" s="217">
        <v>80533.59589356625</v>
      </c>
      <c r="E17" s="217">
        <v>80054.69271730159</v>
      </c>
      <c r="F17" s="217">
        <v>82722.5262015132</v>
      </c>
      <c r="G17" s="217">
        <v>83259.42873798372</v>
      </c>
      <c r="H17" s="217">
        <v>84617.50008271028</v>
      </c>
      <c r="I17" s="217">
        <v>89237.85203812685</v>
      </c>
      <c r="J17" s="216"/>
      <c r="L17" s="217"/>
    </row>
    <row r="18" spans="1:12" ht="14.25">
      <c r="A18" s="215" t="str">
        <f>HLOOKUP(INDICE!$F$2,Nombres!$C$3:$D$636,118,FALSE)</f>
        <v>Demand + Time deposits</v>
      </c>
      <c r="B18" s="221">
        <f>+B14+B15</f>
        <v>54545.32218098613</v>
      </c>
      <c r="C18" s="221">
        <f aca="true" t="shared" si="3" ref="C18:I18">+C14+C15</f>
        <v>54822.03635207642</v>
      </c>
      <c r="D18" s="221">
        <f t="shared" si="3"/>
        <v>56334.21359433835</v>
      </c>
      <c r="E18" s="221">
        <f t="shared" si="3"/>
        <v>56586.737475138594</v>
      </c>
      <c r="F18" s="221">
        <f t="shared" si="3"/>
        <v>58254.91158374863</v>
      </c>
      <c r="G18" s="261">
        <f t="shared" si="3"/>
        <v>58361.21810059638</v>
      </c>
      <c r="H18" s="261">
        <f t="shared" si="3"/>
        <v>59350.78756951474</v>
      </c>
      <c r="I18" s="261">
        <f t="shared" si="3"/>
        <v>63109.81774816582</v>
      </c>
      <c r="J18" s="217"/>
      <c r="L18" s="231"/>
    </row>
    <row r="19" spans="1:9" ht="14.25">
      <c r="A19" s="226" t="str">
        <f>HLOOKUP(INDICE!$F$2,Nombres!$C$3:$D$636,205,FALSE)</f>
        <v>According to Local GAAP(***) </v>
      </c>
      <c r="B19" s="219">
        <f>+B14+B15+B16-B17</f>
        <v>0</v>
      </c>
      <c r="C19" s="219">
        <f aca="true" t="shared" si="4" ref="C19:I19">+C14+C15+C16-C17</f>
        <v>0</v>
      </c>
      <c r="D19" s="219">
        <f t="shared" si="4"/>
        <v>0</v>
      </c>
      <c r="E19" s="219">
        <f t="shared" si="4"/>
        <v>0</v>
      </c>
      <c r="F19" s="219">
        <f t="shared" si="4"/>
        <v>0</v>
      </c>
      <c r="G19" s="219">
        <f t="shared" si="4"/>
        <v>0</v>
      </c>
      <c r="H19" s="219">
        <f t="shared" si="4"/>
        <v>0</v>
      </c>
      <c r="I19" s="219">
        <f t="shared" si="4"/>
        <v>0</v>
      </c>
    </row>
    <row r="20" spans="1:6" ht="14.25">
      <c r="A20" s="210"/>
      <c r="B20" s="221"/>
      <c r="C20" s="221"/>
      <c r="D20" s="221"/>
      <c r="E20" s="221"/>
      <c r="F20" s="221"/>
    </row>
    <row r="21" spans="1:12" ht="15.75" customHeight="1">
      <c r="A21" s="213"/>
      <c r="B21" s="313" t="str">
        <f>HLOOKUP(INDICE!$F$2,Nombres!$C$3:$D$636,12,FALSE)</f>
        <v>Turkey </v>
      </c>
      <c r="C21" s="313"/>
      <c r="D21" s="313"/>
      <c r="E21" s="313"/>
      <c r="F21" s="313"/>
      <c r="G21" s="313"/>
      <c r="H21" s="313"/>
      <c r="I21" s="313"/>
      <c r="L21" s="229"/>
    </row>
    <row r="22" spans="1:9" ht="14.25">
      <c r="A22" s="214"/>
      <c r="B22" s="121">
        <f>+B$4</f>
        <v>43921</v>
      </c>
      <c r="C22" s="121">
        <f aca="true" t="shared" si="5" ref="C22:I22">+C$4</f>
        <v>44012</v>
      </c>
      <c r="D22" s="121">
        <f t="shared" si="5"/>
        <v>44104</v>
      </c>
      <c r="E22" s="121">
        <f t="shared" si="5"/>
        <v>44196</v>
      </c>
      <c r="F22" s="121">
        <f t="shared" si="5"/>
        <v>44286</v>
      </c>
      <c r="G22" s="121">
        <f t="shared" si="5"/>
        <v>44377</v>
      </c>
      <c r="H22" s="121">
        <f t="shared" si="5"/>
        <v>44469</v>
      </c>
      <c r="I22" s="121">
        <f t="shared" si="5"/>
        <v>44561</v>
      </c>
    </row>
    <row r="23" spans="1:12" ht="14.25">
      <c r="A23" s="215" t="str">
        <f>HLOOKUP(INDICE!$F$2,Nombres!$C$3:$D$636,114,FALSE)</f>
        <v>Demand deposits</v>
      </c>
      <c r="B23" s="216">
        <v>8167.901935703812</v>
      </c>
      <c r="C23" s="216">
        <v>9906.75294210829</v>
      </c>
      <c r="D23" s="216">
        <v>11666.534299194464</v>
      </c>
      <c r="E23" s="216">
        <v>12009.628857353264</v>
      </c>
      <c r="F23" s="216">
        <v>12160.328071410633</v>
      </c>
      <c r="G23" s="216">
        <v>13638.888316475095</v>
      </c>
      <c r="H23" s="216">
        <v>14178.124739907717</v>
      </c>
      <c r="I23" s="216">
        <v>22105.912999999997</v>
      </c>
      <c r="L23" s="215"/>
    </row>
    <row r="24" spans="1:12" ht="14.25">
      <c r="A24" s="215" t="str">
        <f>HLOOKUP(INDICE!$F$2,Nombres!$C$3:$D$636,115,FALSE)</f>
        <v>Time deposits</v>
      </c>
      <c r="B24" s="216">
        <v>11251.1495703531</v>
      </c>
      <c r="C24" s="216">
        <v>10213.431617495604</v>
      </c>
      <c r="D24" s="216">
        <v>11105.831382990742</v>
      </c>
      <c r="E24" s="216">
        <v>11527.960528806598</v>
      </c>
      <c r="F24" s="216">
        <v>12154.092222787505</v>
      </c>
      <c r="G24" s="216">
        <v>13364.580141005206</v>
      </c>
      <c r="H24" s="216">
        <v>13727.548134548213</v>
      </c>
      <c r="I24" s="216">
        <v>16228.984000000004</v>
      </c>
      <c r="L24" s="215"/>
    </row>
    <row r="25" spans="1:12" ht="14.25">
      <c r="A25" s="215" t="str">
        <f>HLOOKUP(INDICE!$F$2,Nombres!$C$3:$D$636,116,FALSE)</f>
        <v>Off balance sheet funds (*)</v>
      </c>
      <c r="B25" s="216">
        <v>1827.3007364805835</v>
      </c>
      <c r="C25" s="216">
        <v>2122.2729708134784</v>
      </c>
      <c r="D25" s="216">
        <v>2049.3497284905734</v>
      </c>
      <c r="E25" s="216">
        <v>2048.708751512567</v>
      </c>
      <c r="F25" s="216">
        <v>2340.832110162505</v>
      </c>
      <c r="G25" s="216">
        <v>2666.281481944403</v>
      </c>
      <c r="H25" s="216">
        <v>3085.926205599585</v>
      </c>
      <c r="I25" s="216">
        <v>3894.7039999999997</v>
      </c>
      <c r="L25" s="215"/>
    </row>
    <row r="26" spans="1:12" ht="14.25">
      <c r="A26" s="217" t="str">
        <f>HLOOKUP(INDICE!$F$2,Nombres!$C$3:$D$636,208,FALSE)</f>
        <v>Customer funds under management (**)</v>
      </c>
      <c r="B26" s="217">
        <v>21246.352242537494</v>
      </c>
      <c r="C26" s="217">
        <v>22242.457530417374</v>
      </c>
      <c r="D26" s="217">
        <v>24821.715410675777</v>
      </c>
      <c r="E26" s="217">
        <v>25586.298137672427</v>
      </c>
      <c r="F26" s="217">
        <v>26655.252404360646</v>
      </c>
      <c r="G26" s="260">
        <v>29669.7499394247</v>
      </c>
      <c r="H26" s="260">
        <v>30991.599080055512</v>
      </c>
      <c r="I26" s="260">
        <v>42229.60099999999</v>
      </c>
      <c r="L26" s="215"/>
    </row>
    <row r="27" spans="1:12" ht="14.25">
      <c r="A27" s="215" t="str">
        <f>HLOOKUP(INDICE!$F$2,Nombres!$C$3:$D$636,118,FALSE)</f>
        <v>Demand + Time deposits</v>
      </c>
      <c r="B27" s="221">
        <f>+B23+B24</f>
        <v>19419.051506056912</v>
      </c>
      <c r="C27" s="221">
        <f aca="true" t="shared" si="6" ref="C27:I27">+C23+C24</f>
        <v>20120.184559603895</v>
      </c>
      <c r="D27" s="221">
        <f t="shared" si="6"/>
        <v>22772.365682185206</v>
      </c>
      <c r="E27" s="221">
        <f t="shared" si="6"/>
        <v>23537.58938615986</v>
      </c>
      <c r="F27" s="221">
        <f>+F23+F24</f>
        <v>24314.42029419814</v>
      </c>
      <c r="G27" s="261">
        <f t="shared" si="6"/>
        <v>27003.468457480303</v>
      </c>
      <c r="H27" s="261">
        <f t="shared" si="6"/>
        <v>27905.67287445593</v>
      </c>
      <c r="I27" s="261">
        <f t="shared" si="6"/>
        <v>38334.897</v>
      </c>
      <c r="L27" s="217"/>
    </row>
    <row r="28" spans="1:9" ht="14.25">
      <c r="A28" s="210"/>
      <c r="B28" s="219">
        <f>+B23+B24+B25-B26</f>
        <v>0</v>
      </c>
      <c r="C28" s="219">
        <f aca="true" t="shared" si="7" ref="C28:I28">+C23+C24+C25-C26</f>
        <v>0</v>
      </c>
      <c r="D28" s="219">
        <f t="shared" si="7"/>
        <v>0</v>
      </c>
      <c r="E28" s="219">
        <f t="shared" si="7"/>
        <v>0</v>
      </c>
      <c r="F28" s="219">
        <f t="shared" si="7"/>
        <v>0</v>
      </c>
      <c r="G28" s="219">
        <f t="shared" si="7"/>
        <v>0</v>
      </c>
      <c r="H28" s="219">
        <f t="shared" si="7"/>
        <v>0</v>
      </c>
      <c r="I28" s="219">
        <f t="shared" si="7"/>
        <v>0</v>
      </c>
    </row>
    <row r="29" spans="1:12" ht="14.25">
      <c r="A29" s="217"/>
      <c r="B29" s="217"/>
      <c r="C29" s="217"/>
      <c r="D29" s="217"/>
      <c r="E29" s="217"/>
      <c r="F29" s="217"/>
      <c r="G29" s="217"/>
      <c r="H29" s="217"/>
      <c r="I29" s="217"/>
      <c r="L29" s="229"/>
    </row>
    <row r="30" spans="1:12" ht="15.75" customHeight="1">
      <c r="A30" s="213"/>
      <c r="B30" s="313" t="str">
        <f>HLOOKUP(INDICE!$F$2,Nombres!$C$3:$D$636,296,FALSE)</f>
        <v>Turkey Bank only</v>
      </c>
      <c r="C30" s="313"/>
      <c r="D30" s="313"/>
      <c r="E30" s="313"/>
      <c r="F30" s="313"/>
      <c r="G30" s="313"/>
      <c r="H30" s="313"/>
      <c r="I30" s="313"/>
      <c r="L30" s="229"/>
    </row>
    <row r="31" spans="1:9" ht="14.25">
      <c r="A31" s="214"/>
      <c r="B31" s="121">
        <f>+B$4</f>
        <v>43921</v>
      </c>
      <c r="C31" s="121">
        <f aca="true" t="shared" si="8" ref="C31:I31">+C$4</f>
        <v>44012</v>
      </c>
      <c r="D31" s="121">
        <f t="shared" si="8"/>
        <v>44104</v>
      </c>
      <c r="E31" s="121">
        <f t="shared" si="8"/>
        <v>44196</v>
      </c>
      <c r="F31" s="121">
        <f t="shared" si="8"/>
        <v>44286</v>
      </c>
      <c r="G31" s="121">
        <f t="shared" si="8"/>
        <v>44377</v>
      </c>
      <c r="H31" s="121">
        <f t="shared" si="8"/>
        <v>44469</v>
      </c>
      <c r="I31" s="121">
        <f t="shared" si="8"/>
        <v>44561</v>
      </c>
    </row>
    <row r="32" spans="1:12" ht="14.25">
      <c r="A32" s="215" t="str">
        <f>HLOOKUP(INDICE!$F$2,Nombres!$C$3:$D$636,289,FALSE)</f>
        <v>Demand Deposits TL</v>
      </c>
      <c r="B32" s="216">
        <v>2161.242664497323</v>
      </c>
      <c r="C32" s="216">
        <v>2910.7528886250666</v>
      </c>
      <c r="D32" s="216">
        <v>2644.2229875018934</v>
      </c>
      <c r="E32" s="216">
        <v>2357.317741736306</v>
      </c>
      <c r="F32" s="216">
        <v>2595.238801167167</v>
      </c>
      <c r="G32" s="216">
        <v>2895.150952413432</v>
      </c>
      <c r="H32" s="216">
        <v>3061.6007638605697</v>
      </c>
      <c r="I32" s="216">
        <v>3342.9285000761497</v>
      </c>
      <c r="L32" s="215"/>
    </row>
    <row r="33" spans="1:12" ht="14.25">
      <c r="A33" s="215" t="str">
        <f>HLOOKUP(INDICE!$F$2,Nombres!$C$3:$D$636,290,FALSE)</f>
        <v>Total Time Deposits TL</v>
      </c>
      <c r="B33" s="216">
        <v>5602.498199967177</v>
      </c>
      <c r="C33" s="216">
        <v>5485.733675966127</v>
      </c>
      <c r="D33" s="216">
        <v>5841.867552064201</v>
      </c>
      <c r="E33" s="216">
        <v>6991.908583672169</v>
      </c>
      <c r="F33" s="216">
        <v>6863.682358818394</v>
      </c>
      <c r="G33" s="216">
        <v>7899.281557455607</v>
      </c>
      <c r="H33" s="216">
        <v>8128.025292876884</v>
      </c>
      <c r="I33" s="216">
        <v>8296.964212338595</v>
      </c>
      <c r="L33" s="215"/>
    </row>
    <row r="34" spans="1:12" ht="14.25">
      <c r="A34" s="217" t="str">
        <f>HLOOKUP(INDICE!$F$2,Nombres!$C$3:$D$636,291,FALSE)</f>
        <v>Total Deposits TL</v>
      </c>
      <c r="B34" s="217">
        <v>7763.7408644645</v>
      </c>
      <c r="C34" s="217">
        <v>8396.486564591192</v>
      </c>
      <c r="D34" s="217">
        <v>8486.090539566094</v>
      </c>
      <c r="E34" s="217">
        <v>9349.226325408476</v>
      </c>
      <c r="F34" s="217">
        <v>9458.92115998556</v>
      </c>
      <c r="G34" s="217">
        <v>10794.432509869039</v>
      </c>
      <c r="H34" s="217">
        <v>11189.626056737454</v>
      </c>
      <c r="I34" s="217">
        <v>11639.892712414745</v>
      </c>
      <c r="L34" s="215"/>
    </row>
    <row r="35" spans="1:12" ht="14.25">
      <c r="A35" s="215" t="str">
        <f>HLOOKUP(INDICE!$F$2,Nombres!$C$3:$D$636,292,FALSE)</f>
        <v>Demand Deposits FC</v>
      </c>
      <c r="B35" s="216">
        <v>7416.766101973587</v>
      </c>
      <c r="C35" s="216">
        <v>9600.50232736724</v>
      </c>
      <c r="D35" s="216">
        <v>11372.71526568682</v>
      </c>
      <c r="E35" s="216">
        <v>12020.764883290456</v>
      </c>
      <c r="F35" s="216">
        <v>11062.033692173038</v>
      </c>
      <c r="G35" s="216">
        <v>11415.653436446542</v>
      </c>
      <c r="H35" s="216">
        <v>12213.164317355235</v>
      </c>
      <c r="I35" s="216">
        <v>14030.192148592545</v>
      </c>
      <c r="L35" s="217"/>
    </row>
    <row r="36" spans="1:9" ht="14.25">
      <c r="A36" s="215" t="str">
        <f>HLOOKUP(INDICE!$F$2,Nombres!$C$3:$D$636,293,FALSE)</f>
        <v>Total Time Deposits FC</v>
      </c>
      <c r="B36" s="216">
        <v>12223.250190848832</v>
      </c>
      <c r="C36" s="216">
        <v>9205.054289526057</v>
      </c>
      <c r="D36" s="216">
        <v>9077.60828752998</v>
      </c>
      <c r="E36" s="216">
        <v>9242.431434321199</v>
      </c>
      <c r="F36" s="216">
        <v>8830.656332793336</v>
      </c>
      <c r="G36" s="216">
        <v>9114.78149249403</v>
      </c>
      <c r="H36" s="216">
        <v>8634.20852524914</v>
      </c>
      <c r="I36" s="216">
        <v>8315.173890405169</v>
      </c>
    </row>
    <row r="37" spans="1:9" ht="14.25">
      <c r="A37" s="217" t="str">
        <f>HLOOKUP(INDICE!$F$2,Nombres!$C$3:$D$636,294,FALSE)</f>
        <v>Total Deposits FC</v>
      </c>
      <c r="B37" s="217">
        <v>19640.01629282242</v>
      </c>
      <c r="C37" s="217">
        <v>18805.556616893293</v>
      </c>
      <c r="D37" s="217">
        <v>20450.3235532168</v>
      </c>
      <c r="E37" s="217">
        <v>21263.196317611655</v>
      </c>
      <c r="F37" s="217">
        <v>19892.690024966378</v>
      </c>
      <c r="G37" s="217">
        <v>20530.434928940573</v>
      </c>
      <c r="H37" s="217">
        <v>20847.372842604374</v>
      </c>
      <c r="I37" s="217">
        <v>22345.366038997712</v>
      </c>
    </row>
    <row r="38" spans="1:9" ht="14.25">
      <c r="A38" s="226" t="str">
        <f>HLOOKUP(INDICE!$F$2,Nombres!$C$3:$D$636,295,FALSE)</f>
        <v>(TL Turkish Lira FC Foreign Currency)</v>
      </c>
      <c r="B38" s="217"/>
      <c r="C38" s="217"/>
      <c r="D38" s="217"/>
      <c r="E38" s="217"/>
      <c r="F38" s="217"/>
      <c r="G38" s="217"/>
      <c r="H38" s="217"/>
      <c r="I38" s="217"/>
    </row>
    <row r="39" spans="1:12" ht="15.75" customHeight="1">
      <c r="A39" s="217"/>
      <c r="B39" s="217"/>
      <c r="C39" s="217"/>
      <c r="D39" s="217"/>
      <c r="E39" s="217"/>
      <c r="F39" s="217"/>
      <c r="G39" s="217"/>
      <c r="H39" s="217"/>
      <c r="I39" s="217"/>
      <c r="L39" s="229"/>
    </row>
    <row r="40" spans="1:9" ht="15.75" customHeight="1">
      <c r="A40" s="213"/>
      <c r="B40" s="313" t="str">
        <f>HLOOKUP(INDICE!$F$2,Nombres!$C$3:$D$636,283,FALSE)</f>
        <v>South America (***)</v>
      </c>
      <c r="C40" s="313"/>
      <c r="D40" s="313"/>
      <c r="E40" s="313"/>
      <c r="F40" s="313"/>
      <c r="G40" s="313"/>
      <c r="H40" s="313"/>
      <c r="I40" s="313"/>
    </row>
    <row r="41" spans="1:12" ht="14.25">
      <c r="A41" s="214"/>
      <c r="B41" s="121">
        <f>+B$4</f>
        <v>43921</v>
      </c>
      <c r="C41" s="121">
        <f aca="true" t="shared" si="9" ref="C41:I41">+C$4</f>
        <v>44012</v>
      </c>
      <c r="D41" s="121">
        <f t="shared" si="9"/>
        <v>44104</v>
      </c>
      <c r="E41" s="121">
        <f t="shared" si="9"/>
        <v>44196</v>
      </c>
      <c r="F41" s="121">
        <f t="shared" si="9"/>
        <v>44286</v>
      </c>
      <c r="G41" s="121">
        <f t="shared" si="9"/>
        <v>44377</v>
      </c>
      <c r="H41" s="121">
        <f t="shared" si="9"/>
        <v>44469</v>
      </c>
      <c r="I41" s="121">
        <f t="shared" si="9"/>
        <v>44561</v>
      </c>
      <c r="L41" s="215"/>
    </row>
    <row r="42" spans="1:12" ht="14.25">
      <c r="A42" s="215" t="s">
        <v>7</v>
      </c>
      <c r="B42" s="216">
        <v>3389.3371638194612</v>
      </c>
      <c r="C42" s="216">
        <v>4190.092634492749</v>
      </c>
      <c r="D42" s="216">
        <v>4290.312694384806</v>
      </c>
      <c r="E42" s="216">
        <v>4961.164709732192</v>
      </c>
      <c r="F42" s="216">
        <v>5589.71936018938</v>
      </c>
      <c r="G42" s="216">
        <v>6543.622500624095</v>
      </c>
      <c r="H42" s="216">
        <v>7060.2120057188995</v>
      </c>
      <c r="I42" s="216">
        <v>7798.70451548</v>
      </c>
      <c r="L42" s="215"/>
    </row>
    <row r="43" spans="1:12" ht="14.25">
      <c r="A43" s="215" t="s">
        <v>8</v>
      </c>
      <c r="B43" s="216">
        <v>3.9532671144864073</v>
      </c>
      <c r="C43" s="216">
        <v>3.395028917195016</v>
      </c>
      <c r="D43" s="216">
        <v>4.3949647429325625</v>
      </c>
      <c r="E43" s="216">
        <v>4.517530638647451</v>
      </c>
      <c r="F43" s="216">
        <v>4.7464723156935476</v>
      </c>
      <c r="G43" s="216">
        <v>6.563397375417786</v>
      </c>
      <c r="H43" s="216">
        <v>6.208068664375239</v>
      </c>
      <c r="I43" s="216">
        <v>7.503</v>
      </c>
      <c r="L43" s="215"/>
    </row>
    <row r="44" spans="1:12" ht="14.25">
      <c r="A44" s="215" t="s">
        <v>9</v>
      </c>
      <c r="B44" s="216">
        <v>12547.36665608559</v>
      </c>
      <c r="C44" s="216">
        <v>13743.346871950753</v>
      </c>
      <c r="D44" s="216">
        <v>12945.304831295278</v>
      </c>
      <c r="E44" s="216">
        <v>12793.70614410355</v>
      </c>
      <c r="F44" s="216">
        <v>12516.211263311503</v>
      </c>
      <c r="G44" s="216">
        <v>13008.48227828746</v>
      </c>
      <c r="H44" s="216">
        <v>13017.380965951881</v>
      </c>
      <c r="I44" s="216">
        <v>13812.06076217</v>
      </c>
      <c r="L44" s="215"/>
    </row>
    <row r="45" spans="1:12" ht="14.25">
      <c r="A45" s="215" t="s">
        <v>10</v>
      </c>
      <c r="B45" s="216">
        <v>13849.68544971829</v>
      </c>
      <c r="C45" s="216">
        <v>16029.62500982543</v>
      </c>
      <c r="D45" s="216">
        <v>16559.843809395014</v>
      </c>
      <c r="E45" s="216">
        <v>17766.2719503623</v>
      </c>
      <c r="F45" s="216">
        <v>17157.42734731632</v>
      </c>
      <c r="G45" s="216">
        <v>16551.491412882096</v>
      </c>
      <c r="H45" s="216">
        <v>16765.601763804443</v>
      </c>
      <c r="I45" s="216">
        <v>15488.691687669998</v>
      </c>
      <c r="L45" s="215"/>
    </row>
    <row r="46" spans="1:12" ht="14.25">
      <c r="A46" s="215" t="s">
        <v>11</v>
      </c>
      <c r="B46" s="216">
        <f aca="true" t="shared" si="10" ref="B46:I46">+B47-B45-B44-B43-B42</f>
        <v>12031.289866550222</v>
      </c>
      <c r="C46" s="216">
        <f t="shared" si="10"/>
        <v>12238.83621914269</v>
      </c>
      <c r="D46" s="216">
        <f t="shared" si="10"/>
        <v>12596.076107642015</v>
      </c>
      <c r="E46" s="216">
        <f t="shared" si="10"/>
        <v>12852.637845233683</v>
      </c>
      <c r="F46" s="216">
        <f t="shared" si="10"/>
        <v>13358.917936938471</v>
      </c>
      <c r="G46" s="216">
        <f t="shared" si="10"/>
        <v>13741.83416980038</v>
      </c>
      <c r="H46" s="216">
        <f t="shared" si="10"/>
        <v>13831.467841673406</v>
      </c>
      <c r="I46" s="216">
        <f t="shared" si="10"/>
        <v>14013.253312160006</v>
      </c>
      <c r="L46" s="217"/>
    </row>
    <row r="47" spans="1:9" ht="14.25">
      <c r="A47" s="217" t="str">
        <f>HLOOKUP(INDICE!$F$2,Nombres!$C$3:$D$636,208,FALSE)</f>
        <v>Customer funds under management (**)</v>
      </c>
      <c r="B47" s="217">
        <v>41821.63240328805</v>
      </c>
      <c r="C47" s="217">
        <v>46205.29576432882</v>
      </c>
      <c r="D47" s="217">
        <v>46395.932407460044</v>
      </c>
      <c r="E47" s="217">
        <v>48378.29818007037</v>
      </c>
      <c r="F47" s="217">
        <v>48627.022380071365</v>
      </c>
      <c r="G47" s="217">
        <v>49851.99375896945</v>
      </c>
      <c r="H47" s="217">
        <v>50680.870645813004</v>
      </c>
      <c r="I47" s="217">
        <v>51120.213277480005</v>
      </c>
    </row>
    <row r="48" spans="1:9" ht="14.25">
      <c r="A48" s="210"/>
      <c r="B48" s="219">
        <f>+B42+B43+B44+B45+B46-B47</f>
        <v>0</v>
      </c>
      <c r="C48" s="219">
        <f aca="true" t="shared" si="11" ref="C48:I48">+C42+C43+C44+C45+C46-C47</f>
        <v>0</v>
      </c>
      <c r="D48" s="219">
        <f t="shared" si="11"/>
        <v>0</v>
      </c>
      <c r="E48" s="219">
        <f t="shared" si="11"/>
        <v>0</v>
      </c>
      <c r="F48" s="219">
        <f t="shared" si="11"/>
        <v>0</v>
      </c>
      <c r="G48" s="219">
        <f t="shared" si="11"/>
        <v>0</v>
      </c>
      <c r="H48" s="219">
        <f t="shared" si="11"/>
        <v>0</v>
      </c>
      <c r="I48" s="219">
        <f t="shared" si="11"/>
        <v>0</v>
      </c>
    </row>
    <row r="51" ht="14.25">
      <c r="A51" s="228" t="str">
        <f>HLOOKUP(INDICE!$F$2,Nombres!$C$3:$D$636,206,FALSE)</f>
        <v>Includes mutual funds, pension funds and other off-balance sheet funds. (*) </v>
      </c>
    </row>
    <row r="52" ht="14.25">
      <c r="A52" s="228" t="str">
        <f>HLOOKUP(INDICE!$F$2,Nombres!$C$3:$D$636,207,FALSE)</f>
        <v>Excluding repos  (**)</v>
      </c>
    </row>
    <row r="53" ht="14.25">
      <c r="A53" s="228" t="str">
        <f>HLOOKUP(INDICE!$F$2,Nombres!$C$3:$D$636,284,FALSE)</f>
        <v>Paraguay excluded  (***)</v>
      </c>
    </row>
    <row r="1001" ht="14.25">
      <c r="A1001" s="209" t="s">
        <v>396</v>
      </c>
    </row>
  </sheetData>
  <sheetProtection/>
  <mergeCells count="5">
    <mergeCell ref="B3:I3"/>
    <mergeCell ref="B12:I12"/>
    <mergeCell ref="B21:I21"/>
    <mergeCell ref="B30:I30"/>
    <mergeCell ref="B40:I40"/>
  </mergeCells>
  <conditionalFormatting sqref="B10:I10">
    <cfRule type="cellIs" priority="4" dxfId="114" operator="notBetween">
      <formula>0.5</formula>
      <formula>-0.5</formula>
    </cfRule>
  </conditionalFormatting>
  <conditionalFormatting sqref="B19:I19">
    <cfRule type="cellIs" priority="3" dxfId="114" operator="notBetween">
      <formula>0.5</formula>
      <formula>-0.5</formula>
    </cfRule>
  </conditionalFormatting>
  <conditionalFormatting sqref="B28:I28">
    <cfRule type="cellIs" priority="2" dxfId="114" operator="notBetween">
      <formula>0.5</formula>
      <formula>-0.5</formula>
    </cfRule>
  </conditionalFormatting>
  <conditionalFormatting sqref="B48:I48">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I997"/>
  <sheetViews>
    <sheetView showGridLines="0" zoomScalePageLayoutView="0" workbookViewId="0" topLeftCell="A1">
      <selection activeCell="A1" sqref="A1"/>
    </sheetView>
  </sheetViews>
  <sheetFormatPr defaultColWidth="11.421875" defaultRowHeight="15"/>
  <cols>
    <col min="1" max="1" width="33.7109375" style="0" customWidth="1"/>
  </cols>
  <sheetData>
    <row r="1" spans="1:9" ht="16.5">
      <c r="A1" s="262" t="str">
        <f>HLOOKUP(INDICE!$F$2,Nombres!$C$3:$D$636,242,FALSE)</f>
        <v>ALCO Portfolio</v>
      </c>
      <c r="B1" s="207"/>
      <c r="C1" s="207"/>
      <c r="D1" s="207"/>
      <c r="E1" s="207"/>
      <c r="F1" s="207"/>
      <c r="G1" s="207"/>
      <c r="H1" s="207"/>
      <c r="I1" s="207"/>
    </row>
    <row r="2" spans="1:9" ht="14.25">
      <c r="A2" s="84" t="str">
        <f>HLOOKUP(INDICE!$F$2,Nombres!$C$3:$D$636,32,FALSE)</f>
        <v>(Million euros)</v>
      </c>
      <c r="B2" s="210"/>
      <c r="C2" s="210"/>
      <c r="D2" s="210"/>
      <c r="E2" s="210"/>
      <c r="F2" s="210"/>
      <c r="G2" s="209"/>
      <c r="H2" s="209"/>
      <c r="I2" s="209"/>
    </row>
    <row r="3" spans="1:9" ht="14.25">
      <c r="A3" s="212"/>
      <c r="B3" s="210"/>
      <c r="C3" s="210"/>
      <c r="D3" s="210"/>
      <c r="E3" s="210"/>
      <c r="F3" s="210"/>
      <c r="G3" s="209"/>
      <c r="H3" s="209"/>
      <c r="I3" s="209"/>
    </row>
    <row r="4" spans="1:9" ht="15.75" customHeight="1">
      <c r="A4" s="213"/>
      <c r="B4" s="314" t="str">
        <f>HLOOKUP(INDICE!$F$2,Nombres!$C$3:$D$636,239,FALSE)</f>
        <v>Total ALCO Portfolio</v>
      </c>
      <c r="C4" s="313"/>
      <c r="D4" s="313"/>
      <c r="E4" s="313"/>
      <c r="F4" s="313"/>
      <c r="G4" s="313"/>
      <c r="H4" s="313"/>
      <c r="I4" s="313"/>
    </row>
    <row r="5" spans="1:9" ht="14.25">
      <c r="A5" s="214"/>
      <c r="B5" s="121">
        <f>+España!B30</f>
        <v>43921</v>
      </c>
      <c r="C5" s="121">
        <f>+España!C30</f>
        <v>44012</v>
      </c>
      <c r="D5" s="121">
        <f>+España!D30</f>
        <v>44104</v>
      </c>
      <c r="E5" s="121">
        <f>+España!E30</f>
        <v>44196</v>
      </c>
      <c r="F5" s="121">
        <f>+España!F30</f>
        <v>44286</v>
      </c>
      <c r="G5" s="121">
        <f>+España!G30</f>
        <v>44377</v>
      </c>
      <c r="H5" s="121">
        <f>+España!H30</f>
        <v>44469</v>
      </c>
      <c r="I5" s="121">
        <f>+España!I30</f>
        <v>44561</v>
      </c>
    </row>
    <row r="6" spans="1:9" ht="14.25">
      <c r="A6" s="263" t="str">
        <f>HLOOKUP(INDICE!$F$2,Nombres!$C$3:$D$636,230,FALSE)</f>
        <v>BBVA Group</v>
      </c>
      <c r="B6" s="218">
        <v>41837.7</v>
      </c>
      <c r="C6" s="218">
        <v>42814.8</v>
      </c>
      <c r="D6" s="218">
        <v>44180.899999999994</v>
      </c>
      <c r="E6" s="218">
        <v>44639</v>
      </c>
      <c r="F6" s="218">
        <v>47683</v>
      </c>
      <c r="G6" s="218">
        <v>48674</v>
      </c>
      <c r="H6" s="218">
        <v>47667</v>
      </c>
      <c r="I6" s="218">
        <v>45564</v>
      </c>
    </row>
    <row r="7" spans="1:9" ht="14.25">
      <c r="A7" s="264" t="str">
        <f>HLOOKUP(INDICE!$F$2,Nombres!$C$3:$D$636,231,FALSE)</f>
        <v>Euro Balance</v>
      </c>
      <c r="B7" s="216">
        <v>24184</v>
      </c>
      <c r="C7" s="216">
        <v>23957</v>
      </c>
      <c r="D7" s="216">
        <v>25212</v>
      </c>
      <c r="E7" s="216">
        <v>24686</v>
      </c>
      <c r="F7" s="216">
        <v>26943</v>
      </c>
      <c r="G7" s="216">
        <v>28156</v>
      </c>
      <c r="H7" s="216">
        <v>26923</v>
      </c>
      <c r="I7" s="216">
        <v>25768</v>
      </c>
    </row>
    <row r="8" spans="1:9" ht="14.25">
      <c r="A8" s="265" t="str">
        <f>HLOOKUP(INDICE!$F$2,Nombres!$C$3:$D$636,232,FALSE)</f>
        <v>Spain</v>
      </c>
      <c r="B8" s="216">
        <v>15376</v>
      </c>
      <c r="C8" s="216">
        <v>15111</v>
      </c>
      <c r="D8" s="216">
        <v>15035</v>
      </c>
      <c r="E8" s="216">
        <v>14755</v>
      </c>
      <c r="F8" s="216">
        <v>14739</v>
      </c>
      <c r="G8" s="216">
        <v>14642</v>
      </c>
      <c r="H8" s="216">
        <v>14628</v>
      </c>
      <c r="I8" s="216">
        <v>14616</v>
      </c>
    </row>
    <row r="9" spans="1:9" ht="14.25">
      <c r="A9" s="265" t="str">
        <f>HLOOKUP(INDICE!$F$2,Nombres!$C$3:$D$636,233,FALSE)</f>
        <v>Italy</v>
      </c>
      <c r="B9" s="216">
        <v>4803</v>
      </c>
      <c r="C9" s="216">
        <v>4797</v>
      </c>
      <c r="D9" s="216">
        <v>5852</v>
      </c>
      <c r="E9" s="216">
        <v>5842</v>
      </c>
      <c r="F9" s="216">
        <v>7054</v>
      </c>
      <c r="G9" s="216">
        <v>8704</v>
      </c>
      <c r="H9" s="216">
        <v>8691</v>
      </c>
      <c r="I9" s="216">
        <v>8268</v>
      </c>
    </row>
    <row r="10" spans="1:9" ht="14.25">
      <c r="A10" s="266" t="str">
        <f>HLOOKUP(INDICE!$F$2,Nombres!$C$3:$D$636,234,FALSE)</f>
        <v>Rest</v>
      </c>
      <c r="B10" s="267">
        <v>4005</v>
      </c>
      <c r="C10" s="267">
        <v>4049</v>
      </c>
      <c r="D10" s="267">
        <v>4325</v>
      </c>
      <c r="E10" s="267">
        <v>4089</v>
      </c>
      <c r="F10" s="267">
        <v>5150</v>
      </c>
      <c r="G10" s="267">
        <v>4810</v>
      </c>
      <c r="H10" s="267">
        <v>3604</v>
      </c>
      <c r="I10" s="267">
        <v>2883</v>
      </c>
    </row>
    <row r="11" spans="1:9" ht="14.25">
      <c r="A11" s="264" t="str">
        <f>HLOOKUP(INDICE!$F$2,Nombres!$C$3:$D$636,236,FALSE)</f>
        <v>Turkey</v>
      </c>
      <c r="B11" s="216">
        <v>7853</v>
      </c>
      <c r="C11" s="216">
        <v>7883</v>
      </c>
      <c r="D11" s="216">
        <v>7119</v>
      </c>
      <c r="E11" s="216">
        <v>7167</v>
      </c>
      <c r="F11" s="216">
        <v>6718</v>
      </c>
      <c r="G11" s="216">
        <v>6602</v>
      </c>
      <c r="H11" s="216">
        <v>6982</v>
      </c>
      <c r="I11" s="216">
        <v>5672</v>
      </c>
    </row>
    <row r="12" spans="1:9" ht="14.25">
      <c r="A12" s="264" t="str">
        <f>HLOOKUP(INDICE!$F$2,Nombres!$C$3:$D$636,237,FALSE)</f>
        <v>Mexico</v>
      </c>
      <c r="B12" s="216">
        <v>6575.7</v>
      </c>
      <c r="C12" s="216">
        <v>7140.8</v>
      </c>
      <c r="D12" s="216">
        <v>7945.9</v>
      </c>
      <c r="E12" s="216">
        <v>8988</v>
      </c>
      <c r="F12" s="216">
        <v>10038</v>
      </c>
      <c r="G12" s="216">
        <v>9848</v>
      </c>
      <c r="H12" s="216">
        <v>9767</v>
      </c>
      <c r="I12" s="216">
        <v>10119</v>
      </c>
    </row>
    <row r="13" spans="1:9" ht="14.25">
      <c r="A13" s="264" t="str">
        <f>HLOOKUP(INDICE!$F$2,Nombres!$C$3:$D$636,238,FALSE)</f>
        <v>South America</v>
      </c>
      <c r="B13" s="216">
        <v>3225</v>
      </c>
      <c r="C13" s="216">
        <v>3834</v>
      </c>
      <c r="D13" s="216">
        <v>3904</v>
      </c>
      <c r="E13" s="216">
        <v>3797</v>
      </c>
      <c r="F13" s="216">
        <v>3984</v>
      </c>
      <c r="G13" s="216">
        <v>4068</v>
      </c>
      <c r="H13" s="216">
        <v>3995</v>
      </c>
      <c r="I13" s="216">
        <v>4005</v>
      </c>
    </row>
    <row r="14" spans="1:9" ht="14.25">
      <c r="A14" s="304"/>
      <c r="B14" s="268">
        <f aca="true" t="shared" si="0" ref="B14:G14">+B6-B8-B9-B10-B11-B12-B13</f>
        <v>0</v>
      </c>
      <c r="C14" s="268">
        <f t="shared" si="0"/>
        <v>0</v>
      </c>
      <c r="D14" s="268">
        <f t="shared" si="0"/>
        <v>-5.4569682106375694E-12</v>
      </c>
      <c r="E14" s="268">
        <f t="shared" si="0"/>
        <v>1</v>
      </c>
      <c r="F14" s="268">
        <f t="shared" si="0"/>
        <v>0</v>
      </c>
      <c r="G14" s="268">
        <f t="shared" si="0"/>
        <v>0</v>
      </c>
      <c r="H14" s="268">
        <f>+H6-H8-H9-H10-H11-H12-H13</f>
        <v>0</v>
      </c>
      <c r="I14" s="268" t="e">
        <f>+I6-I8-I9-I10-#REF!-I11-I12-I13</f>
        <v>#REF!</v>
      </c>
    </row>
    <row r="15" spans="1:9" ht="14.25">
      <c r="A15" s="304"/>
      <c r="B15" s="268"/>
      <c r="C15" s="268"/>
      <c r="D15" s="268"/>
      <c r="E15" s="268"/>
      <c r="F15" s="268"/>
      <c r="G15" s="268"/>
      <c r="H15" s="268"/>
      <c r="I15" s="268"/>
    </row>
    <row r="16" spans="1:9" ht="14.25">
      <c r="A16" s="304"/>
      <c r="B16" s="268"/>
      <c r="C16" s="268"/>
      <c r="D16" s="268"/>
      <c r="E16" s="268"/>
      <c r="F16" s="268"/>
      <c r="G16" s="268"/>
      <c r="H16" s="268"/>
      <c r="I16" s="268"/>
    </row>
    <row r="17" spans="1:9" ht="15.75" customHeight="1">
      <c r="A17" s="213"/>
      <c r="B17" s="314" t="str">
        <f>HLOOKUP(INDICE!$F$2,Nombres!$C$3:$D$636,240,FALSE)</f>
        <v>ALCO Portfolio Hold to Collect</v>
      </c>
      <c r="C17" s="313"/>
      <c r="D17" s="313"/>
      <c r="E17" s="313"/>
      <c r="F17" s="313"/>
      <c r="G17" s="313"/>
      <c r="H17" s="313"/>
      <c r="I17" s="313"/>
    </row>
    <row r="18" spans="1:9" ht="15.75" customHeight="1">
      <c r="A18" s="214"/>
      <c r="B18" s="121">
        <f aca="true" t="shared" si="1" ref="B18:I18">+B$5</f>
        <v>43921</v>
      </c>
      <c r="C18" s="121">
        <f t="shared" si="1"/>
        <v>44012</v>
      </c>
      <c r="D18" s="121">
        <f t="shared" si="1"/>
        <v>44104</v>
      </c>
      <c r="E18" s="121">
        <f t="shared" si="1"/>
        <v>44196</v>
      </c>
      <c r="F18" s="121">
        <f t="shared" si="1"/>
        <v>44286</v>
      </c>
      <c r="G18" s="121">
        <f t="shared" si="1"/>
        <v>44377</v>
      </c>
      <c r="H18" s="121">
        <f t="shared" si="1"/>
        <v>44469</v>
      </c>
      <c r="I18" s="121">
        <f t="shared" si="1"/>
        <v>44561</v>
      </c>
    </row>
    <row r="19" spans="1:9" ht="14.25">
      <c r="A19" s="263" t="str">
        <f>HLOOKUP(INDICE!$F$2,Nombres!$C$3:$D$636,230,FALSE)</f>
        <v>BBVA Group</v>
      </c>
      <c r="B19" s="218">
        <v>21002.7</v>
      </c>
      <c r="C19" s="218">
        <v>21704.8</v>
      </c>
      <c r="D19" s="218">
        <v>21189.219999999998</v>
      </c>
      <c r="E19" s="218">
        <v>21274</v>
      </c>
      <c r="F19" s="218">
        <v>21224</v>
      </c>
      <c r="G19" s="218">
        <v>20435</v>
      </c>
      <c r="H19" s="218">
        <v>20458</v>
      </c>
      <c r="I19" s="218">
        <v>19691.9</v>
      </c>
    </row>
    <row r="20" spans="1:9" ht="14.25">
      <c r="A20" s="264" t="str">
        <f>HLOOKUP(INDICE!$F$2,Nombres!$C$3:$D$636,231,FALSE)</f>
        <v>Euro Balance</v>
      </c>
      <c r="B20" s="216">
        <v>15456</v>
      </c>
      <c r="C20" s="216">
        <v>15175</v>
      </c>
      <c r="D20" s="216">
        <v>15063</v>
      </c>
      <c r="E20" s="216">
        <v>15011</v>
      </c>
      <c r="F20" s="216">
        <v>14990</v>
      </c>
      <c r="G20" s="216">
        <v>14956</v>
      </c>
      <c r="H20" s="216">
        <v>14937</v>
      </c>
      <c r="I20" s="216">
        <v>14505</v>
      </c>
    </row>
    <row r="21" spans="1:9" ht="14.25">
      <c r="A21" s="265" t="str">
        <f>HLOOKUP(INDICE!$F$2,Nombres!$C$3:$D$636,232,FALSE)</f>
        <v>Spain</v>
      </c>
      <c r="B21" s="216">
        <v>11607</v>
      </c>
      <c r="C21" s="216">
        <v>11345</v>
      </c>
      <c r="D21" s="216">
        <v>11270</v>
      </c>
      <c r="E21" s="216">
        <v>11236</v>
      </c>
      <c r="F21" s="216">
        <v>11223</v>
      </c>
      <c r="G21" s="216">
        <v>11199</v>
      </c>
      <c r="H21" s="216">
        <v>11187</v>
      </c>
      <c r="I21" s="216">
        <v>11178</v>
      </c>
    </row>
    <row r="22" spans="1:9" ht="14.25">
      <c r="A22" s="265" t="str">
        <f>HLOOKUP(INDICE!$F$2,Nombres!$C$3:$D$636,233,FALSE)</f>
        <v>Italy</v>
      </c>
      <c r="B22" s="216">
        <v>3710</v>
      </c>
      <c r="C22" s="216">
        <v>3705</v>
      </c>
      <c r="D22" s="216">
        <v>3697</v>
      </c>
      <c r="E22" s="216">
        <v>3686</v>
      </c>
      <c r="F22" s="216">
        <v>3681</v>
      </c>
      <c r="G22" s="216">
        <v>3676</v>
      </c>
      <c r="H22" s="216">
        <v>3671</v>
      </c>
      <c r="I22" s="216">
        <v>3250</v>
      </c>
    </row>
    <row r="23" spans="1:9" ht="14.25">
      <c r="A23" s="266" t="str">
        <f>HLOOKUP(INDICE!$F$2,Nombres!$C$3:$D$636,234,FALSE)</f>
        <v>Rest</v>
      </c>
      <c r="B23" s="216">
        <v>139</v>
      </c>
      <c r="C23" s="216">
        <v>125</v>
      </c>
      <c r="D23" s="216">
        <v>96</v>
      </c>
      <c r="E23" s="216">
        <v>89</v>
      </c>
      <c r="F23" s="216">
        <v>86</v>
      </c>
      <c r="G23" s="216">
        <v>81</v>
      </c>
      <c r="H23" s="216">
        <v>79</v>
      </c>
      <c r="I23" s="216">
        <v>77</v>
      </c>
    </row>
    <row r="24" spans="1:9" ht="14.25">
      <c r="A24" s="264" t="str">
        <f>HLOOKUP(INDICE!$F$2,Nombres!$C$3:$D$636,236,FALSE)</f>
        <v>Turkey</v>
      </c>
      <c r="B24" s="216">
        <v>4485</v>
      </c>
      <c r="C24" s="216">
        <v>4192</v>
      </c>
      <c r="D24" s="216">
        <v>3786</v>
      </c>
      <c r="E24" s="216">
        <v>3790</v>
      </c>
      <c r="F24" s="216">
        <v>3639</v>
      </c>
      <c r="G24" s="216">
        <v>3326</v>
      </c>
      <c r="H24" s="216">
        <v>3363</v>
      </c>
      <c r="I24" s="216">
        <v>2803</v>
      </c>
    </row>
    <row r="25" spans="1:9" ht="14.25">
      <c r="A25" s="264" t="str">
        <f>HLOOKUP(INDICE!$F$2,Nombres!$C$3:$D$636,237,FALSE)</f>
        <v>Mexico</v>
      </c>
      <c r="B25" s="216">
        <v>1004.7</v>
      </c>
      <c r="C25" s="216">
        <v>2280.8</v>
      </c>
      <c r="D25" s="216">
        <v>2260.1</v>
      </c>
      <c r="E25" s="216">
        <v>2424</v>
      </c>
      <c r="F25" s="216">
        <v>2461</v>
      </c>
      <c r="G25" s="216">
        <v>2001</v>
      </c>
      <c r="H25" s="216">
        <v>1987</v>
      </c>
      <c r="I25" s="216">
        <v>2190</v>
      </c>
    </row>
    <row r="26" spans="1:9" ht="14.25">
      <c r="A26" s="264" t="str">
        <f>HLOOKUP(INDICE!$F$2,Nombres!$C$3:$D$636,238,FALSE)</f>
        <v>South America</v>
      </c>
      <c r="B26" s="216">
        <v>57</v>
      </c>
      <c r="C26" s="216">
        <v>57</v>
      </c>
      <c r="D26" s="216">
        <v>80.12</v>
      </c>
      <c r="E26" s="216">
        <v>49</v>
      </c>
      <c r="F26" s="216">
        <v>134</v>
      </c>
      <c r="G26" s="216">
        <v>152</v>
      </c>
      <c r="H26" s="216">
        <v>171</v>
      </c>
      <c r="I26" s="216">
        <v>194</v>
      </c>
    </row>
    <row r="27" spans="1:9" ht="14.25">
      <c r="A27" s="304"/>
      <c r="B27" s="268">
        <f aca="true" t="shared" si="2" ref="B27:G27">+B19-B21-B22-B23-B24-B25-B26</f>
        <v>6.821210263296962E-13</v>
      </c>
      <c r="C27" s="268">
        <f t="shared" si="2"/>
        <v>-9.094947017729282E-13</v>
      </c>
      <c r="D27" s="268">
        <f t="shared" si="2"/>
        <v>-2.3874235921539366E-12</v>
      </c>
      <c r="E27" s="268">
        <f t="shared" si="2"/>
        <v>0</v>
      </c>
      <c r="F27" s="268">
        <f t="shared" si="2"/>
        <v>0</v>
      </c>
      <c r="G27" s="268">
        <f t="shared" si="2"/>
        <v>0</v>
      </c>
      <c r="H27" s="268">
        <f>+H19-H21-H22-H23-H24-H25-H26</f>
        <v>0</v>
      </c>
      <c r="I27" s="268" t="e">
        <f>+I19-I21-I22-I23-#REF!-I24-I25-I26</f>
        <v>#REF!</v>
      </c>
    </row>
    <row r="28" spans="1:9" ht="14.25">
      <c r="A28" s="304"/>
      <c r="B28" s="209"/>
      <c r="C28" s="209"/>
      <c r="D28" s="209"/>
      <c r="E28" s="209"/>
      <c r="F28" s="221"/>
      <c r="G28" s="221"/>
      <c r="H28" s="221"/>
      <c r="I28" s="221"/>
    </row>
    <row r="29" spans="1:9" ht="14.25">
      <c r="A29" s="210"/>
      <c r="B29" s="221"/>
      <c r="C29" s="221"/>
      <c r="D29" s="221"/>
      <c r="E29" s="221"/>
      <c r="F29" s="221"/>
      <c r="G29" s="209"/>
      <c r="H29" s="209"/>
      <c r="I29" s="209"/>
    </row>
    <row r="30" spans="1:9" ht="15.75" customHeight="1">
      <c r="A30" s="213"/>
      <c r="B30" s="314" t="str">
        <f>HLOOKUP(INDICE!$F$2,Nombres!$C$3:$D$636,241,FALSE)</f>
        <v>ALCO Portfolio Hold to Collect and Sell</v>
      </c>
      <c r="C30" s="313"/>
      <c r="D30" s="313"/>
      <c r="E30" s="313"/>
      <c r="F30" s="313"/>
      <c r="G30" s="313"/>
      <c r="H30" s="313"/>
      <c r="I30" s="313"/>
    </row>
    <row r="31" spans="1:9" ht="14.25">
      <c r="A31" s="214"/>
      <c r="B31" s="121">
        <f aca="true" t="shared" si="3" ref="B31:I31">+B$5</f>
        <v>43921</v>
      </c>
      <c r="C31" s="121">
        <f t="shared" si="3"/>
        <v>44012</v>
      </c>
      <c r="D31" s="121">
        <f t="shared" si="3"/>
        <v>44104</v>
      </c>
      <c r="E31" s="121">
        <f t="shared" si="3"/>
        <v>44196</v>
      </c>
      <c r="F31" s="121">
        <f t="shared" si="3"/>
        <v>44286</v>
      </c>
      <c r="G31" s="121">
        <f t="shared" si="3"/>
        <v>44377</v>
      </c>
      <c r="H31" s="121">
        <f t="shared" si="3"/>
        <v>44469</v>
      </c>
      <c r="I31" s="121">
        <f t="shared" si="3"/>
        <v>44561</v>
      </c>
    </row>
    <row r="32" spans="1:9" ht="15.75" customHeight="1">
      <c r="A32" s="263" t="str">
        <f>HLOOKUP(INDICE!$F$2,Nombres!$C$3:$D$636,230,FALSE)</f>
        <v>BBVA Group</v>
      </c>
      <c r="B32" s="218">
        <v>20835</v>
      </c>
      <c r="C32" s="218">
        <v>21110</v>
      </c>
      <c r="D32" s="218">
        <v>22991.68</v>
      </c>
      <c r="E32" s="218">
        <v>23365</v>
      </c>
      <c r="F32" s="218">
        <v>26459</v>
      </c>
      <c r="G32" s="218">
        <v>28239</v>
      </c>
      <c r="H32" s="218">
        <v>27209</v>
      </c>
      <c r="I32" s="218">
        <v>25872</v>
      </c>
    </row>
    <row r="33" spans="1:9" ht="14.25">
      <c r="A33" s="215" t="str">
        <f>HLOOKUP(INDICE!$F$2,Nombres!$C$3:$D$636,231,FALSE)</f>
        <v>Euro Balance</v>
      </c>
      <c r="B33" s="216">
        <v>8728</v>
      </c>
      <c r="C33" s="216">
        <v>8782</v>
      </c>
      <c r="D33" s="216">
        <v>10149</v>
      </c>
      <c r="E33" s="216">
        <v>9675</v>
      </c>
      <c r="F33" s="216">
        <v>11953</v>
      </c>
      <c r="G33" s="216">
        <v>13200</v>
      </c>
      <c r="H33" s="216">
        <v>11986</v>
      </c>
      <c r="I33" s="216">
        <v>11263</v>
      </c>
    </row>
    <row r="34" spans="1:9" ht="14.25">
      <c r="A34" s="266" t="str">
        <f>HLOOKUP(INDICE!$F$2,Nombres!$C$3:$D$636,232,FALSE)</f>
        <v>Spain</v>
      </c>
      <c r="B34" s="216">
        <v>3769</v>
      </c>
      <c r="C34" s="216">
        <v>3766</v>
      </c>
      <c r="D34" s="216">
        <v>3765</v>
      </c>
      <c r="E34" s="216">
        <v>3519</v>
      </c>
      <c r="F34" s="216">
        <v>3516</v>
      </c>
      <c r="G34" s="216">
        <v>3443</v>
      </c>
      <c r="H34" s="216">
        <v>3441</v>
      </c>
      <c r="I34" s="216">
        <v>3438</v>
      </c>
    </row>
    <row r="35" spans="1:9" ht="14.25">
      <c r="A35" s="266" t="str">
        <f>HLOOKUP(INDICE!$F$2,Nombres!$C$3:$D$636,233,FALSE)</f>
        <v>Italy</v>
      </c>
      <c r="B35" s="216">
        <v>1093</v>
      </c>
      <c r="C35" s="216">
        <v>1092</v>
      </c>
      <c r="D35" s="216">
        <v>2155</v>
      </c>
      <c r="E35" s="216">
        <v>2156</v>
      </c>
      <c r="F35" s="216">
        <v>3373</v>
      </c>
      <c r="G35" s="216">
        <v>5028</v>
      </c>
      <c r="H35" s="216">
        <v>5020</v>
      </c>
      <c r="I35" s="216">
        <v>5018</v>
      </c>
    </row>
    <row r="36" spans="1:9" ht="14.25">
      <c r="A36" s="266" t="str">
        <f>HLOOKUP(INDICE!$F$2,Nombres!$C$3:$D$636,234,FALSE)</f>
        <v>Rest</v>
      </c>
      <c r="B36" s="216">
        <v>3866</v>
      </c>
      <c r="C36" s="216">
        <v>3924</v>
      </c>
      <c r="D36" s="216">
        <v>4229</v>
      </c>
      <c r="E36" s="216">
        <v>4000</v>
      </c>
      <c r="F36" s="216">
        <v>5064</v>
      </c>
      <c r="G36" s="216">
        <v>4729</v>
      </c>
      <c r="H36" s="216">
        <v>3525</v>
      </c>
      <c r="I36" s="216">
        <v>2806</v>
      </c>
    </row>
    <row r="37" spans="1:9" ht="14.25">
      <c r="A37" s="215" t="str">
        <f>HLOOKUP(INDICE!$F$2,Nombres!$C$3:$D$636,236,FALSE)</f>
        <v>Turkey</v>
      </c>
      <c r="B37" s="216">
        <v>3368</v>
      </c>
      <c r="C37" s="216">
        <v>3691</v>
      </c>
      <c r="D37" s="216">
        <v>3333</v>
      </c>
      <c r="E37" s="216">
        <v>3377</v>
      </c>
      <c r="F37" s="216">
        <v>3079</v>
      </c>
      <c r="G37" s="216">
        <v>3276</v>
      </c>
      <c r="H37" s="216">
        <v>3619</v>
      </c>
      <c r="I37" s="216">
        <v>2869</v>
      </c>
    </row>
    <row r="38" spans="1:9" ht="14.25">
      <c r="A38" s="215" t="str">
        <f>HLOOKUP(INDICE!$F$2,Nombres!$C$3:$D$636,237,FALSE)</f>
        <v>Mexico</v>
      </c>
      <c r="B38" s="216">
        <v>5571</v>
      </c>
      <c r="C38" s="216">
        <v>4860</v>
      </c>
      <c r="D38" s="216">
        <v>5685.8</v>
      </c>
      <c r="E38" s="216">
        <v>6565</v>
      </c>
      <c r="F38" s="216">
        <v>7577</v>
      </c>
      <c r="G38" s="216">
        <v>7847</v>
      </c>
      <c r="H38" s="216">
        <v>7780</v>
      </c>
      <c r="I38" s="216">
        <v>7929</v>
      </c>
    </row>
    <row r="39" spans="1:9" ht="14.25">
      <c r="A39" s="215" t="str">
        <f>HLOOKUP(INDICE!$F$2,Nombres!$C$3:$D$636,238,FALSE)</f>
        <v>South America</v>
      </c>
      <c r="B39" s="216">
        <v>3168</v>
      </c>
      <c r="C39" s="216">
        <v>3777</v>
      </c>
      <c r="D39" s="216">
        <v>3823.88</v>
      </c>
      <c r="E39" s="216">
        <v>3748</v>
      </c>
      <c r="F39" s="216">
        <v>3850</v>
      </c>
      <c r="G39" s="216">
        <v>3916</v>
      </c>
      <c r="H39" s="216">
        <v>3824</v>
      </c>
      <c r="I39" s="216">
        <v>3811</v>
      </c>
    </row>
    <row r="40" spans="2:9" ht="14.25">
      <c r="B40" s="268">
        <f aca="true" t="shared" si="4" ref="B40:G40">+B32-B34-B35-B36-B37-B38-B39</f>
        <v>0</v>
      </c>
      <c r="C40" s="268">
        <f t="shared" si="4"/>
        <v>0</v>
      </c>
      <c r="D40" s="268">
        <f t="shared" si="4"/>
        <v>0</v>
      </c>
      <c r="E40" s="268">
        <f t="shared" si="4"/>
        <v>0</v>
      </c>
      <c r="F40" s="268">
        <f t="shared" si="4"/>
        <v>0</v>
      </c>
      <c r="G40" s="268">
        <f t="shared" si="4"/>
        <v>0</v>
      </c>
      <c r="H40" s="268">
        <f>+H32-H34-H35-H36-H37-H38-H39</f>
        <v>0</v>
      </c>
      <c r="I40" s="268" t="e">
        <f>+I32-I34-I35-I36-#REF!-I37-I38-I39</f>
        <v>#REF!</v>
      </c>
    </row>
    <row r="997" ht="14.25">
      <c r="A997" s="209" t="s">
        <v>396</v>
      </c>
    </row>
  </sheetData>
  <sheetProtection/>
  <mergeCells count="3">
    <mergeCell ref="B4:I4"/>
    <mergeCell ref="B17:I17"/>
    <mergeCell ref="B30:I30"/>
  </mergeCells>
  <conditionalFormatting sqref="B14:I16">
    <cfRule type="cellIs" priority="3" dxfId="114" operator="notBetween">
      <formula>1</formula>
      <formula>-1</formula>
    </cfRule>
  </conditionalFormatting>
  <conditionalFormatting sqref="B27:I27">
    <cfRule type="cellIs" priority="2" dxfId="114" operator="notBetween">
      <formula>1</formula>
      <formula>-1</formula>
    </cfRule>
  </conditionalFormatting>
  <conditionalFormatting sqref="B40:I40">
    <cfRule type="cellIs" priority="1" dxfId="114" operator="notBetween">
      <formula>1</formula>
      <formula>-1</formula>
    </cfRule>
  </conditionalFormatting>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1005"/>
  <sheetViews>
    <sheetView showGridLines="0" zoomScale="80" zoomScaleNormal="80" zoomScalePageLayoutView="0" workbookViewId="0" topLeftCell="A1">
      <selection activeCell="A1" sqref="A1"/>
    </sheetView>
  </sheetViews>
  <sheetFormatPr defaultColWidth="11.421875" defaultRowHeight="15"/>
  <cols>
    <col min="1" max="1" width="109.00390625" style="31" customWidth="1"/>
    <col min="2" max="4" width="11.421875" style="31" customWidth="1"/>
    <col min="5" max="5" width="10.421875" style="31" customWidth="1"/>
    <col min="6" max="6" width="11.421875" style="31" customWidth="1"/>
    <col min="7" max="7" width="11.8515625" style="31" bestFit="1" customWidth="1"/>
    <col min="8" max="9" width="11.57421875" style="31" bestFit="1" customWidth="1"/>
    <col min="10" max="16384" width="11.421875" style="31" customWidth="1"/>
  </cols>
  <sheetData>
    <row r="1" spans="1:9" ht="16.5">
      <c r="A1" s="29" t="str">
        <f>HLOOKUP(INDICE!$F$2,Nombres!$C$3:$D$636,91,FALSE)</f>
        <v>BBVA Group. Consolidated Income statement </v>
      </c>
      <c r="B1" s="30"/>
      <c r="C1" s="30"/>
      <c r="D1" s="30"/>
      <c r="E1" s="30"/>
      <c r="F1" s="30"/>
      <c r="G1" s="30"/>
      <c r="H1" s="30"/>
      <c r="I1" s="30"/>
    </row>
    <row r="2" spans="1:9" ht="19.5">
      <c r="A2" s="32"/>
      <c r="B2" s="30"/>
      <c r="C2" s="30"/>
      <c r="D2" s="30"/>
      <c r="E2" s="30"/>
      <c r="F2" s="30"/>
      <c r="G2" s="30"/>
      <c r="H2" s="30"/>
      <c r="I2" s="30"/>
    </row>
    <row r="3" spans="1:9" ht="16.5">
      <c r="A3" s="33" t="str">
        <f>HLOOKUP(INDICE!$F$2,Nombres!$C$3:$D$636,31,FALSE)</f>
        <v>Income statement  </v>
      </c>
      <c r="B3" s="34"/>
      <c r="C3" s="34"/>
      <c r="D3" s="34"/>
      <c r="E3" s="34"/>
      <c r="F3" s="34"/>
      <c r="G3" s="34"/>
      <c r="H3" s="34"/>
      <c r="I3" s="34"/>
    </row>
    <row r="4" spans="1:9" ht="14.25">
      <c r="A4" s="35"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8">
        <f>+España!F6</f>
        <v>2021</v>
      </c>
      <c r="G6" s="306"/>
      <c r="H6" s="306"/>
      <c r="I6" s="306"/>
    </row>
    <row r="7" spans="1:9" ht="14.2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4.25">
      <c r="A8" s="41" t="str">
        <f>HLOOKUP(INDICE!$F$2,Nombres!$C$3:$D$636,33,FALSE)</f>
        <v>Net interest income</v>
      </c>
      <c r="B8" s="41">
        <v>4023.66399998</v>
      </c>
      <c r="C8" s="41">
        <v>3537.4339999099993</v>
      </c>
      <c r="D8" s="41">
        <v>3553.41700013</v>
      </c>
      <c r="E8" s="42">
        <v>3477.4859999200007</v>
      </c>
      <c r="F8" s="41">
        <v>3450.875000010001</v>
      </c>
      <c r="G8" s="50">
        <v>3504.29200002</v>
      </c>
      <c r="H8" s="50">
        <v>3752.5249999300004</v>
      </c>
      <c r="I8" s="50">
        <v>3978.29300004</v>
      </c>
    </row>
    <row r="9" spans="1:9" ht="14.25">
      <c r="A9" s="43" t="str">
        <f>HLOOKUP(INDICE!$F$2,Nombres!$C$3:$D$636,34,FALSE)</f>
        <v>Net fees and commissions</v>
      </c>
      <c r="B9" s="44">
        <v>1123.96199997</v>
      </c>
      <c r="C9" s="44">
        <v>934.0999999600001</v>
      </c>
      <c r="D9" s="44">
        <v>1022.9079999600001</v>
      </c>
      <c r="E9" s="45">
        <v>1041.66200013</v>
      </c>
      <c r="F9" s="44">
        <v>1132.9649999700002</v>
      </c>
      <c r="G9" s="44">
        <v>1181.8150001200001</v>
      </c>
      <c r="H9" s="44">
        <v>1203.1469999000003</v>
      </c>
      <c r="I9" s="44">
        <v>1247.1010000299998</v>
      </c>
    </row>
    <row r="10" spans="1:9" ht="14.25">
      <c r="A10" s="43" t="str">
        <f>HLOOKUP(INDICE!$F$2,Nombres!$C$3:$D$636,35,FALSE)</f>
        <v>Net trading income</v>
      </c>
      <c r="B10" s="44">
        <v>544.4839999500001</v>
      </c>
      <c r="C10" s="44">
        <v>469.67300002999997</v>
      </c>
      <c r="D10" s="44">
        <v>357.36699997000005</v>
      </c>
      <c r="E10" s="45">
        <v>174.97100007</v>
      </c>
      <c r="F10" s="44">
        <v>581.4600000199999</v>
      </c>
      <c r="G10" s="44">
        <v>502.65600000000006</v>
      </c>
      <c r="H10" s="44">
        <v>387.42199996</v>
      </c>
      <c r="I10" s="44">
        <v>438.26500002000006</v>
      </c>
    </row>
    <row r="11" spans="1:9" ht="14.25">
      <c r="A11" s="43" t="str">
        <f>HLOOKUP(INDICE!$F$2,Nombres!$C$3:$D$636,96,FALSE)</f>
        <v>Dividend income</v>
      </c>
      <c r="B11" s="44">
        <v>4.770999999999939</v>
      </c>
      <c r="C11" s="44">
        <v>69.5230000000001</v>
      </c>
      <c r="D11" s="44">
        <v>4.285000009999948</v>
      </c>
      <c r="E11" s="45">
        <v>58.752999980000084</v>
      </c>
      <c r="F11" s="44">
        <v>5.848999999999975</v>
      </c>
      <c r="G11" s="44">
        <v>119.47300000000004</v>
      </c>
      <c r="H11" s="44">
        <v>4.162999999999932</v>
      </c>
      <c r="I11" s="44">
        <v>46.12000000000009</v>
      </c>
    </row>
    <row r="12" spans="1:9" ht="14.25">
      <c r="A12" s="43" t="str">
        <f>HLOOKUP(INDICE!$F$2,Nombres!$C$3:$D$636,97,FALSE)</f>
        <v>Share of  profit/loss of invest. in subsidaries, joint ventures and associates</v>
      </c>
      <c r="B12" s="44">
        <v>-7.762000000000002</v>
      </c>
      <c r="C12" s="44">
        <v>-9.286999999999997</v>
      </c>
      <c r="D12" s="44">
        <v>-9.142000000000001</v>
      </c>
      <c r="E12" s="45">
        <v>-12.913999999999998</v>
      </c>
      <c r="F12" s="44">
        <v>-5.805</v>
      </c>
      <c r="G12" s="44">
        <v>0.3799999999999988</v>
      </c>
      <c r="H12" s="44">
        <v>3.6560000000000024</v>
      </c>
      <c r="I12" s="44">
        <v>2.5600000000000005</v>
      </c>
    </row>
    <row r="13" spans="1:9" ht="14.25">
      <c r="A13" s="43" t="str">
        <f>HLOOKUP(INDICE!$F$2,Nombres!$C$3:$D$636,98,FALSE)</f>
        <v>Other products and expenses</v>
      </c>
      <c r="B13" s="44">
        <v>88.77599998999997</v>
      </c>
      <c r="C13" s="44">
        <v>-139.8560000099998</v>
      </c>
      <c r="D13" s="44">
        <v>51.26300000999987</v>
      </c>
      <c r="E13" s="45">
        <v>-193.31599998999985</v>
      </c>
      <c r="F13" s="44">
        <v>-10.609000030000013</v>
      </c>
      <c r="G13" s="44">
        <v>-204.64499997999982</v>
      </c>
      <c r="H13" s="44">
        <v>-20.443999970000064</v>
      </c>
      <c r="I13" s="44">
        <v>-235.49099998000034</v>
      </c>
    </row>
    <row r="14" spans="1:9" ht="14.25">
      <c r="A14" s="41" t="str">
        <f>HLOOKUP(INDICE!$F$2,Nombres!$C$3:$D$636,37,FALSE)</f>
        <v>Gross income</v>
      </c>
      <c r="B14" s="41">
        <f>+SUM(B8:B13)</f>
        <v>5777.89499989</v>
      </c>
      <c r="C14" s="41">
        <f aca="true" t="shared" si="0" ref="C14:I14">+SUM(C8:C13)</f>
        <v>4861.58699989</v>
      </c>
      <c r="D14" s="41">
        <f t="shared" si="0"/>
        <v>4980.09800008</v>
      </c>
      <c r="E14" s="42">
        <f t="shared" si="0"/>
        <v>4546.6420001100005</v>
      </c>
      <c r="F14" s="41">
        <f t="shared" si="0"/>
        <v>5154.734999970001</v>
      </c>
      <c r="G14" s="50">
        <f t="shared" si="0"/>
        <v>5103.971000160001</v>
      </c>
      <c r="H14" s="50">
        <f t="shared" si="0"/>
        <v>5330.46899982</v>
      </c>
      <c r="I14" s="50">
        <f t="shared" si="0"/>
        <v>5476.848000110001</v>
      </c>
    </row>
    <row r="15" spans="1:9" ht="14.25">
      <c r="A15" s="43" t="str">
        <f>HLOOKUP(INDICE!$F$2,Nombres!$C$3:$D$636,38,FALSE)</f>
        <v>Operating expenses</v>
      </c>
      <c r="B15" s="44">
        <v>-2477.44109985</v>
      </c>
      <c r="C15" s="44">
        <v>-2182.41990008</v>
      </c>
      <c r="D15" s="44">
        <v>-2163.2830000599997</v>
      </c>
      <c r="E15" s="45">
        <v>-2264.39689997</v>
      </c>
      <c r="F15" s="44">
        <v>-2304.31200013</v>
      </c>
      <c r="G15" s="44">
        <v>-2293.6229999</v>
      </c>
      <c r="H15" s="44">
        <v>-2377.7410001</v>
      </c>
      <c r="I15" s="44">
        <v>-2554.11199978</v>
      </c>
    </row>
    <row r="16" spans="1:9" ht="14.25">
      <c r="A16" s="43" t="str">
        <f>HLOOKUP(INDICE!$F$2,Nombres!$C$3:$D$636,39,FALSE)</f>
        <v>  Administration expenses</v>
      </c>
      <c r="B16" s="44">
        <v>-2132.13509982</v>
      </c>
      <c r="C16" s="44">
        <v>-1866.4489001400002</v>
      </c>
      <c r="D16" s="44">
        <v>-1848.34400004</v>
      </c>
      <c r="E16" s="45">
        <v>-1952.3759000000005</v>
      </c>
      <c r="F16" s="44">
        <v>-1995.78500011</v>
      </c>
      <c r="G16" s="44">
        <v>-1987.04999992</v>
      </c>
      <c r="H16" s="44">
        <v>-2064.1050001099998</v>
      </c>
      <c r="I16" s="44">
        <v>-2248.9999998</v>
      </c>
    </row>
    <row r="17" spans="1:9" ht="14.25">
      <c r="A17" s="46" t="str">
        <f>HLOOKUP(INDICE!$F$2,Nombres!$C$3:$D$636,40,FALSE)</f>
        <v>  Personnel expenses</v>
      </c>
      <c r="B17" s="44">
        <v>-1272.29799997</v>
      </c>
      <c r="C17" s="44">
        <v>-1112.57700008</v>
      </c>
      <c r="D17" s="44">
        <v>-1123.66699991</v>
      </c>
      <c r="E17" s="45">
        <v>-1185.9880000900002</v>
      </c>
      <c r="F17" s="44">
        <v>-1184.22700001</v>
      </c>
      <c r="G17" s="44">
        <v>-1186.7529999800001</v>
      </c>
      <c r="H17" s="44">
        <v>-1276.1730000900002</v>
      </c>
      <c r="I17" s="44">
        <v>-1399.3029998800002</v>
      </c>
    </row>
    <row r="18" spans="1:9" ht="14.25">
      <c r="A18" s="46" t="str">
        <f>HLOOKUP(INDICE!$F$2,Nombres!$C$3:$D$636,41,FALSE)</f>
        <v>  General and administrative expenses</v>
      </c>
      <c r="B18" s="44">
        <v>-859.83709985</v>
      </c>
      <c r="C18" s="44">
        <v>-753.87190006</v>
      </c>
      <c r="D18" s="44">
        <v>-724.67700013</v>
      </c>
      <c r="E18" s="45">
        <v>-766.38789991</v>
      </c>
      <c r="F18" s="44">
        <v>-811.5580001000001</v>
      </c>
      <c r="G18" s="44">
        <v>-800.2969999400002</v>
      </c>
      <c r="H18" s="44">
        <v>-787.93200002</v>
      </c>
      <c r="I18" s="44">
        <v>-849.6969999199999</v>
      </c>
    </row>
    <row r="19" spans="1:9" ht="14.25">
      <c r="A19" s="43" t="str">
        <f>HLOOKUP(INDICE!$F$2,Nombres!$C$3:$D$636,42,FALSE)</f>
        <v>  Depreciation</v>
      </c>
      <c r="B19" s="44">
        <v>-345.30600003</v>
      </c>
      <c r="C19" s="44">
        <v>-315.97099994</v>
      </c>
      <c r="D19" s="44">
        <v>-314.93900002000004</v>
      </c>
      <c r="E19" s="45">
        <v>-312.02099996999993</v>
      </c>
      <c r="F19" s="44">
        <v>-308.52700001999995</v>
      </c>
      <c r="G19" s="44">
        <v>-306.57299998</v>
      </c>
      <c r="H19" s="44">
        <v>-313.63599999</v>
      </c>
      <c r="I19" s="44">
        <v>-305.11199997999995</v>
      </c>
    </row>
    <row r="20" spans="1:9" ht="14.25">
      <c r="A20" s="41" t="str">
        <f>HLOOKUP(INDICE!$F$2,Nombres!$C$3:$D$636,43,FALSE)</f>
        <v>Operating income</v>
      </c>
      <c r="B20" s="41">
        <f>+B14+B15</f>
        <v>3300.45390004</v>
      </c>
      <c r="C20" s="41">
        <f aca="true" t="shared" si="1" ref="C20:I20">+C14+C15</f>
        <v>2679.16709981</v>
      </c>
      <c r="D20" s="41">
        <f t="shared" si="1"/>
        <v>2816.8150000200003</v>
      </c>
      <c r="E20" s="42">
        <f t="shared" si="1"/>
        <v>2282.2451001400004</v>
      </c>
      <c r="F20" s="41">
        <f t="shared" si="1"/>
        <v>2850.422999840001</v>
      </c>
      <c r="G20" s="50">
        <f t="shared" si="1"/>
        <v>2810.3480002600004</v>
      </c>
      <c r="H20" s="50">
        <f t="shared" si="1"/>
        <v>2952.7279997200003</v>
      </c>
      <c r="I20" s="50">
        <f t="shared" si="1"/>
        <v>2922.7360003300005</v>
      </c>
    </row>
    <row r="21" spans="1:9" ht="14.25">
      <c r="A21" s="43" t="str">
        <f>HLOOKUP(INDICE!$F$2,Nombres!$C$3:$D$636,44,FALSE)</f>
        <v>Impaiment on financial assets not measured at fair value through profit or loss</v>
      </c>
      <c r="B21" s="44">
        <v>-2164.17799997</v>
      </c>
      <c r="C21" s="44">
        <v>-1407.8679999899998</v>
      </c>
      <c r="D21" s="44">
        <v>-706.22500006</v>
      </c>
      <c r="E21" s="45">
        <v>-900.73999997</v>
      </c>
      <c r="F21" s="44">
        <v>-923.25300006</v>
      </c>
      <c r="G21" s="44">
        <v>-656.48099991</v>
      </c>
      <c r="H21" s="44">
        <v>-622.39000001</v>
      </c>
      <c r="I21" s="44">
        <v>-832.1090000300002</v>
      </c>
    </row>
    <row r="22" spans="1:9" ht="14.25">
      <c r="A22" s="43" t="str">
        <f>HLOOKUP(INDICE!$F$2,Nombres!$C$3:$D$636,247,FALSE)</f>
        <v>Provisions or reversal of provisions</v>
      </c>
      <c r="B22" s="44">
        <v>-299.725</v>
      </c>
      <c r="C22" s="44">
        <v>-218.57399998000002</v>
      </c>
      <c r="D22" s="44">
        <v>-88.47400000999995</v>
      </c>
      <c r="E22" s="45">
        <v>-139.46600001999997</v>
      </c>
      <c r="F22" s="44">
        <v>-151.16800002000002</v>
      </c>
      <c r="G22" s="44">
        <v>-22.92176699000005</v>
      </c>
      <c r="H22" s="44">
        <v>-50.1979999899999</v>
      </c>
      <c r="I22" s="44">
        <v>-39.6770000200001</v>
      </c>
    </row>
    <row r="23" spans="1:9" ht="14.25">
      <c r="A23" s="43" t="str">
        <f>HLOOKUP(INDICE!$F$2,Nombres!$C$3:$D$636,248,FALSE)</f>
        <v>Other results</v>
      </c>
      <c r="B23" s="44">
        <v>-29.3309999699999</v>
      </c>
      <c r="C23" s="44">
        <v>-102.57900004</v>
      </c>
      <c r="D23" s="44">
        <v>-127.07399997999998</v>
      </c>
      <c r="E23" s="45">
        <v>-81.79298658000026</v>
      </c>
      <c r="F23" s="44">
        <v>-17.18800000000001</v>
      </c>
      <c r="G23" s="44">
        <v>-6.9800929799999905</v>
      </c>
      <c r="H23" s="44">
        <v>19.031999990000003</v>
      </c>
      <c r="I23" s="44">
        <v>7.478000009999985</v>
      </c>
    </row>
    <row r="24" spans="1:9" ht="14.25">
      <c r="A24" s="41" t="str">
        <f>HLOOKUP(INDICE!$F$2,Nombres!$C$3:$D$636,46,FALSE)</f>
        <v>Profit/(loss) before tax</v>
      </c>
      <c r="B24" s="50">
        <f aca="true" t="shared" si="2" ref="B24:I24">+B20+B21+B22+B23</f>
        <v>807.2199000999999</v>
      </c>
      <c r="C24" s="50">
        <f t="shared" si="2"/>
        <v>950.1460998</v>
      </c>
      <c r="D24" s="50">
        <f t="shared" si="2"/>
        <v>1895.0419999700005</v>
      </c>
      <c r="E24" s="42">
        <f t="shared" si="2"/>
        <v>1160.2461135700003</v>
      </c>
      <c r="F24" s="50">
        <f t="shared" si="2"/>
        <v>1758.813999760001</v>
      </c>
      <c r="G24" s="50">
        <f t="shared" si="2"/>
        <v>2123.9651403800003</v>
      </c>
      <c r="H24" s="50">
        <f t="shared" si="2"/>
        <v>2299.17199971</v>
      </c>
      <c r="I24" s="50">
        <f t="shared" si="2"/>
        <v>2058.4280002900005</v>
      </c>
    </row>
    <row r="25" spans="1:9" ht="14.25">
      <c r="A25" s="43" t="str">
        <f>HLOOKUP(INDICE!$F$2,Nombres!$C$3:$D$636,47,FALSE)</f>
        <v>Income tax</v>
      </c>
      <c r="B25" s="44">
        <v>-204.10500000999997</v>
      </c>
      <c r="C25" s="44">
        <v>-272.5159999799999</v>
      </c>
      <c r="D25" s="44">
        <v>-514.60399996</v>
      </c>
      <c r="E25" s="45">
        <v>-336.79950410000015</v>
      </c>
      <c r="F25" s="44">
        <v>-489.26299997999996</v>
      </c>
      <c r="G25" s="44">
        <v>-590.926342</v>
      </c>
      <c r="H25" s="44">
        <v>-639.7290000800001</v>
      </c>
      <c r="I25" s="44">
        <v>-486.93899990000006</v>
      </c>
    </row>
    <row r="26" spans="1:9" ht="14.25">
      <c r="A26" s="41" t="str">
        <f>HLOOKUP(INDICE!$F$2,Nombres!$C$3:$D$636,48,FALSE)</f>
        <v>Profit/(loss) for the year</v>
      </c>
      <c r="B26" s="50">
        <f aca="true" t="shared" si="3" ref="B26:I26">+B24+B25</f>
        <v>603.11490009</v>
      </c>
      <c r="C26" s="50">
        <f t="shared" si="3"/>
        <v>677.6300998200002</v>
      </c>
      <c r="D26" s="50">
        <f t="shared" si="3"/>
        <v>1380.4380000100005</v>
      </c>
      <c r="E26" s="42">
        <f t="shared" si="3"/>
        <v>823.4466094700001</v>
      </c>
      <c r="F26" s="50">
        <f t="shared" si="3"/>
        <v>1269.5509997800011</v>
      </c>
      <c r="G26" s="50">
        <f t="shared" si="3"/>
        <v>1533.0387983800003</v>
      </c>
      <c r="H26" s="50">
        <f t="shared" si="3"/>
        <v>1659.4429996299998</v>
      </c>
      <c r="I26" s="50">
        <f t="shared" si="3"/>
        <v>1571.4890003900005</v>
      </c>
    </row>
    <row r="27" spans="1:16" ht="14.25">
      <c r="A27" s="43" t="str">
        <f>HLOOKUP(INDICE!$F$2,Nombres!$C$3:$D$636,49,FALSE)</f>
        <v>Non-controlling interests</v>
      </c>
      <c r="B27" s="44">
        <v>-171.79500001</v>
      </c>
      <c r="C27" s="44">
        <v>-161.60999998</v>
      </c>
      <c r="D27" s="44">
        <v>-312.23800001</v>
      </c>
      <c r="E27" s="45">
        <v>-109.99300000999999</v>
      </c>
      <c r="F27" s="44">
        <v>-236.81900001</v>
      </c>
      <c r="G27" s="44">
        <v>-238.87099999000003</v>
      </c>
      <c r="H27" s="44">
        <v>-259.04199997</v>
      </c>
      <c r="I27" s="44">
        <v>-230.09700003</v>
      </c>
      <c r="M27" s="285"/>
      <c r="N27" s="285"/>
      <c r="O27" s="285"/>
      <c r="P27" s="285"/>
    </row>
    <row r="28" spans="1:9" ht="14.25">
      <c r="A28" s="47" t="str">
        <f>HLOOKUP(INDICE!$F$2,Nombres!$C$3:$D$636,305,FALSE)</f>
        <v>Net attributable profit excluding non recurring impacts</v>
      </c>
      <c r="B28" s="47">
        <f>+B26+B27</f>
        <v>431.31990008</v>
      </c>
      <c r="C28" s="47">
        <f aca="true" t="shared" si="4" ref="C28:I28">+C26+C27</f>
        <v>516.0200998400002</v>
      </c>
      <c r="D28" s="47">
        <f t="shared" si="4"/>
        <v>1068.2000000000005</v>
      </c>
      <c r="E28" s="47">
        <f t="shared" si="4"/>
        <v>713.4536094600002</v>
      </c>
      <c r="F28" s="47">
        <f t="shared" si="4"/>
        <v>1032.731999770001</v>
      </c>
      <c r="G28" s="47">
        <f t="shared" si="4"/>
        <v>1294.1677983900004</v>
      </c>
      <c r="H28" s="47">
        <f t="shared" si="4"/>
        <v>1400.4009996599998</v>
      </c>
      <c r="I28" s="47">
        <f t="shared" si="4"/>
        <v>1341.3920003600006</v>
      </c>
    </row>
    <row r="29" spans="1:9" ht="14.25">
      <c r="A29" s="41" t="str">
        <f>HLOOKUP(INDICE!$F$2,Nombres!$C$3:$D$636,311,FALSE)</f>
        <v>Corporate &amp; discontinued operations</v>
      </c>
      <c r="B29" s="201">
        <f aca="true" t="shared" si="5" ref="B29:I29">+B30+B31+B32</f>
        <v>-2223.7850000000003</v>
      </c>
      <c r="C29" s="201">
        <f t="shared" si="5"/>
        <v>119.91999999999999</v>
      </c>
      <c r="D29" s="201">
        <f t="shared" si="5"/>
        <v>73.239</v>
      </c>
      <c r="E29" s="300">
        <f t="shared" si="5"/>
        <v>606.3115058600004</v>
      </c>
      <c r="F29" s="201">
        <f t="shared" si="5"/>
        <v>177.04100000000003</v>
      </c>
      <c r="G29" s="201">
        <f t="shared" si="5"/>
        <v>-593.0077980200002</v>
      </c>
      <c r="H29" s="201">
        <f t="shared" si="5"/>
        <v>0</v>
      </c>
      <c r="I29" s="201">
        <f t="shared" si="5"/>
        <v>0</v>
      </c>
    </row>
    <row r="30" spans="1:9" ht="14.25">
      <c r="A30" s="43" t="str">
        <f>HLOOKUP(INDICE!$F$2,Nombres!$C$3:$D$636,306,FALSE)</f>
        <v>Profit/(loss) after tax form discontinued operations (1)</v>
      </c>
      <c r="B30" s="44">
        <v>-2223.7850000000003</v>
      </c>
      <c r="C30" s="44">
        <v>119.91999999999999</v>
      </c>
      <c r="D30" s="44">
        <v>73.239</v>
      </c>
      <c r="E30" s="45">
        <v>301.8430058600003</v>
      </c>
      <c r="F30" s="44">
        <v>177.04100000000003</v>
      </c>
      <c r="G30" s="44">
        <v>102.65999999999976</v>
      </c>
      <c r="H30" s="44">
        <v>0</v>
      </c>
      <c r="I30" s="44">
        <v>0</v>
      </c>
    </row>
    <row r="31" spans="1:9" ht="14.25">
      <c r="A31" s="43" t="str">
        <f>HLOOKUP(INDICE!$F$2,Nombres!$C$3:$D$636,307,FALSE)</f>
        <v>Corporate Operations (2)</v>
      </c>
      <c r="B31" s="44">
        <v>0</v>
      </c>
      <c r="C31" s="44">
        <v>0</v>
      </c>
      <c r="D31" s="44">
        <v>0</v>
      </c>
      <c r="E31" s="45">
        <v>304.4685</v>
      </c>
      <c r="F31" s="44">
        <v>0</v>
      </c>
      <c r="G31" s="44">
        <v>0</v>
      </c>
      <c r="H31" s="44">
        <v>0</v>
      </c>
      <c r="I31" s="44">
        <v>0</v>
      </c>
    </row>
    <row r="32" spans="1:9" ht="14.25">
      <c r="A32" s="43" t="str">
        <f>HLOOKUP(INDICE!$F$2,Nombres!$C$3:$D$636,308,FALSE)</f>
        <v>Net cost related to the reestructuring process.</v>
      </c>
      <c r="B32" s="44">
        <v>0</v>
      </c>
      <c r="C32" s="44">
        <v>0</v>
      </c>
      <c r="D32" s="44">
        <v>0</v>
      </c>
      <c r="E32" s="45">
        <v>0</v>
      </c>
      <c r="F32" s="44">
        <v>0</v>
      </c>
      <c r="G32" s="44">
        <v>-695.66779802</v>
      </c>
      <c r="H32" s="44">
        <v>0</v>
      </c>
      <c r="I32" s="44">
        <v>0</v>
      </c>
    </row>
    <row r="33" spans="1:9" ht="17.25" customHeight="1">
      <c r="A33" s="47" t="str">
        <f>HLOOKUP(INDICE!$F$2,Nombres!$C$3:$D$636,50,FALSE)</f>
        <v>Net attributable profit</v>
      </c>
      <c r="B33" s="47">
        <f aca="true" t="shared" si="6" ref="B33:I33">+B28+B30+B31+B32</f>
        <v>-1792.4650999200003</v>
      </c>
      <c r="C33" s="47">
        <f t="shared" si="6"/>
        <v>635.9400998400001</v>
      </c>
      <c r="D33" s="47">
        <f t="shared" si="6"/>
        <v>1141.4390000000005</v>
      </c>
      <c r="E33" s="47">
        <f t="shared" si="6"/>
        <v>1319.7651153200004</v>
      </c>
      <c r="F33" s="47">
        <f t="shared" si="6"/>
        <v>1209.772999770001</v>
      </c>
      <c r="G33" s="47">
        <f t="shared" si="6"/>
        <v>701.1600003700003</v>
      </c>
      <c r="H33" s="47">
        <f t="shared" si="6"/>
        <v>1400.4009996599998</v>
      </c>
      <c r="I33" s="47">
        <f t="shared" si="6"/>
        <v>1341.3920003600006</v>
      </c>
    </row>
    <row r="34" spans="2:9" ht="12.75" customHeight="1">
      <c r="B34" s="48">
        <v>0</v>
      </c>
      <c r="C34" s="48">
        <v>0</v>
      </c>
      <c r="D34" s="48">
        <v>0</v>
      </c>
      <c r="E34" s="48">
        <v>0</v>
      </c>
      <c r="F34" s="48">
        <v>0</v>
      </c>
      <c r="G34" s="48">
        <v>0</v>
      </c>
      <c r="H34" s="48">
        <v>0</v>
      </c>
      <c r="I34" s="48">
        <v>0</v>
      </c>
    </row>
    <row r="35" spans="1:9" ht="36" customHeight="1">
      <c r="A35" s="43"/>
      <c r="B35" s="48">
        <v>5.684341886080801E-13</v>
      </c>
      <c r="C35" s="48">
        <v>0</v>
      </c>
      <c r="D35" s="48">
        <v>0</v>
      </c>
      <c r="E35" s="48">
        <v>0</v>
      </c>
      <c r="F35" s="48">
        <v>0</v>
      </c>
      <c r="G35" s="48">
        <v>0</v>
      </c>
      <c r="H35" s="48">
        <v>0</v>
      </c>
      <c r="I35" s="48">
        <v>0</v>
      </c>
    </row>
    <row r="36" spans="1:9" ht="15" customHeight="1">
      <c r="A36" s="305" t="str">
        <f>HLOOKUP(INDICE!$F$2,Nombres!$C$3:$D$636,309,FALSE)</f>
        <v>(1) Includes USA as discontinued operation and the goodwill impaiment in USA for 2084 millions of euros registered in the 1stQ of 2020.</v>
      </c>
      <c r="B36" s="305"/>
      <c r="C36" s="305"/>
      <c r="D36" s="305"/>
      <c r="E36" s="305"/>
      <c r="F36" s="305"/>
      <c r="G36" s="305"/>
      <c r="H36" s="305"/>
      <c r="I36" s="305"/>
    </row>
    <row r="37" spans="1:9" ht="14.25" customHeight="1">
      <c r="A37" s="305" t="str">
        <f>HLOOKUP(INDICE!$F$2,Nombres!$C$3:$D$636,310,FALSE)</f>
        <v>(2) Includes the net capital gain from the sale to Allianz of the half plus one share of the company created to jointly develop the non-life insurance business in Spain, excluding the health insurance line </v>
      </c>
      <c r="B37" s="305"/>
      <c r="C37" s="305"/>
      <c r="D37" s="305"/>
      <c r="E37" s="305"/>
      <c r="F37" s="305"/>
      <c r="G37" s="305"/>
      <c r="H37" s="305"/>
      <c r="I37" s="305"/>
    </row>
    <row r="38" spans="1:9" ht="14.25">
      <c r="A38" s="305"/>
      <c r="B38" s="305"/>
      <c r="C38" s="305"/>
      <c r="D38" s="305"/>
      <c r="E38" s="305"/>
      <c r="F38" s="305"/>
      <c r="G38" s="305"/>
      <c r="H38" s="305"/>
      <c r="I38" s="305"/>
    </row>
    <row r="39" spans="1:9" ht="14.25">
      <c r="A39" s="43"/>
      <c r="B39" s="49"/>
      <c r="C39" s="49"/>
      <c r="D39" s="49"/>
      <c r="E39" s="49"/>
      <c r="F39" s="295"/>
      <c r="G39" s="49"/>
      <c r="H39" s="49"/>
      <c r="I39" s="49"/>
    </row>
    <row r="40" spans="2:9" ht="14.25">
      <c r="B40" s="273"/>
      <c r="C40" s="273"/>
      <c r="D40" s="273"/>
      <c r="E40" s="273"/>
      <c r="F40" s="273"/>
      <c r="G40" s="273"/>
      <c r="H40" s="273"/>
      <c r="I40" s="273"/>
    </row>
    <row r="42" spans="1:9" ht="16.5">
      <c r="A42" s="33" t="str">
        <f>HLOOKUP(INDICE!$F$2,Nombres!$C$3:$D$636,31,FALSE)</f>
        <v>Income statement  </v>
      </c>
      <c r="B42" s="34"/>
      <c r="C42" s="34"/>
      <c r="D42" s="34"/>
      <c r="E42" s="34"/>
      <c r="F42" s="34"/>
      <c r="G42" s="34"/>
      <c r="H42" s="34"/>
      <c r="I42" s="34"/>
    </row>
    <row r="43" spans="1:9" ht="14.25">
      <c r="A43" s="35" t="str">
        <f>HLOOKUP(INDICE!$F$2,Nombres!$C$3:$D$636,73,FALSE)</f>
        <v>(Constant million euros)    </v>
      </c>
      <c r="B43" s="30"/>
      <c r="C43" s="36"/>
      <c r="D43" s="36"/>
      <c r="E43" s="36"/>
      <c r="F43" s="30"/>
      <c r="G43" s="30"/>
      <c r="H43" s="30"/>
      <c r="I43" s="30"/>
    </row>
    <row r="44" spans="1:9" ht="14.25">
      <c r="A44" s="37"/>
      <c r="B44" s="30"/>
      <c r="C44" s="36"/>
      <c r="D44" s="36"/>
      <c r="E44" s="36"/>
      <c r="F44" s="30"/>
      <c r="G44" s="30"/>
      <c r="H44" s="30"/>
      <c r="I44" s="30"/>
    </row>
    <row r="45" spans="1:9" ht="14.25">
      <c r="A45" s="38"/>
      <c r="B45" s="306">
        <f>+España!B6</f>
        <v>2020</v>
      </c>
      <c r="C45" s="306"/>
      <c r="D45" s="306"/>
      <c r="E45" s="307"/>
      <c r="F45" s="308">
        <f>+España!F6</f>
        <v>2021</v>
      </c>
      <c r="G45" s="306"/>
      <c r="H45" s="306"/>
      <c r="I45" s="306"/>
    </row>
    <row r="46" spans="1:9" ht="14.25">
      <c r="A46" s="38"/>
      <c r="B46" s="39" t="str">
        <f>+España!B7</f>
        <v>1Q</v>
      </c>
      <c r="C46" s="39" t="str">
        <f>+España!C7</f>
        <v>2Q</v>
      </c>
      <c r="D46" s="39" t="str">
        <f>+España!D7</f>
        <v>3Q</v>
      </c>
      <c r="E46" s="40" t="str">
        <f>+España!E7</f>
        <v>4Q</v>
      </c>
      <c r="F46" s="39" t="str">
        <f>+España!F7</f>
        <v>1Q</v>
      </c>
      <c r="G46" s="39" t="str">
        <f>+España!G7</f>
        <v>2Q</v>
      </c>
      <c r="H46" s="39" t="str">
        <f>+España!H7</f>
        <v>3Q</v>
      </c>
      <c r="I46" s="39" t="str">
        <f>+España!I7</f>
        <v>4Q</v>
      </c>
    </row>
    <row r="47" spans="1:9" ht="14.25">
      <c r="A47" s="41" t="str">
        <f>HLOOKUP(INDICE!$F$2,Nombres!$C$3:$D$636,33,FALSE)</f>
        <v>Net interest income</v>
      </c>
      <c r="B47" s="41">
        <v>3443.5419244331315</v>
      </c>
      <c r="C47" s="41">
        <v>3361.7537446528013</v>
      </c>
      <c r="D47" s="41">
        <v>3521.3872437727855</v>
      </c>
      <c r="E47" s="42">
        <v>3519.0358737364213</v>
      </c>
      <c r="F47" s="41">
        <v>3373.6860253799928</v>
      </c>
      <c r="G47" s="50">
        <v>3502.2104357526377</v>
      </c>
      <c r="H47" s="50">
        <v>3710.499284766159</v>
      </c>
      <c r="I47" s="50">
        <v>4099.589254101211</v>
      </c>
    </row>
    <row r="48" spans="1:9" ht="14.25">
      <c r="A48" s="43" t="str">
        <f>HLOOKUP(INDICE!$F$2,Nombres!$C$3:$D$636,34,FALSE)</f>
        <v>Net fees and commissions</v>
      </c>
      <c r="B48" s="44">
        <v>1014.7922133799756</v>
      </c>
      <c r="C48" s="44">
        <v>907.4075902768373</v>
      </c>
      <c r="D48" s="44">
        <v>1010.4610546622331</v>
      </c>
      <c r="E48" s="45">
        <v>1045.7999078083408</v>
      </c>
      <c r="F48" s="44">
        <v>1112.1536043557762</v>
      </c>
      <c r="G48" s="44">
        <v>1181.1043286466684</v>
      </c>
      <c r="H48" s="44">
        <v>1193.9262120486128</v>
      </c>
      <c r="I48" s="44">
        <v>1277.843854968943</v>
      </c>
    </row>
    <row r="49" spans="1:9" ht="14.25">
      <c r="A49" s="43" t="str">
        <f>HLOOKUP(INDICE!$F$2,Nombres!$C$3:$D$636,35,FALSE)</f>
        <v>Net trading income</v>
      </c>
      <c r="B49" s="44">
        <v>493.17492861481196</v>
      </c>
      <c r="C49" s="44">
        <v>445.0756405345206</v>
      </c>
      <c r="D49" s="44">
        <v>345.1057514874359</v>
      </c>
      <c r="E49" s="45">
        <v>180.45984348287007</v>
      </c>
      <c r="F49" s="44">
        <v>561.3821657257453</v>
      </c>
      <c r="G49" s="44">
        <v>507.44043875230847</v>
      </c>
      <c r="H49" s="44">
        <v>386.2059908544372</v>
      </c>
      <c r="I49" s="44">
        <v>454.7744046675091</v>
      </c>
    </row>
    <row r="50" spans="1:9" ht="14.25">
      <c r="A50" s="43" t="str">
        <f>HLOOKUP(INDICE!$F$2,Nombres!$C$3:$D$636,96,FALSE)</f>
        <v>Dividend income</v>
      </c>
      <c r="B50" s="44">
        <v>4.4334691127037775</v>
      </c>
      <c r="C50" s="44">
        <v>68.10651113467574</v>
      </c>
      <c r="D50" s="44">
        <v>4.792430219582248</v>
      </c>
      <c r="E50" s="45">
        <v>59.10904774872118</v>
      </c>
      <c r="F50" s="44">
        <v>5.743454817381663</v>
      </c>
      <c r="G50" s="44">
        <v>119.40825463535225</v>
      </c>
      <c r="H50" s="44">
        <v>4.15324886625994</v>
      </c>
      <c r="I50" s="44">
        <v>46.30004168100618</v>
      </c>
    </row>
    <row r="51" spans="1:9" ht="14.25">
      <c r="A51" s="43" t="str">
        <f>HLOOKUP(INDICE!$F$2,Nombres!$C$3:$D$636,97,FALSE)</f>
        <v>Share of  profit/loss of invest. in subsidaries, joint ventures and associates</v>
      </c>
      <c r="B51" s="44">
        <v>-7.939552605141467</v>
      </c>
      <c r="C51" s="44">
        <v>-9.084101257367067</v>
      </c>
      <c r="D51" s="44">
        <v>-9.013080850564695</v>
      </c>
      <c r="E51" s="45">
        <v>-13.000916892624195</v>
      </c>
      <c r="F51" s="44">
        <v>-5.839913607771461</v>
      </c>
      <c r="G51" s="44">
        <v>0.41590549165929613</v>
      </c>
      <c r="H51" s="44">
        <v>3.7126645074505102</v>
      </c>
      <c r="I51" s="44">
        <v>2.502343608661656</v>
      </c>
    </row>
    <row r="52" spans="1:9" ht="14.25">
      <c r="A52" s="43" t="str">
        <f>HLOOKUP(INDICE!$F$2,Nombres!$C$3:$D$636,98,FALSE)</f>
        <v>Other products and expenses</v>
      </c>
      <c r="B52" s="44">
        <v>85.36685981947369</v>
      </c>
      <c r="C52" s="44">
        <v>-129.96247364458713</v>
      </c>
      <c r="D52" s="44">
        <v>50.30310400705882</v>
      </c>
      <c r="E52" s="45">
        <v>-194.55493108722052</v>
      </c>
      <c r="F52" s="44">
        <v>-10.591367249892686</v>
      </c>
      <c r="G52" s="44">
        <v>-206.79188591542243</v>
      </c>
      <c r="H52" s="44">
        <v>-22.107734050966297</v>
      </c>
      <c r="I52" s="44">
        <v>-231.69801274371866</v>
      </c>
    </row>
    <row r="53" spans="1:9" ht="14.25">
      <c r="A53" s="41" t="str">
        <f>HLOOKUP(INDICE!$F$2,Nombres!$C$3:$D$636,37,FALSE)</f>
        <v>Gross income</v>
      </c>
      <c r="B53" s="41">
        <f>+SUM(B47:B52)</f>
        <v>5033.369842754956</v>
      </c>
      <c r="C53" s="41">
        <f aca="true" t="shared" si="7" ref="C53:I53">+SUM(C47:C52)</f>
        <v>4643.296911696882</v>
      </c>
      <c r="D53" s="41">
        <f t="shared" si="7"/>
        <v>4923.036503298531</v>
      </c>
      <c r="E53" s="42">
        <f t="shared" si="7"/>
        <v>4596.848824796509</v>
      </c>
      <c r="F53" s="41">
        <f t="shared" si="7"/>
        <v>5036.533969421231</v>
      </c>
      <c r="G53" s="50">
        <f t="shared" si="7"/>
        <v>5103.787477363203</v>
      </c>
      <c r="H53" s="50">
        <f t="shared" si="7"/>
        <v>5276.389666991952</v>
      </c>
      <c r="I53" s="50">
        <f t="shared" si="7"/>
        <v>5649.311886283613</v>
      </c>
    </row>
    <row r="54" spans="1:9" ht="14.25">
      <c r="A54" s="43" t="str">
        <f>HLOOKUP(INDICE!$F$2,Nombres!$C$3:$D$636,38,FALSE)</f>
        <v>Operating expenses</v>
      </c>
      <c r="B54" s="44">
        <v>-2231.0689818637475</v>
      </c>
      <c r="C54" s="44">
        <v>-2114.783162785167</v>
      </c>
      <c r="D54" s="44">
        <v>-2159.8698300580727</v>
      </c>
      <c r="E54" s="45">
        <v>-2279.191051859443</v>
      </c>
      <c r="F54" s="44">
        <v>-2265.520206837181</v>
      </c>
      <c r="G54" s="44">
        <v>-2295.511227594726</v>
      </c>
      <c r="H54" s="44">
        <v>-2362.07228461404</v>
      </c>
      <c r="I54" s="44">
        <v>-2606.684280864054</v>
      </c>
    </row>
    <row r="55" spans="1:9" ht="14.25">
      <c r="A55" s="43" t="str">
        <f>HLOOKUP(INDICE!$F$2,Nombres!$C$3:$D$636,39,FALSE)</f>
        <v>  Administration expenses</v>
      </c>
      <c r="B55" s="44">
        <v>-1916.874702865884</v>
      </c>
      <c r="C55" s="44">
        <v>-1806.4403672548242</v>
      </c>
      <c r="D55" s="44">
        <v>-1846.1293594396384</v>
      </c>
      <c r="E55" s="45">
        <v>-1966.8364882561455</v>
      </c>
      <c r="F55" s="44">
        <v>-1961.3809502586014</v>
      </c>
      <c r="G55" s="44">
        <v>-1989.1115579690809</v>
      </c>
      <c r="H55" s="44">
        <v>-2050.318564053563</v>
      </c>
      <c r="I55" s="44">
        <v>-2295.128927658755</v>
      </c>
    </row>
    <row r="56" spans="1:9" ht="14.25">
      <c r="A56" s="46" t="str">
        <f>HLOOKUP(INDICE!$F$2,Nombres!$C$3:$D$636,40,FALSE)</f>
        <v>  Personnel expenses</v>
      </c>
      <c r="B56" s="44">
        <v>-1147.090796999264</v>
      </c>
      <c r="C56" s="44">
        <v>-1068.975358185697</v>
      </c>
      <c r="D56" s="44">
        <v>-1115.8485934791013</v>
      </c>
      <c r="E56" s="45">
        <v>-1194.8478967714202</v>
      </c>
      <c r="F56" s="44">
        <v>-1162.4693394148817</v>
      </c>
      <c r="G56" s="44">
        <v>-1186.2126468742401</v>
      </c>
      <c r="H56" s="44">
        <v>-1267.9292455413938</v>
      </c>
      <c r="I56" s="44">
        <v>-1429.8447681294842</v>
      </c>
    </row>
    <row r="57" spans="1:9" ht="14.25">
      <c r="A57" s="46" t="str">
        <f>HLOOKUP(INDICE!$F$2,Nombres!$C$3:$D$636,41,FALSE)</f>
        <v>  General and administrative expenses</v>
      </c>
      <c r="B57" s="44">
        <v>-769.78390586662</v>
      </c>
      <c r="C57" s="44">
        <v>-737.4650090691271</v>
      </c>
      <c r="D57" s="44">
        <v>-730.280765960537</v>
      </c>
      <c r="E57" s="45">
        <v>-771.9885914847248</v>
      </c>
      <c r="F57" s="44">
        <v>-798.9116108437198</v>
      </c>
      <c r="G57" s="44">
        <v>-802.8989110948407</v>
      </c>
      <c r="H57" s="44">
        <v>-782.3893185121688</v>
      </c>
      <c r="I57" s="44">
        <v>-865.2841595292706</v>
      </c>
    </row>
    <row r="58" spans="1:9" ht="14.25">
      <c r="A58" s="43" t="str">
        <f>HLOOKUP(INDICE!$F$2,Nombres!$C$3:$D$636,42,FALSE)</f>
        <v>  Depreciation</v>
      </c>
      <c r="B58" s="44">
        <v>-314.1942789978633</v>
      </c>
      <c r="C58" s="44">
        <v>-308.342795530343</v>
      </c>
      <c r="D58" s="44">
        <v>-313.74047061843464</v>
      </c>
      <c r="E58" s="45">
        <v>-312.3545636032982</v>
      </c>
      <c r="F58" s="44">
        <v>-304.1392565785791</v>
      </c>
      <c r="G58" s="44">
        <v>-306.3996696256443</v>
      </c>
      <c r="H58" s="44">
        <v>-311.7537205604776</v>
      </c>
      <c r="I58" s="44">
        <v>-311.55535320529907</v>
      </c>
    </row>
    <row r="59" spans="1:9" ht="14.25">
      <c r="A59" s="41" t="str">
        <f>HLOOKUP(INDICE!$F$2,Nombres!$C$3:$D$636,43,FALSE)</f>
        <v>Operating income</v>
      </c>
      <c r="B59" s="41">
        <f>+B53+B54</f>
        <v>2802.3008608912087</v>
      </c>
      <c r="C59" s="41">
        <f aca="true" t="shared" si="8" ref="C59:I59">+C53+C54</f>
        <v>2528.5137489117146</v>
      </c>
      <c r="D59" s="41">
        <f t="shared" si="8"/>
        <v>2763.1666732404583</v>
      </c>
      <c r="E59" s="42">
        <f t="shared" si="8"/>
        <v>2317.6577729370656</v>
      </c>
      <c r="F59" s="41">
        <f t="shared" si="8"/>
        <v>2771.01376258405</v>
      </c>
      <c r="G59" s="50">
        <f t="shared" si="8"/>
        <v>2808.276249768477</v>
      </c>
      <c r="H59" s="50">
        <f t="shared" si="8"/>
        <v>2914.317382377912</v>
      </c>
      <c r="I59" s="50">
        <f t="shared" si="8"/>
        <v>3042.6276054195587</v>
      </c>
    </row>
    <row r="60" spans="1:9" ht="14.25">
      <c r="A60" s="43" t="str">
        <f>HLOOKUP(INDICE!$F$2,Nombres!$C$3:$D$636,44,FALSE)</f>
        <v>Impaiment on financial assets not measured at fair value through profit or loss</v>
      </c>
      <c r="B60" s="44">
        <v>-1898.7248141420296</v>
      </c>
      <c r="C60" s="44">
        <v>-1380.4966988751257</v>
      </c>
      <c r="D60" s="44">
        <v>-782.8230033793811</v>
      </c>
      <c r="E60" s="45">
        <v>-888.0264825451966</v>
      </c>
      <c r="F60" s="44">
        <v>-908.5103067967357</v>
      </c>
      <c r="G60" s="44">
        <v>-659.3537926871026</v>
      </c>
      <c r="H60" s="44">
        <v>-618.6801468571747</v>
      </c>
      <c r="I60" s="44">
        <v>-847.688753668987</v>
      </c>
    </row>
    <row r="61" spans="1:9" ht="14.25">
      <c r="A61" s="43" t="str">
        <f>HLOOKUP(INDICE!$F$2,Nombres!$C$3:$D$636,247,FALSE)</f>
        <v>Provisions or reversal of provisions</v>
      </c>
      <c r="B61" s="44">
        <v>-286.5748502866909</v>
      </c>
      <c r="C61" s="44">
        <v>-209.51370765671732</v>
      </c>
      <c r="D61" s="44">
        <v>-84.67120890968275</v>
      </c>
      <c r="E61" s="45">
        <v>-127.95749080457199</v>
      </c>
      <c r="F61" s="44">
        <v>-154.55673196683978</v>
      </c>
      <c r="G61" s="44">
        <v>-22.091464991526834</v>
      </c>
      <c r="H61" s="44">
        <v>-50.72536857163662</v>
      </c>
      <c r="I61" s="44">
        <v>-36.59120148999688</v>
      </c>
    </row>
    <row r="62" spans="1:9" ht="14.25">
      <c r="A62" s="43" t="str">
        <f>HLOOKUP(INDICE!$F$2,Nombres!$C$3:$D$636,248,FALSE)</f>
        <v>Other results</v>
      </c>
      <c r="B62" s="44">
        <v>-29.471912539197387</v>
      </c>
      <c r="C62" s="44">
        <v>-97.69809062678917</v>
      </c>
      <c r="D62" s="44">
        <v>-129.44311996341273</v>
      </c>
      <c r="E62" s="45">
        <v>-83.85289511336855</v>
      </c>
      <c r="F62" s="44">
        <v>-18.590813686713837</v>
      </c>
      <c r="G62" s="44">
        <v>-6.633607221811233</v>
      </c>
      <c r="H62" s="44">
        <v>18.893935016742233</v>
      </c>
      <c r="I62" s="44">
        <v>8.672392911782833</v>
      </c>
    </row>
    <row r="63" spans="1:9" ht="14.25">
      <c r="A63" s="41" t="str">
        <f>HLOOKUP(INDICE!$F$2,Nombres!$C$3:$D$636,46,FALSE)</f>
        <v>Profit/(loss) before tax</v>
      </c>
      <c r="B63" s="50">
        <f aca="true" t="shared" si="9" ref="B63:I63">+B59+B60+B61+B62</f>
        <v>587.5292839232908</v>
      </c>
      <c r="C63" s="50">
        <f t="shared" si="9"/>
        <v>840.8052517530824</v>
      </c>
      <c r="D63" s="50">
        <f t="shared" si="9"/>
        <v>1766.2293409879817</v>
      </c>
      <c r="E63" s="42">
        <f t="shared" si="9"/>
        <v>1217.8209044739285</v>
      </c>
      <c r="F63" s="50">
        <f t="shared" si="9"/>
        <v>1689.3559101337605</v>
      </c>
      <c r="G63" s="50">
        <f t="shared" si="9"/>
        <v>2120.1973848680364</v>
      </c>
      <c r="H63" s="50">
        <f t="shared" si="9"/>
        <v>2263.805801965843</v>
      </c>
      <c r="I63" s="50">
        <f t="shared" si="9"/>
        <v>2167.020043172358</v>
      </c>
    </row>
    <row r="64" spans="1:9" ht="14.25">
      <c r="A64" s="43" t="str">
        <f>HLOOKUP(INDICE!$F$2,Nombres!$C$3:$D$636,47,FALSE)</f>
        <v>Income tax</v>
      </c>
      <c r="B64" s="44">
        <v>-149.80910461134775</v>
      </c>
      <c r="C64" s="44">
        <v>-243.47297692194093</v>
      </c>
      <c r="D64" s="44">
        <v>-486.8843903560669</v>
      </c>
      <c r="E64" s="45">
        <v>-345.7671160586925</v>
      </c>
      <c r="F64" s="44">
        <v>-475.63584877793653</v>
      </c>
      <c r="G64" s="44">
        <v>-592.5683420278292</v>
      </c>
      <c r="H64" s="44">
        <v>-628.483908056972</v>
      </c>
      <c r="I64" s="44">
        <v>-510.16924309726227</v>
      </c>
    </row>
    <row r="65" spans="1:9" ht="14.25">
      <c r="A65" s="41" t="str">
        <f>HLOOKUP(INDICE!$F$2,Nombres!$C$3:$D$636,48,FALSE)</f>
        <v>Profit/(loss) for the year</v>
      </c>
      <c r="B65" s="50">
        <f aca="true" t="shared" si="10" ref="B65:I65">+B63+B64</f>
        <v>437.72017931194307</v>
      </c>
      <c r="C65" s="50">
        <f t="shared" si="10"/>
        <v>597.3322748311415</v>
      </c>
      <c r="D65" s="50">
        <f t="shared" si="10"/>
        <v>1279.3449506319148</v>
      </c>
      <c r="E65" s="42">
        <f t="shared" si="10"/>
        <v>872.053788415236</v>
      </c>
      <c r="F65" s="50">
        <f t="shared" si="10"/>
        <v>1213.7200613558239</v>
      </c>
      <c r="G65" s="50">
        <f t="shared" si="10"/>
        <v>1527.6290428402071</v>
      </c>
      <c r="H65" s="50">
        <f t="shared" si="10"/>
        <v>1635.3218939088708</v>
      </c>
      <c r="I65" s="50">
        <f t="shared" si="10"/>
        <v>1656.8508000750955</v>
      </c>
    </row>
    <row r="66" spans="1:9" ht="14.25">
      <c r="A66" s="43" t="str">
        <f>HLOOKUP(INDICE!$F$2,Nombres!$C$3:$D$636,49,FALSE)</f>
        <v>Non-controlling interests</v>
      </c>
      <c r="B66" s="44">
        <v>-110.13401339497018</v>
      </c>
      <c r="C66" s="44">
        <v>-113.41443556241816</v>
      </c>
      <c r="D66" s="44">
        <v>-247.5969029602611</v>
      </c>
      <c r="E66" s="45">
        <v>-122.17637136850388</v>
      </c>
      <c r="F66" s="44">
        <v>-204.04151707463592</v>
      </c>
      <c r="G66" s="44">
        <v>-232.21488555117483</v>
      </c>
      <c r="H66" s="44">
        <v>-251.667278376219</v>
      </c>
      <c r="I66" s="44">
        <v>-276.9053189979703</v>
      </c>
    </row>
    <row r="67" spans="1:9" ht="14.25">
      <c r="A67" s="47" t="str">
        <f>HLOOKUP(INDICE!$F$2,Nombres!$C$3:$D$636,305,FALSE)</f>
        <v>Net attributable profit excluding non recurring impacts</v>
      </c>
      <c r="B67" s="47">
        <f>+B65+B66</f>
        <v>327.5861659169729</v>
      </c>
      <c r="C67" s="47">
        <f aca="true" t="shared" si="11" ref="C67:I67">+C65+C66</f>
        <v>483.91783926872336</v>
      </c>
      <c r="D67" s="47">
        <f t="shared" si="11"/>
        <v>1031.7480476716537</v>
      </c>
      <c r="E67" s="47">
        <f t="shared" si="11"/>
        <v>749.8774170467321</v>
      </c>
      <c r="F67" s="47">
        <f t="shared" si="11"/>
        <v>1009.6785442811879</v>
      </c>
      <c r="G67" s="47">
        <f t="shared" si="11"/>
        <v>1295.4141572890323</v>
      </c>
      <c r="H67" s="47">
        <f t="shared" si="11"/>
        <v>1383.6546155326519</v>
      </c>
      <c r="I67" s="47">
        <f t="shared" si="11"/>
        <v>1379.9454810771254</v>
      </c>
    </row>
    <row r="68" spans="1:9" ht="14.25">
      <c r="A68" s="41" t="str">
        <f>HLOOKUP(INDICE!$F$2,Nombres!$C$3:$D$636,311,FALSE)</f>
        <v>Corporate &amp; discontinued operations</v>
      </c>
      <c r="B68" s="201">
        <f>+B69+B70+B71</f>
        <v>-2214.3340423619875</v>
      </c>
      <c r="C68" s="201">
        <f aca="true" t="shared" si="12" ref="C68:I68">+C69+C70+C71</f>
        <v>111.81710892751781</v>
      </c>
      <c r="D68" s="201">
        <f t="shared" si="12"/>
        <v>69.2624372012263</v>
      </c>
      <c r="E68" s="300">
        <f t="shared" si="12"/>
        <v>596.6377230283574</v>
      </c>
      <c r="F68" s="201">
        <f t="shared" si="12"/>
        <v>180.35482873642613</v>
      </c>
      <c r="G68" s="201">
        <f t="shared" si="12"/>
        <v>-591.583930400266</v>
      </c>
      <c r="H68" s="201">
        <f t="shared" si="12"/>
        <v>-1.9055223190945862</v>
      </c>
      <c r="I68" s="201">
        <f t="shared" si="12"/>
        <v>-2.8321740370654993</v>
      </c>
    </row>
    <row r="69" spans="1:9" ht="14.25" customHeight="1">
      <c r="A69" s="43" t="str">
        <f>HLOOKUP(INDICE!$F$2,Nombres!$C$3:$D$636,306,FALSE)</f>
        <v>Profit/(loss) after tax form discontinued operations (1)</v>
      </c>
      <c r="B69" s="44">
        <v>-2214.3340423619875</v>
      </c>
      <c r="C69" s="44">
        <v>111.81710892751781</v>
      </c>
      <c r="D69" s="44">
        <v>69.2624372012263</v>
      </c>
      <c r="E69" s="45">
        <v>292.16922302835746</v>
      </c>
      <c r="F69" s="44">
        <v>180.35482873642613</v>
      </c>
      <c r="G69" s="44">
        <v>104.08386761973397</v>
      </c>
      <c r="H69" s="44">
        <v>-1.9055223190945862</v>
      </c>
      <c r="I69" s="44">
        <v>-2.8321740370654993</v>
      </c>
    </row>
    <row r="70" spans="1:9" ht="15" customHeight="1">
      <c r="A70" s="43" t="str">
        <f>HLOOKUP(INDICE!$F$2,Nombres!$C$3:$D$636,307,FALSE)</f>
        <v>Corporate Operations (2)</v>
      </c>
      <c r="B70" s="44">
        <v>0</v>
      </c>
      <c r="C70" s="44">
        <v>0</v>
      </c>
      <c r="D70" s="44">
        <v>0</v>
      </c>
      <c r="E70" s="45">
        <v>304.4685</v>
      </c>
      <c r="F70" s="44">
        <v>0</v>
      </c>
      <c r="G70" s="44">
        <v>0</v>
      </c>
      <c r="H70" s="44">
        <v>0</v>
      </c>
      <c r="I70" s="44">
        <v>0</v>
      </c>
    </row>
    <row r="71" spans="1:9" ht="14.25">
      <c r="A71" s="43" t="str">
        <f>HLOOKUP(INDICE!$F$2,Nombres!$C$3:$D$636,308,FALSE)</f>
        <v>Net cost related to the reestructuring process.</v>
      </c>
      <c r="B71" s="44">
        <v>0</v>
      </c>
      <c r="C71" s="44">
        <v>0</v>
      </c>
      <c r="D71" s="44">
        <v>0</v>
      </c>
      <c r="E71" s="45">
        <v>0</v>
      </c>
      <c r="F71" s="44">
        <v>0</v>
      </c>
      <c r="G71" s="44">
        <v>-695.66779802</v>
      </c>
      <c r="H71" s="44">
        <v>0</v>
      </c>
      <c r="I71" s="44">
        <v>0</v>
      </c>
    </row>
    <row r="72" spans="1:9" ht="14.25">
      <c r="A72" s="47" t="str">
        <f>HLOOKUP(INDICE!$F$2,Nombres!$C$3:$D$636,50,FALSE)</f>
        <v>Net attributable profit</v>
      </c>
      <c r="B72" s="47">
        <f>+B67+B69+B70+B71</f>
        <v>-1886.7478764450145</v>
      </c>
      <c r="C72" s="47">
        <f aca="true" t="shared" si="13" ref="C72:I72">+C67+C69+C70+C71</f>
        <v>595.7349481962411</v>
      </c>
      <c r="D72" s="47">
        <f t="shared" si="13"/>
        <v>1101.01048487288</v>
      </c>
      <c r="E72" s="47">
        <f t="shared" si="13"/>
        <v>1346.5151400750897</v>
      </c>
      <c r="F72" s="47">
        <f t="shared" si="13"/>
        <v>1190.033373017614</v>
      </c>
      <c r="G72" s="47">
        <f t="shared" si="13"/>
        <v>703.8302268887664</v>
      </c>
      <c r="H72" s="47">
        <f t="shared" si="13"/>
        <v>1381.7490932135572</v>
      </c>
      <c r="I72" s="47">
        <f t="shared" si="13"/>
        <v>1377.11330704006</v>
      </c>
    </row>
    <row r="73" spans="1:9" ht="37.5" customHeight="1">
      <c r="A73" s="43"/>
      <c r="B73" s="48">
        <v>1.1937117960769683E-12</v>
      </c>
      <c r="C73" s="48">
        <v>1.1937117960769683E-12</v>
      </c>
      <c r="D73" s="48">
        <v>0</v>
      </c>
      <c r="E73" s="48">
        <v>0</v>
      </c>
      <c r="F73" s="48">
        <v>-1.8189894035458565E-12</v>
      </c>
      <c r="G73" s="48">
        <v>0</v>
      </c>
      <c r="H73" s="48">
        <v>0</v>
      </c>
      <c r="I73" s="48">
        <v>0</v>
      </c>
    </row>
    <row r="74" spans="1:9" ht="15" customHeight="1">
      <c r="A74" s="294"/>
      <c r="B74" s="48">
        <v>0</v>
      </c>
      <c r="C74" s="48">
        <v>1.0231815394945443E-12</v>
      </c>
      <c r="D74" s="48">
        <v>0</v>
      </c>
      <c r="E74" s="48">
        <v>0</v>
      </c>
      <c r="F74" s="48">
        <v>-2.0463630789890885E-12</v>
      </c>
      <c r="G74" s="48">
        <v>-1.1368683772161603E-12</v>
      </c>
      <c r="H74" s="48">
        <v>0</v>
      </c>
      <c r="I74" s="48">
        <v>0</v>
      </c>
    </row>
    <row r="75" spans="1:9" ht="14.25" customHeight="1">
      <c r="A75" s="305" t="str">
        <f>HLOOKUP(INDICE!$F$2,Nombres!$C$3:$D$636,309,FALSE)</f>
        <v>(1) Includes USA as discontinued operation and the goodwill impaiment in USA for 2084 millions of euros registered in the 1stQ of 2020.</v>
      </c>
      <c r="B75" s="305"/>
      <c r="C75" s="305"/>
      <c r="D75" s="305"/>
      <c r="E75" s="305"/>
      <c r="F75" s="305"/>
      <c r="G75" s="305"/>
      <c r="H75" s="305"/>
      <c r="I75" s="305"/>
    </row>
    <row r="76" spans="1:9" ht="14.25" customHeight="1">
      <c r="A76" s="305" t="str">
        <f>HLOOKUP(INDICE!$F$2,Nombres!$C$3:$D$636,310,FALSE)</f>
        <v>(2) Includes the net capital gain from the sale to Allianz of the half plus one share of the company created to jointly develop the non-life insurance business in Spain, excluding the health insurance line </v>
      </c>
      <c r="B76" s="305"/>
      <c r="C76" s="305"/>
      <c r="D76" s="305"/>
      <c r="E76" s="305"/>
      <c r="F76" s="305"/>
      <c r="G76" s="305"/>
      <c r="H76" s="305"/>
      <c r="I76" s="305"/>
    </row>
    <row r="77" spans="1:9" ht="14.25">
      <c r="A77" s="43"/>
      <c r="B77" s="272"/>
      <c r="C77" s="272"/>
      <c r="D77" s="272"/>
      <c r="E77" s="272"/>
      <c r="F77" s="272"/>
      <c r="G77" s="272"/>
      <c r="H77" s="272"/>
      <c r="I77" s="272"/>
    </row>
    <row r="78" spans="1:9" ht="14.25">
      <c r="A78"/>
      <c r="B78" s="272"/>
      <c r="C78" s="272"/>
      <c r="D78" s="272"/>
      <c r="E78" s="272"/>
      <c r="F78" s="272"/>
      <c r="G78" s="272"/>
      <c r="H78" s="272"/>
      <c r="I78" s="272"/>
    </row>
    <row r="79" spans="2:9" ht="14.25">
      <c r="B79" s="272"/>
      <c r="C79" s="272"/>
      <c r="D79" s="272"/>
      <c r="E79" s="272"/>
      <c r="F79" s="272"/>
      <c r="G79" s="272"/>
      <c r="H79" s="272"/>
      <c r="I79" s="272"/>
    </row>
    <row r="91" ht="14.25">
      <c r="A91"/>
    </row>
    <row r="1005" ht="14.25">
      <c r="A1005" s="31" t="s">
        <v>396</v>
      </c>
    </row>
  </sheetData>
  <sheetProtection/>
  <mergeCells count="9">
    <mergeCell ref="B45:E45"/>
    <mergeCell ref="F45:I45"/>
    <mergeCell ref="A75:I75"/>
    <mergeCell ref="A76:I76"/>
    <mergeCell ref="B6:E6"/>
    <mergeCell ref="F6:I6"/>
    <mergeCell ref="A36:I36"/>
    <mergeCell ref="A37:I37"/>
    <mergeCell ref="A38:I38"/>
  </mergeCells>
  <conditionalFormatting sqref="B39:I39">
    <cfRule type="cellIs" priority="44" dxfId="14" operator="notBetween">
      <formula>0.4</formula>
      <formula>-0.4</formula>
    </cfRule>
  </conditionalFormatting>
  <conditionalFormatting sqref="B40:I40">
    <cfRule type="cellIs" priority="43" dxfId="14" operator="notBetween">
      <formula>0.4</formula>
      <formula>-0.4</formula>
    </cfRule>
  </conditionalFormatting>
  <conditionalFormatting sqref="E34">
    <cfRule type="cellIs" priority="35" dxfId="114" operator="notBetween">
      <formula>0.5</formula>
      <formula>-0.5</formula>
    </cfRule>
  </conditionalFormatting>
  <conditionalFormatting sqref="C34">
    <cfRule type="cellIs" priority="33" dxfId="114" operator="notBetween">
      <formula>0.5</formula>
      <formula>-0.5</formula>
    </cfRule>
  </conditionalFormatting>
  <conditionalFormatting sqref="H34">
    <cfRule type="cellIs" priority="38" dxfId="114" operator="notBetween">
      <formula>0.5</formula>
      <formula>-0.5</formula>
    </cfRule>
  </conditionalFormatting>
  <conditionalFormatting sqref="I34">
    <cfRule type="cellIs" priority="42" dxfId="114" operator="notBetween">
      <formula>0.5</formula>
      <formula>-0.5</formula>
    </cfRule>
  </conditionalFormatting>
  <conditionalFormatting sqref="B77:G77">
    <cfRule type="cellIs" priority="41" dxfId="14" operator="notBetween">
      <formula>0.4</formula>
      <formula>-0.4</formula>
    </cfRule>
  </conditionalFormatting>
  <conditionalFormatting sqref="G34">
    <cfRule type="cellIs" priority="37" dxfId="114" operator="notBetween">
      <formula>0.5</formula>
      <formula>-0.5</formula>
    </cfRule>
  </conditionalFormatting>
  <conditionalFormatting sqref="H77">
    <cfRule type="cellIs" priority="40" dxfId="14" operator="notBetween">
      <formula>0.4</formula>
      <formula>-0.4</formula>
    </cfRule>
  </conditionalFormatting>
  <conditionalFormatting sqref="I77">
    <cfRule type="cellIs" priority="39" dxfId="14" operator="notBetween">
      <formula>0.4</formula>
      <formula>-0.4</formula>
    </cfRule>
  </conditionalFormatting>
  <conditionalFormatting sqref="F34">
    <cfRule type="cellIs" priority="36" dxfId="114" operator="notBetween">
      <formula>0.5</formula>
      <formula>-0.5</formula>
    </cfRule>
  </conditionalFormatting>
  <conditionalFormatting sqref="D34">
    <cfRule type="cellIs" priority="34" dxfId="114" operator="notBetween">
      <formula>0.5</formula>
      <formula>-0.5</formula>
    </cfRule>
  </conditionalFormatting>
  <conditionalFormatting sqref="D35">
    <cfRule type="cellIs" priority="30" dxfId="114" operator="notBetween">
      <formula>0.5</formula>
      <formula>-0.5</formula>
    </cfRule>
  </conditionalFormatting>
  <conditionalFormatting sqref="B34:I34">
    <cfRule type="cellIs" priority="32" dxfId="114" operator="notBetween">
      <formula>0.5</formula>
      <formula>-0.5</formula>
    </cfRule>
  </conditionalFormatting>
  <conditionalFormatting sqref="C35">
    <cfRule type="cellIs" priority="31" dxfId="114" operator="notBetween">
      <formula>0.5</formula>
      <formula>-0.5</formula>
    </cfRule>
  </conditionalFormatting>
  <conditionalFormatting sqref="B35:I35">
    <cfRule type="cellIs" priority="29" dxfId="114" operator="notBetween">
      <formula>0.5</formula>
      <formula>-0.5</formula>
    </cfRule>
  </conditionalFormatting>
  <conditionalFormatting sqref="F34">
    <cfRule type="cellIs" priority="28" dxfId="114" operator="notBetween">
      <formula>0.5</formula>
      <formula>-0.5</formula>
    </cfRule>
  </conditionalFormatting>
  <conditionalFormatting sqref="G34">
    <cfRule type="cellIs" priority="27" dxfId="114" operator="notBetween">
      <formula>0.5</formula>
      <formula>-0.5</formula>
    </cfRule>
  </conditionalFormatting>
  <conditionalFormatting sqref="H34">
    <cfRule type="cellIs" priority="26" dxfId="114" operator="notBetween">
      <formula>0.5</formula>
      <formula>-0.5</formula>
    </cfRule>
  </conditionalFormatting>
  <conditionalFormatting sqref="I34">
    <cfRule type="cellIs" priority="25" dxfId="114" operator="notBetween">
      <formula>0.5</formula>
      <formula>-0.5</formula>
    </cfRule>
  </conditionalFormatting>
  <conditionalFormatting sqref="D34">
    <cfRule type="cellIs" priority="24" dxfId="114" operator="notBetween">
      <formula>0.5</formula>
      <formula>-0.5</formula>
    </cfRule>
  </conditionalFormatting>
  <conditionalFormatting sqref="C34">
    <cfRule type="cellIs" priority="23" dxfId="114" operator="notBetween">
      <formula>0.5</formula>
      <formula>-0.5</formula>
    </cfRule>
  </conditionalFormatting>
  <conditionalFormatting sqref="B34">
    <cfRule type="cellIs" priority="22" dxfId="114" operator="notBetween">
      <formula>0.5</formula>
      <formula>-0.5</formula>
    </cfRule>
  </conditionalFormatting>
  <conditionalFormatting sqref="F35:I35">
    <cfRule type="cellIs" priority="21" dxfId="114" operator="notBetween">
      <formula>0.5</formula>
      <formula>-0.5</formula>
    </cfRule>
  </conditionalFormatting>
  <conditionalFormatting sqref="B78:G78">
    <cfRule type="cellIs" priority="20" dxfId="14" operator="notBetween">
      <formula>0.4</formula>
      <formula>-0.4</formula>
    </cfRule>
  </conditionalFormatting>
  <conditionalFormatting sqref="H78">
    <cfRule type="cellIs" priority="19" dxfId="14" operator="notBetween">
      <formula>0.4</formula>
      <formula>-0.4</formula>
    </cfRule>
  </conditionalFormatting>
  <conditionalFormatting sqref="I78">
    <cfRule type="cellIs" priority="18" dxfId="14" operator="notBetween">
      <formula>0.4</formula>
      <formula>-0.4</formula>
    </cfRule>
  </conditionalFormatting>
  <conditionalFormatting sqref="E73">
    <cfRule type="cellIs" priority="13" dxfId="114" operator="notBetween">
      <formula>0.5</formula>
      <formula>-0.5</formula>
    </cfRule>
  </conditionalFormatting>
  <conditionalFormatting sqref="C73">
    <cfRule type="cellIs" priority="11" dxfId="114" operator="notBetween">
      <formula>0.5</formula>
      <formula>-0.5</formula>
    </cfRule>
  </conditionalFormatting>
  <conditionalFormatting sqref="H73">
    <cfRule type="cellIs" priority="16" dxfId="114" operator="notBetween">
      <formula>0.5</formula>
      <formula>-0.5</formula>
    </cfRule>
  </conditionalFormatting>
  <conditionalFormatting sqref="I73">
    <cfRule type="cellIs" priority="17" dxfId="114" operator="notBetween">
      <formula>0.5</formula>
      <formula>-0.5</formula>
    </cfRule>
  </conditionalFormatting>
  <conditionalFormatting sqref="G73">
    <cfRule type="cellIs" priority="15" dxfId="114" operator="notBetween">
      <formula>0.5</formula>
      <formula>-0.5</formula>
    </cfRule>
  </conditionalFormatting>
  <conditionalFormatting sqref="F73">
    <cfRule type="cellIs" priority="14" dxfId="114" operator="notBetween">
      <formula>0.5</formula>
      <formula>-0.5</formula>
    </cfRule>
  </conditionalFormatting>
  <conditionalFormatting sqref="D73">
    <cfRule type="cellIs" priority="12" dxfId="114" operator="notBetween">
      <formula>0.5</formula>
      <formula>-0.5</formula>
    </cfRule>
  </conditionalFormatting>
  <conditionalFormatting sqref="B73:I73">
    <cfRule type="cellIs" priority="10" dxfId="114" operator="notBetween">
      <formula>0.5</formula>
      <formula>-0.5</formula>
    </cfRule>
  </conditionalFormatting>
  <conditionalFormatting sqref="F73">
    <cfRule type="cellIs" priority="9" dxfId="114" operator="notBetween">
      <formula>0.5</formula>
      <formula>-0.5</formula>
    </cfRule>
  </conditionalFormatting>
  <conditionalFormatting sqref="G73">
    <cfRule type="cellIs" priority="8" dxfId="114" operator="notBetween">
      <formula>0.5</formula>
      <formula>-0.5</formula>
    </cfRule>
  </conditionalFormatting>
  <conditionalFormatting sqref="H73">
    <cfRule type="cellIs" priority="7" dxfId="114" operator="notBetween">
      <formula>0.5</formula>
      <formula>-0.5</formula>
    </cfRule>
  </conditionalFormatting>
  <conditionalFormatting sqref="I73">
    <cfRule type="cellIs" priority="6" dxfId="114" operator="notBetween">
      <formula>0.5</formula>
      <formula>-0.5</formula>
    </cfRule>
  </conditionalFormatting>
  <conditionalFormatting sqref="D73">
    <cfRule type="cellIs" priority="5" dxfId="114" operator="notBetween">
      <formula>0.5</formula>
      <formula>-0.5</formula>
    </cfRule>
  </conditionalFormatting>
  <conditionalFormatting sqref="C73">
    <cfRule type="cellIs" priority="4" dxfId="114" operator="notBetween">
      <formula>0.5</formula>
      <formula>-0.5</formula>
    </cfRule>
  </conditionalFormatting>
  <conditionalFormatting sqref="B73:I73">
    <cfRule type="cellIs" priority="3" dxfId="114" operator="notBetween">
      <formula>0.5</formula>
      <formula>-0.5</formula>
    </cfRule>
  </conditionalFormatting>
  <conditionalFormatting sqref="B74:I74">
    <cfRule type="cellIs" priority="2" dxfId="114" operator="notBetween">
      <formula>0.5</formula>
      <formula>-0.5</formula>
    </cfRule>
  </conditionalFormatting>
  <conditionalFormatting sqref="B74:I74">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R1000"/>
  <sheetViews>
    <sheetView showGridLines="0" zoomScale="90" zoomScaleNormal="90" zoomScalePageLayoutView="0" workbookViewId="0" topLeftCell="A1">
      <selection activeCell="A1" sqref="A1"/>
    </sheetView>
  </sheetViews>
  <sheetFormatPr defaultColWidth="11.421875" defaultRowHeight="15"/>
  <cols>
    <col min="1" max="1" width="86.421875" style="31" customWidth="1"/>
    <col min="2" max="2" width="10.421875" style="31" customWidth="1"/>
    <col min="3" max="18" width="11.421875" style="31" customWidth="1"/>
  </cols>
  <sheetData>
    <row r="1" spans="1:9" ht="16.5">
      <c r="A1" s="29" t="str">
        <f>HLOOKUP(INDICE!$F$2,Nombres!$C$3:$D$636,104,FALSE)</f>
        <v>BBVA Group. Consolidated balance sheet</v>
      </c>
      <c r="B1" s="30"/>
      <c r="C1" s="30"/>
      <c r="D1" s="30"/>
      <c r="E1" s="30"/>
      <c r="F1" s="30"/>
      <c r="G1" s="30"/>
      <c r="H1" s="30"/>
      <c r="I1" s="30"/>
    </row>
    <row r="2" spans="1:9" ht="19.5">
      <c r="A2" s="32"/>
      <c r="B2" s="30"/>
      <c r="C2" s="30"/>
      <c r="D2" s="30"/>
      <c r="E2" s="30"/>
      <c r="F2" s="30"/>
      <c r="G2" s="30"/>
      <c r="H2" s="30"/>
      <c r="I2" s="30"/>
    </row>
    <row r="3" spans="1:9" ht="16.5">
      <c r="A3" s="33" t="str">
        <f>HLOOKUP(INDICE!$F$2,Nombres!$C$3:$D$636,51,FALSE)</f>
        <v>Balance sheets</v>
      </c>
      <c r="B3" s="34"/>
      <c r="C3" s="34"/>
      <c r="D3" s="34"/>
      <c r="E3" s="34"/>
      <c r="F3" s="34"/>
      <c r="G3" s="34"/>
      <c r="H3" s="34"/>
      <c r="I3" s="34"/>
    </row>
    <row r="4" spans="1:9" ht="14.25">
      <c r="A4" s="35" t="str">
        <f>HLOOKUP(INDICE!$F$2,Nombres!$C$3:$D$636,32,FALSE)</f>
        <v>(Million euros)</v>
      </c>
      <c r="B4" s="30"/>
      <c r="C4" s="52"/>
      <c r="D4" s="52"/>
      <c r="E4" s="52"/>
      <c r="F4" s="30"/>
      <c r="G4" s="58"/>
      <c r="H4" s="58"/>
      <c r="I4" s="58"/>
    </row>
    <row r="5" spans="1:9" ht="14.25">
      <c r="A5" s="30"/>
      <c r="B5" s="53">
        <f>+España!B30</f>
        <v>43921</v>
      </c>
      <c r="C5" s="53">
        <f>+España!C30</f>
        <v>44012</v>
      </c>
      <c r="D5" s="53">
        <f>+España!D30</f>
        <v>44104</v>
      </c>
      <c r="E5" s="53">
        <f>+España!E30</f>
        <v>44196</v>
      </c>
      <c r="F5" s="53">
        <f>+España!F30</f>
        <v>44286</v>
      </c>
      <c r="G5" s="53">
        <f>+España!G30</f>
        <v>44377</v>
      </c>
      <c r="H5" s="53">
        <f>+España!H30</f>
        <v>44469</v>
      </c>
      <c r="I5" s="53">
        <f>+España!I30</f>
        <v>44561</v>
      </c>
    </row>
    <row r="6" spans="1:18" ht="14.25">
      <c r="A6" s="43" t="str">
        <f>HLOOKUP(INDICE!$F$2,Nombres!$C$3:$D$636,52,FALSE)</f>
        <v>Cash, cash balances at central banks and other demand deposits</v>
      </c>
      <c r="B6" s="44">
        <v>44852.634</v>
      </c>
      <c r="C6" s="44">
        <v>55022.643</v>
      </c>
      <c r="D6" s="44">
        <v>59768.64599999999</v>
      </c>
      <c r="E6" s="44">
        <v>65519.834</v>
      </c>
      <c r="F6" s="44">
        <v>54949.79</v>
      </c>
      <c r="G6" s="44">
        <v>61686.822</v>
      </c>
      <c r="H6" s="44">
        <v>63232.27</v>
      </c>
      <c r="I6" s="44">
        <v>67799.213</v>
      </c>
      <c r="J6" s="54"/>
      <c r="K6" s="54"/>
      <c r="O6" s="54"/>
      <c r="P6" s="54"/>
      <c r="Q6" s="54"/>
      <c r="R6" s="54"/>
    </row>
    <row r="7" spans="1:18" ht="14.25">
      <c r="A7" s="43" t="str">
        <f>HLOOKUP(INDICE!$F$2,Nombres!$C$3:$D$636,131,FALSE)</f>
        <v>Financial assets held for trading</v>
      </c>
      <c r="B7" s="44">
        <v>122503.989</v>
      </c>
      <c r="C7" s="44">
        <v>114172.579</v>
      </c>
      <c r="D7" s="44">
        <v>102400.053</v>
      </c>
      <c r="E7" s="44">
        <v>105878.144</v>
      </c>
      <c r="F7" s="44">
        <v>98274.522</v>
      </c>
      <c r="G7" s="44">
        <v>102647.141</v>
      </c>
      <c r="H7" s="44">
        <v>106505.09</v>
      </c>
      <c r="I7" s="44">
        <v>123492.711</v>
      </c>
      <c r="J7" s="54"/>
      <c r="K7" s="54"/>
      <c r="O7" s="54"/>
      <c r="P7" s="54"/>
      <c r="Q7" s="54"/>
      <c r="R7" s="54"/>
    </row>
    <row r="8" spans="1:18" ht="14.25">
      <c r="A8" s="43" t="str">
        <f>HLOOKUP(INDICE!$F$2,Nombres!$C$3:$D$636,132,FALSE)</f>
        <v>Non-trading financial assets mandatorily at fair value through profit or loss</v>
      </c>
      <c r="B8" s="44">
        <v>5078.670999999999</v>
      </c>
      <c r="C8" s="44">
        <v>4980.128000000001</v>
      </c>
      <c r="D8" s="44">
        <v>5122.607999999999</v>
      </c>
      <c r="E8" s="44">
        <v>5197.768</v>
      </c>
      <c r="F8" s="44">
        <v>5488.333</v>
      </c>
      <c r="G8" s="44">
        <v>5742.114</v>
      </c>
      <c r="H8" s="44">
        <v>5873.735</v>
      </c>
      <c r="I8" s="44">
        <v>6085.755</v>
      </c>
      <c r="J8" s="54"/>
      <c r="K8" s="54"/>
      <c r="O8" s="54"/>
      <c r="P8" s="54"/>
      <c r="Q8" s="54"/>
      <c r="R8" s="54"/>
    </row>
    <row r="9" spans="1:18" ht="14.25">
      <c r="A9" s="43" t="str">
        <f>HLOOKUP(INDICE!$F$2,Nombres!$C$3:$D$636,133,FALSE)</f>
        <v>Financial assets designated at fair value through profit or loss</v>
      </c>
      <c r="B9" s="44">
        <v>1174.787</v>
      </c>
      <c r="C9" s="44">
        <v>1097.759</v>
      </c>
      <c r="D9" s="44">
        <v>1117.3410000000001</v>
      </c>
      <c r="E9" s="44">
        <v>1116.604</v>
      </c>
      <c r="F9" s="44">
        <v>1110.309</v>
      </c>
      <c r="G9" s="44">
        <v>1106.563</v>
      </c>
      <c r="H9" s="44">
        <v>1136.922</v>
      </c>
      <c r="I9" s="44">
        <v>1091.698</v>
      </c>
      <c r="J9" s="54"/>
      <c r="K9" s="54"/>
      <c r="O9" s="54"/>
      <c r="P9" s="54"/>
      <c r="Q9" s="54"/>
      <c r="R9" s="54"/>
    </row>
    <row r="10" spans="1:18" ht="14.25">
      <c r="A10" s="43" t="str">
        <f>HLOOKUP(INDICE!$F$2,Nombres!$C$3:$D$636,134,FALSE)</f>
        <v>Financial assets at fair value through accumulated other comprehensive income</v>
      </c>
      <c r="B10" s="44">
        <v>55038.233</v>
      </c>
      <c r="C10" s="44">
        <v>64574.515999999996</v>
      </c>
      <c r="D10" s="44">
        <v>66877.15699999999</v>
      </c>
      <c r="E10" s="44">
        <v>69440.268</v>
      </c>
      <c r="F10" s="44">
        <v>72771.319</v>
      </c>
      <c r="G10" s="44">
        <v>73185.632</v>
      </c>
      <c r="H10" s="44">
        <v>69962.881</v>
      </c>
      <c r="I10" s="44">
        <v>60421.173</v>
      </c>
      <c r="J10" s="54"/>
      <c r="K10" s="54"/>
      <c r="O10" s="54"/>
      <c r="P10" s="54"/>
      <c r="Q10" s="54"/>
      <c r="R10" s="54"/>
    </row>
    <row r="11" spans="1:18" ht="14.25">
      <c r="A11" s="43" t="str">
        <f>HLOOKUP(INDICE!$F$2,Nombres!$C$3:$D$636,135,FALSE)</f>
        <v>Financial assets at amortized cost</v>
      </c>
      <c r="B11" s="44">
        <v>374495.626</v>
      </c>
      <c r="C11" s="44">
        <v>381967.287</v>
      </c>
      <c r="D11" s="44">
        <v>363708.14800000004</v>
      </c>
      <c r="E11" s="44">
        <v>367667.77999999997</v>
      </c>
      <c r="F11" s="44">
        <v>363753.935</v>
      </c>
      <c r="G11" s="44">
        <v>368025.67999999993</v>
      </c>
      <c r="H11" s="44">
        <v>370217.123</v>
      </c>
      <c r="I11" s="44">
        <v>372675.89300000004</v>
      </c>
      <c r="J11" s="54"/>
      <c r="K11" s="54"/>
      <c r="O11" s="54"/>
      <c r="P11" s="54"/>
      <c r="Q11" s="54"/>
      <c r="R11" s="54"/>
    </row>
    <row r="12" spans="1:18" ht="14.25">
      <c r="A12" s="55" t="str">
        <f>HLOOKUP(INDICE!$F$2,Nombres!$C$3:$D$636,136,FALSE)</f>
        <v>. Loans and advances to central banks and credit institutions </v>
      </c>
      <c r="B12" s="56">
        <v>18820.734</v>
      </c>
      <c r="C12" s="56">
        <v>19583.765000000003</v>
      </c>
      <c r="D12" s="56">
        <v>18759.134000000002</v>
      </c>
      <c r="E12" s="56">
        <v>20784.075</v>
      </c>
      <c r="F12" s="56">
        <v>16963.208</v>
      </c>
      <c r="G12" s="56">
        <v>16946.555</v>
      </c>
      <c r="H12" s="56">
        <v>18237.243</v>
      </c>
      <c r="I12" s="56">
        <v>18956.595999999998</v>
      </c>
      <c r="J12" s="54"/>
      <c r="K12" s="54"/>
      <c r="O12" s="54"/>
      <c r="P12" s="54"/>
      <c r="Q12" s="54"/>
      <c r="R12" s="54"/>
    </row>
    <row r="13" spans="1:18" ht="14.25">
      <c r="A13" s="55" t="str">
        <f>HLOOKUP(INDICE!$F$2,Nombres!$C$3:$D$636,137,FALSE)</f>
        <v>. Loans and advances to customers</v>
      </c>
      <c r="B13" s="56">
        <v>321542.534</v>
      </c>
      <c r="C13" s="56">
        <v>326818.425</v>
      </c>
      <c r="D13" s="56">
        <v>309766.44800000003</v>
      </c>
      <c r="E13" s="56">
        <v>311146.959</v>
      </c>
      <c r="F13" s="56">
        <v>310683.014</v>
      </c>
      <c r="G13" s="56">
        <v>315751.932</v>
      </c>
      <c r="H13" s="56">
        <v>316499.159</v>
      </c>
      <c r="I13" s="56">
        <v>318938.684</v>
      </c>
      <c r="J13" s="54"/>
      <c r="K13" s="54"/>
      <c r="O13" s="54"/>
      <c r="P13" s="54"/>
      <c r="Q13" s="54"/>
      <c r="R13" s="54"/>
    </row>
    <row r="14" spans="1:18" ht="14.25">
      <c r="A14" s="55" t="str">
        <f>HLOOKUP(INDICE!$F$2,Nombres!$C$3:$D$636,138,FALSE)</f>
        <v>. Debt securities</v>
      </c>
      <c r="B14" s="56">
        <v>34132.358</v>
      </c>
      <c r="C14" s="56">
        <v>35565.097</v>
      </c>
      <c r="D14" s="56">
        <v>35182.566</v>
      </c>
      <c r="E14" s="56">
        <v>35736.746</v>
      </c>
      <c r="F14" s="56">
        <v>36107.713</v>
      </c>
      <c r="G14" s="56">
        <v>35327.193</v>
      </c>
      <c r="H14" s="56">
        <v>35480.721</v>
      </c>
      <c r="I14" s="56">
        <v>34780.613</v>
      </c>
      <c r="J14" s="54"/>
      <c r="K14" s="54"/>
      <c r="O14" s="54"/>
      <c r="P14" s="54"/>
      <c r="Q14" s="54"/>
      <c r="R14" s="54"/>
    </row>
    <row r="15" spans="1:18" ht="15" customHeight="1" hidden="1">
      <c r="A15" s="43" t="str">
        <f>HLOOKUP(INDICE!$F$2,Nombres!$C$3:$D$636,139,FALSE)</f>
        <v>Held-to-maturity investments</v>
      </c>
      <c r="B15" s="57"/>
      <c r="C15" s="57"/>
      <c r="D15" s="57"/>
      <c r="E15" s="57"/>
      <c r="F15" s="57"/>
      <c r="G15" s="57"/>
      <c r="H15" s="57"/>
      <c r="I15" s="57"/>
      <c r="J15" s="54"/>
      <c r="K15" s="54"/>
      <c r="O15" s="54"/>
      <c r="P15" s="54"/>
      <c r="Q15" s="54"/>
      <c r="R15" s="54"/>
    </row>
    <row r="16" spans="1:18" ht="14.25">
      <c r="A16" s="43" t="str">
        <f>HLOOKUP(INDICE!$F$2,Nombres!$C$3:$D$636,140,FALSE)</f>
        <v>Investments in subsidiaries, joint ventures and associates</v>
      </c>
      <c r="B16" s="44">
        <v>1439.709</v>
      </c>
      <c r="C16" s="44">
        <v>1366.363</v>
      </c>
      <c r="D16" s="44">
        <v>1240.676</v>
      </c>
      <c r="E16" s="44">
        <v>1436.547</v>
      </c>
      <c r="F16" s="44">
        <v>1416.136</v>
      </c>
      <c r="G16" s="44">
        <v>1399.922</v>
      </c>
      <c r="H16" s="44">
        <v>880.324</v>
      </c>
      <c r="I16" s="44">
        <v>900.377</v>
      </c>
      <c r="J16" s="54"/>
      <c r="K16" s="54"/>
      <c r="O16" s="54"/>
      <c r="P16" s="54"/>
      <c r="Q16" s="54"/>
      <c r="R16" s="54"/>
    </row>
    <row r="17" spans="1:18" ht="14.25">
      <c r="A17" s="43" t="str">
        <f>HLOOKUP(INDICE!$F$2,Nombres!$C$3:$D$636,56,FALSE)</f>
        <v>Tangible assets</v>
      </c>
      <c r="B17" s="44">
        <v>8424.149000000001</v>
      </c>
      <c r="C17" s="44">
        <v>8162.518</v>
      </c>
      <c r="D17" s="44">
        <v>7844.151</v>
      </c>
      <c r="E17" s="44">
        <v>7822.708</v>
      </c>
      <c r="F17" s="44">
        <v>7703.314</v>
      </c>
      <c r="G17" s="44">
        <v>7321.364</v>
      </c>
      <c r="H17" s="44">
        <v>7291.122</v>
      </c>
      <c r="I17" s="44">
        <v>7297.848</v>
      </c>
      <c r="J17" s="54"/>
      <c r="K17" s="54"/>
      <c r="O17" s="54"/>
      <c r="P17" s="54"/>
      <c r="Q17" s="54"/>
      <c r="R17" s="54"/>
    </row>
    <row r="18" spans="1:18" ht="14.25">
      <c r="A18" s="43" t="str">
        <f>HLOOKUP(INDICE!$F$2,Nombres!$C$3:$D$636,141,FALSE)</f>
        <v>Intangible assets</v>
      </c>
      <c r="B18" s="44">
        <v>2517.857</v>
      </c>
      <c r="C18" s="44">
        <v>2487.336</v>
      </c>
      <c r="D18" s="44">
        <v>2326.124</v>
      </c>
      <c r="E18" s="44">
        <v>2344.518</v>
      </c>
      <c r="F18" s="44">
        <v>2297.155</v>
      </c>
      <c r="G18" s="44">
        <v>2303.017</v>
      </c>
      <c r="H18" s="44">
        <v>2270.716</v>
      </c>
      <c r="I18" s="44">
        <v>2197.305</v>
      </c>
      <c r="J18" s="54"/>
      <c r="K18" s="54"/>
      <c r="O18" s="54"/>
      <c r="P18" s="54"/>
      <c r="Q18" s="54"/>
      <c r="R18" s="54"/>
    </row>
    <row r="19" spans="1:18" ht="14.25">
      <c r="A19" s="43" t="str">
        <f>HLOOKUP(INDICE!$F$2,Nombres!$C$3:$D$636,57,FALSE)</f>
        <v>Other assets</v>
      </c>
      <c r="B19" s="44">
        <v>111796.15100000001</v>
      </c>
      <c r="C19" s="44">
        <v>115896.66300000003</v>
      </c>
      <c r="D19" s="44">
        <v>112494.408</v>
      </c>
      <c r="E19" s="44">
        <v>107372.624</v>
      </c>
      <c r="F19" s="44">
        <v>109164.539</v>
      </c>
      <c r="G19" s="44">
        <v>21874.225000000002</v>
      </c>
      <c r="H19" s="44">
        <v>21890.901</v>
      </c>
      <c r="I19" s="44">
        <v>20922.711</v>
      </c>
      <c r="J19" s="54"/>
      <c r="K19" s="54"/>
      <c r="O19" s="54"/>
      <c r="P19" s="54"/>
      <c r="Q19" s="54"/>
      <c r="R19" s="54"/>
    </row>
    <row r="20" spans="1:18" ht="14.25">
      <c r="A20" s="47" t="str">
        <f>HLOOKUP(INDICE!$F$2,Nombres!$C$3:$D$636,58,FALSE)</f>
        <v>Total assets / Liabilities and equity</v>
      </c>
      <c r="B20" s="47">
        <f aca="true" t="shared" si="0" ref="B20:I20">+SUM(B6:B11,B16:B19)</f>
        <v>727321.8059999999</v>
      </c>
      <c r="C20" s="47">
        <f t="shared" si="0"/>
        <v>749727.7920000001</v>
      </c>
      <c r="D20" s="47">
        <f t="shared" si="0"/>
        <v>722899.3119999999</v>
      </c>
      <c r="E20" s="47">
        <f t="shared" si="0"/>
        <v>733796.795</v>
      </c>
      <c r="F20" s="47">
        <f t="shared" si="0"/>
        <v>716929.3520000002</v>
      </c>
      <c r="G20" s="47">
        <f t="shared" si="0"/>
        <v>645292.4799999999</v>
      </c>
      <c r="H20" s="47">
        <f t="shared" si="0"/>
        <v>649261.0839999999</v>
      </c>
      <c r="I20" s="47">
        <f t="shared" si="0"/>
        <v>662884.6840000001</v>
      </c>
      <c r="J20" s="54"/>
      <c r="K20" s="54"/>
      <c r="O20" s="54"/>
      <c r="P20" s="54"/>
      <c r="Q20" s="54"/>
      <c r="R20" s="54"/>
    </row>
    <row r="21" spans="1:18" ht="14.25">
      <c r="A21" s="43" t="str">
        <f>HLOOKUP(INDICE!$F$2,Nombres!$C$3:$D$636,59,FALSE)</f>
        <v>Financial liabilities held for trading and designated at fair value through profit or loss</v>
      </c>
      <c r="B21" s="58">
        <v>109946.82699999999</v>
      </c>
      <c r="C21" s="58">
        <v>104397.154</v>
      </c>
      <c r="D21" s="58">
        <v>90794.495</v>
      </c>
      <c r="E21" s="58">
        <v>84109.293</v>
      </c>
      <c r="F21" s="58">
        <v>78477.095</v>
      </c>
      <c r="G21" s="58">
        <v>79985.634</v>
      </c>
      <c r="H21" s="58">
        <v>80785.706</v>
      </c>
      <c r="I21" s="58">
        <v>91134.514</v>
      </c>
      <c r="O21" s="54"/>
      <c r="P21" s="54"/>
      <c r="Q21" s="54"/>
      <c r="R21" s="54"/>
    </row>
    <row r="22" spans="1:18" ht="14.25">
      <c r="A22" s="43" t="str">
        <f>HLOOKUP(INDICE!$F$2,Nombres!$C$3:$D$636,142,FALSE)</f>
        <v>Other financial liabilities designated at fair value through profit or loss</v>
      </c>
      <c r="B22" s="58">
        <v>8641.245</v>
      </c>
      <c r="C22" s="58">
        <v>9203.246</v>
      </c>
      <c r="D22" s="58">
        <v>9381.738</v>
      </c>
      <c r="E22" s="58">
        <v>10049.991</v>
      </c>
      <c r="F22" s="58">
        <v>9713.58</v>
      </c>
      <c r="G22" s="58">
        <v>9811.104</v>
      </c>
      <c r="H22" s="58">
        <v>9725.514</v>
      </c>
      <c r="I22" s="58">
        <v>9683.471</v>
      </c>
      <c r="J22" s="59"/>
      <c r="K22" s="59"/>
      <c r="L22" s="59"/>
      <c r="M22" s="59"/>
      <c r="N22" s="59"/>
      <c r="O22" s="54"/>
      <c r="P22" s="54"/>
      <c r="Q22" s="54"/>
      <c r="R22" s="54"/>
    </row>
    <row r="23" spans="1:18" ht="14.25">
      <c r="A23" s="43" t="str">
        <f>HLOOKUP(INDICE!$F$2,Nombres!$C$3:$D$636,143,FALSE)</f>
        <v>Financial liabilities at amortized cost</v>
      </c>
      <c r="B23" s="58">
        <v>458852.044</v>
      </c>
      <c r="C23" s="58">
        <v>479905.163</v>
      </c>
      <c r="D23" s="58">
        <v>470763.902</v>
      </c>
      <c r="E23" s="58">
        <v>490605.732</v>
      </c>
      <c r="F23" s="58">
        <v>475812.855</v>
      </c>
      <c r="G23" s="58">
        <v>479617.829</v>
      </c>
      <c r="H23" s="58">
        <v>481662.365</v>
      </c>
      <c r="I23" s="58">
        <v>487892.72</v>
      </c>
      <c r="J23" s="59"/>
      <c r="K23" s="59"/>
      <c r="L23" s="59"/>
      <c r="M23" s="59"/>
      <c r="N23" s="59"/>
      <c r="O23" s="54"/>
      <c r="P23" s="54"/>
      <c r="Q23" s="54"/>
      <c r="R23" s="54"/>
    </row>
    <row r="24" spans="1:18" ht="14.25">
      <c r="A24" s="55" t="str">
        <f>HLOOKUP(INDICE!$F$2,Nombres!$C$3:$D$636,60,FALSE)</f>
        <v>Deposits from central banks and credit institutions</v>
      </c>
      <c r="B24" s="58">
        <v>65566.03899999999</v>
      </c>
      <c r="C24" s="58">
        <v>73709.45100000002</v>
      </c>
      <c r="D24" s="58">
        <v>67834.44</v>
      </c>
      <c r="E24" s="58">
        <v>72806.322</v>
      </c>
      <c r="F24" s="58">
        <v>74123.35800000001</v>
      </c>
      <c r="G24" s="58">
        <v>71644.65699999999</v>
      </c>
      <c r="H24" s="58">
        <v>71507.343</v>
      </c>
      <c r="I24" s="58">
        <v>67185.341</v>
      </c>
      <c r="O24" s="54"/>
      <c r="P24" s="54"/>
      <c r="Q24" s="54"/>
      <c r="R24" s="54"/>
    </row>
    <row r="25" spans="1:18" ht="14.25">
      <c r="A25" s="55" t="str">
        <f>HLOOKUP(INDICE!$F$2,Nombres!$C$3:$D$636,61,FALSE)</f>
        <v>Deposits from customers</v>
      </c>
      <c r="B25" s="58">
        <v>318347.133</v>
      </c>
      <c r="C25" s="58">
        <v>331350.86</v>
      </c>
      <c r="D25" s="58">
        <v>326447.1</v>
      </c>
      <c r="E25" s="58">
        <v>342661.067</v>
      </c>
      <c r="F25" s="58">
        <v>331063.659</v>
      </c>
      <c r="G25" s="58">
        <v>338794.954</v>
      </c>
      <c r="H25" s="58">
        <v>340827.854</v>
      </c>
      <c r="I25" s="58">
        <v>349761.487</v>
      </c>
      <c r="O25" s="54"/>
      <c r="P25" s="54"/>
      <c r="Q25" s="54"/>
      <c r="R25" s="54"/>
    </row>
    <row r="26" spans="1:18" ht="14.25">
      <c r="A26" s="55" t="str">
        <f>HLOOKUP(INDICE!$F$2,Nombres!$C$3:$D$636,62,FALSE)</f>
        <v>Debt certificates</v>
      </c>
      <c r="B26" s="58">
        <v>61588.140999999996</v>
      </c>
      <c r="C26" s="58">
        <v>61359.477999999996</v>
      </c>
      <c r="D26" s="58">
        <v>64092.18800000001</v>
      </c>
      <c r="E26" s="58">
        <v>61779.985</v>
      </c>
      <c r="F26" s="58">
        <v>57417.941</v>
      </c>
      <c r="G26" s="58">
        <v>55046.618</v>
      </c>
      <c r="H26" s="58">
        <v>55396.81</v>
      </c>
      <c r="I26" s="58">
        <v>55763.274</v>
      </c>
      <c r="O26" s="54"/>
      <c r="P26" s="54"/>
      <c r="Q26" s="54"/>
      <c r="R26" s="54"/>
    </row>
    <row r="27" spans="1:18" ht="14.25">
      <c r="A27" s="55" t="str">
        <f>HLOOKUP(INDICE!$F$2,Nombres!$C$3:$D$636,144,FALSE)</f>
        <v>. Other financial liabilities</v>
      </c>
      <c r="B27" s="58">
        <v>13350.731</v>
      </c>
      <c r="C27" s="58">
        <v>13485.374</v>
      </c>
      <c r="D27" s="58">
        <v>12390.174</v>
      </c>
      <c r="E27" s="58">
        <v>13358.358</v>
      </c>
      <c r="F27" s="58">
        <v>13207.897</v>
      </c>
      <c r="G27" s="58">
        <v>14131.6</v>
      </c>
      <c r="H27" s="58">
        <v>13930.358</v>
      </c>
      <c r="I27" s="58">
        <v>15182.618</v>
      </c>
      <c r="O27" s="54"/>
      <c r="P27" s="54"/>
      <c r="Q27" s="54"/>
      <c r="R27" s="54"/>
    </row>
    <row r="28" spans="1:18" ht="14.25">
      <c r="A28" s="43" t="str">
        <f>HLOOKUP(INDICE!$F$2,Nombres!$C$3:$D$636,145,FALSE)</f>
        <v>Liabilities under insurance and reinsurance contracts</v>
      </c>
      <c r="B28" s="58">
        <v>9593.095</v>
      </c>
      <c r="C28" s="58">
        <v>9462.217</v>
      </c>
      <c r="D28" s="58">
        <v>9504.696</v>
      </c>
      <c r="E28" s="58">
        <v>9951.33</v>
      </c>
      <c r="F28" s="58">
        <v>10325.477</v>
      </c>
      <c r="G28" s="58">
        <v>10535.323</v>
      </c>
      <c r="H28" s="58">
        <v>10564.065</v>
      </c>
      <c r="I28" s="58">
        <v>10864.78</v>
      </c>
      <c r="O28" s="54"/>
      <c r="P28" s="54"/>
      <c r="Q28" s="54"/>
      <c r="R28" s="54"/>
    </row>
    <row r="29" spans="1:18" ht="14.25">
      <c r="A29" s="43" t="str">
        <f>HLOOKUP(INDICE!$F$2,Nombres!$C$3:$D$636,63,FALSE)</f>
        <v>Other liabilities</v>
      </c>
      <c r="B29" s="58">
        <v>91114.35</v>
      </c>
      <c r="C29" s="58">
        <v>97205.195</v>
      </c>
      <c r="D29" s="58">
        <v>93932.95799999998</v>
      </c>
      <c r="E29" s="58">
        <v>89060.619</v>
      </c>
      <c r="F29" s="58">
        <v>91889.053</v>
      </c>
      <c r="G29" s="58">
        <v>15398.419999999998</v>
      </c>
      <c r="H29" s="58">
        <v>15956.514</v>
      </c>
      <c r="I29" s="58">
        <v>14549.081</v>
      </c>
      <c r="O29" s="54"/>
      <c r="P29" s="54"/>
      <c r="Q29" s="54"/>
      <c r="R29" s="54"/>
    </row>
    <row r="30" spans="1:18" ht="14.25">
      <c r="A30" s="41" t="str">
        <f>HLOOKUP(INDICE!$F$2,Nombres!$C$3:$D$636,146,FALSE)</f>
        <v>Total liabilities</v>
      </c>
      <c r="B30" s="60">
        <f aca="true" t="shared" si="1" ref="B30:I30">+SUM(B21:B23,B28:B29)</f>
        <v>678147.5609999999</v>
      </c>
      <c r="C30" s="60">
        <f t="shared" si="1"/>
        <v>700172.9749999999</v>
      </c>
      <c r="D30" s="60">
        <f t="shared" si="1"/>
        <v>674377.789</v>
      </c>
      <c r="E30" s="60">
        <f t="shared" si="1"/>
        <v>683776.9650000001</v>
      </c>
      <c r="F30" s="60">
        <f t="shared" si="1"/>
        <v>666218.0599999999</v>
      </c>
      <c r="G30" s="60">
        <f t="shared" si="1"/>
        <v>595348.31</v>
      </c>
      <c r="H30" s="60">
        <f t="shared" si="1"/>
        <v>598694.1639999999</v>
      </c>
      <c r="I30" s="60">
        <f t="shared" si="1"/>
        <v>614124.566</v>
      </c>
      <c r="O30" s="54"/>
      <c r="P30" s="54"/>
      <c r="Q30" s="54"/>
      <c r="R30" s="54"/>
    </row>
    <row r="31" spans="1:18" ht="15" customHeight="1" hidden="1">
      <c r="A31" s="41"/>
      <c r="B31" s="60"/>
      <c r="C31" s="60"/>
      <c r="D31" s="60"/>
      <c r="E31" s="60"/>
      <c r="F31" s="60"/>
      <c r="G31" s="60"/>
      <c r="H31" s="60"/>
      <c r="I31" s="60"/>
      <c r="O31" s="54"/>
      <c r="P31" s="54"/>
      <c r="Q31" s="54"/>
      <c r="R31" s="54"/>
    </row>
    <row r="32" spans="1:18" ht="15" customHeight="1" hidden="1">
      <c r="A32" s="43" t="str">
        <f>HLOOKUP(INDICE!$F$2,Nombres!$C$3:$D$636,147,FALSE)</f>
        <v>Non-controlling interests</v>
      </c>
      <c r="B32" s="58">
        <v>5988.998</v>
      </c>
      <c r="C32" s="58">
        <v>5835.816</v>
      </c>
      <c r="D32" s="58">
        <v>5404.432</v>
      </c>
      <c r="E32" s="58">
        <v>5471.443</v>
      </c>
      <c r="F32" s="58">
        <v>5395.961</v>
      </c>
      <c r="G32" s="58">
        <v>5428.254</v>
      </c>
      <c r="H32" s="58">
        <v>5628.132</v>
      </c>
      <c r="I32" s="58">
        <v>4853.013</v>
      </c>
      <c r="O32" s="54"/>
      <c r="P32" s="54"/>
      <c r="Q32" s="54"/>
      <c r="R32" s="54"/>
    </row>
    <row r="33" spans="1:18" ht="15" customHeight="1" hidden="1">
      <c r="A33" s="43" t="str">
        <f>HLOOKUP(INDICE!$F$2,Nombres!$C$3:$D$636,148,FALSE)</f>
        <v>Accumulated other comprehensive income</v>
      </c>
      <c r="B33" s="58">
        <v>-12804.735</v>
      </c>
      <c r="C33" s="58">
        <v>-12822.452</v>
      </c>
      <c r="D33" s="58">
        <v>-14552.254</v>
      </c>
      <c r="E33" s="58">
        <v>-14355.727</v>
      </c>
      <c r="F33" s="58">
        <v>-14718.02</v>
      </c>
      <c r="G33" s="58">
        <v>-15348.029</v>
      </c>
      <c r="H33" s="58">
        <v>-15683.671</v>
      </c>
      <c r="I33" s="58">
        <v>-16476.235</v>
      </c>
      <c r="O33" s="54"/>
      <c r="P33" s="54"/>
      <c r="Q33" s="54"/>
      <c r="R33" s="54"/>
    </row>
    <row r="34" spans="1:18" ht="15" customHeight="1" hidden="1">
      <c r="A34" s="43" t="str">
        <f>HLOOKUP(INDICE!$F$2,Nombres!$C$3:$D$636,149,FALSE)</f>
        <v>Shareholders' funds</v>
      </c>
      <c r="B34" s="58">
        <v>55989.982</v>
      </c>
      <c r="C34" s="58">
        <v>56541.453</v>
      </c>
      <c r="D34" s="58">
        <v>57669.345</v>
      </c>
      <c r="E34" s="58">
        <v>58904.114</v>
      </c>
      <c r="F34" s="58">
        <v>60033.351</v>
      </c>
      <c r="G34" s="58">
        <v>59863.941</v>
      </c>
      <c r="H34" s="58">
        <v>60622.46</v>
      </c>
      <c r="I34" s="58">
        <v>60383.344</v>
      </c>
      <c r="O34" s="54"/>
      <c r="P34" s="54"/>
      <c r="Q34" s="54"/>
      <c r="R34" s="54"/>
    </row>
    <row r="35" spans="1:18" ht="14.25">
      <c r="A35" s="41" t="str">
        <f>HLOOKUP(INDICE!$F$2,Nombres!$C$3:$D$636,150,FALSE)</f>
        <v>Total equity</v>
      </c>
      <c r="B35" s="60">
        <f aca="true" t="shared" si="2" ref="B35:I35">+B32+B33+B34</f>
        <v>49174.245</v>
      </c>
      <c r="C35" s="60">
        <f t="shared" si="2"/>
        <v>49554.817</v>
      </c>
      <c r="D35" s="60">
        <f t="shared" si="2"/>
        <v>48521.523</v>
      </c>
      <c r="E35" s="60">
        <f t="shared" si="2"/>
        <v>50019.83</v>
      </c>
      <c r="F35" s="60">
        <f t="shared" si="2"/>
        <v>50711.292</v>
      </c>
      <c r="G35" s="60">
        <f t="shared" si="2"/>
        <v>49944.166</v>
      </c>
      <c r="H35" s="60">
        <f t="shared" si="2"/>
        <v>50566.921</v>
      </c>
      <c r="I35" s="60">
        <f t="shared" si="2"/>
        <v>48760.121999999996</v>
      </c>
      <c r="O35" s="54"/>
      <c r="P35" s="54"/>
      <c r="Q35" s="54"/>
      <c r="R35" s="54"/>
    </row>
    <row r="36" spans="1:18" ht="14.25">
      <c r="A36" s="43"/>
      <c r="B36" s="58"/>
      <c r="C36" s="58"/>
      <c r="D36" s="58"/>
      <c r="E36" s="58"/>
      <c r="F36" s="58"/>
      <c r="G36" s="58"/>
      <c r="H36" s="58"/>
      <c r="I36" s="58"/>
      <c r="O36" s="54"/>
      <c r="P36" s="54"/>
      <c r="Q36" s="54"/>
      <c r="R36" s="54"/>
    </row>
    <row r="37" spans="1:18" ht="14.25">
      <c r="A37" s="47" t="str">
        <f>HLOOKUP(INDICE!$F$2,Nombres!$C$3:$D$636,151,FALSE)</f>
        <v>Total equity and liabilities</v>
      </c>
      <c r="B37" s="47">
        <f>+B20</f>
        <v>727321.8059999999</v>
      </c>
      <c r="C37" s="47">
        <f aca="true" t="shared" si="3" ref="C37:I37">+C20</f>
        <v>749727.7920000001</v>
      </c>
      <c r="D37" s="47">
        <f t="shared" si="3"/>
        <v>722899.3119999999</v>
      </c>
      <c r="E37" s="47">
        <f t="shared" si="3"/>
        <v>733796.795</v>
      </c>
      <c r="F37" s="47">
        <f t="shared" si="3"/>
        <v>716929.3520000002</v>
      </c>
      <c r="G37" s="47">
        <f t="shared" si="3"/>
        <v>645292.4799999999</v>
      </c>
      <c r="H37" s="47">
        <f t="shared" si="3"/>
        <v>649261.0839999999</v>
      </c>
      <c r="I37" s="47">
        <f t="shared" si="3"/>
        <v>662884.6840000001</v>
      </c>
      <c r="O37" s="54"/>
      <c r="P37" s="54"/>
      <c r="Q37" s="54"/>
      <c r="R37" s="54"/>
    </row>
    <row r="38" spans="1:9" ht="14.25">
      <c r="A38" s="43"/>
      <c r="B38" s="61">
        <f aca="true" t="shared" si="4" ref="B38:I38">+B37-B20</f>
        <v>0</v>
      </c>
      <c r="C38" s="61">
        <f t="shared" si="4"/>
        <v>0</v>
      </c>
      <c r="D38" s="61">
        <f t="shared" si="4"/>
        <v>0</v>
      </c>
      <c r="E38" s="61">
        <f t="shared" si="4"/>
        <v>0</v>
      </c>
      <c r="F38" s="61">
        <f t="shared" si="4"/>
        <v>0</v>
      </c>
      <c r="G38" s="61">
        <f t="shared" si="4"/>
        <v>0</v>
      </c>
      <c r="H38" s="61">
        <f t="shared" si="4"/>
        <v>0</v>
      </c>
      <c r="I38" s="61">
        <f t="shared" si="4"/>
        <v>0</v>
      </c>
    </row>
    <row r="39" spans="1:9" ht="14.25">
      <c r="A39" s="43"/>
      <c r="B39" s="61">
        <f aca="true" t="shared" si="5" ref="B39:I39">+B6+B7+B8+B9+B10+B11+B16+B17+B18+B19-B20</f>
        <v>0</v>
      </c>
      <c r="C39" s="61">
        <f t="shared" si="5"/>
        <v>0</v>
      </c>
      <c r="D39" s="61">
        <f t="shared" si="5"/>
        <v>0</v>
      </c>
      <c r="E39" s="61">
        <f t="shared" si="5"/>
        <v>0</v>
      </c>
      <c r="F39" s="61">
        <f t="shared" si="5"/>
        <v>0</v>
      </c>
      <c r="G39" s="61">
        <f t="shared" si="5"/>
        <v>0</v>
      </c>
      <c r="H39" s="61">
        <f t="shared" si="5"/>
        <v>0</v>
      </c>
      <c r="I39" s="61">
        <f t="shared" si="5"/>
        <v>0</v>
      </c>
    </row>
    <row r="40" spans="1:9" ht="66.75" customHeight="1">
      <c r="A40" s="305" t="str">
        <f>HLOOKUP(INDICE!$F$2,Nombres!$C$3:$D$636,297,FALSE)</f>
        <v>General note: figures considering companies in the United States included in the sale agreement signed with PNC and BBVA Paraguay as Non-current Assets and Liabilities Held for Sale</v>
      </c>
      <c r="B40" s="305"/>
      <c r="C40" s="305"/>
      <c r="D40" s="305"/>
      <c r="E40" s="305"/>
      <c r="F40" s="305"/>
      <c r="G40" s="305"/>
      <c r="H40" s="305"/>
      <c r="I40" s="305"/>
    </row>
    <row r="41" spans="1:9" ht="14.25">
      <c r="A41" s="62"/>
      <c r="B41" s="58"/>
      <c r="C41" s="58"/>
      <c r="D41" s="58"/>
      <c r="E41" s="58"/>
      <c r="F41" s="58"/>
      <c r="G41" s="58"/>
      <c r="H41" s="58"/>
      <c r="I41" s="58"/>
    </row>
    <row r="42" spans="1:9" ht="14.25">
      <c r="A42" s="43"/>
      <c r="B42" s="58"/>
      <c r="C42" s="58"/>
      <c r="D42" s="58"/>
      <c r="E42" s="58"/>
      <c r="F42" s="58"/>
      <c r="G42" s="58"/>
      <c r="H42" s="58"/>
      <c r="I42" s="58"/>
    </row>
    <row r="43" spans="1:9" ht="14.25">
      <c r="A43" s="62"/>
      <c r="B43" s="289">
        <v>-0.0010000502225011587</v>
      </c>
      <c r="C43" s="289">
        <v>-9.988434612751007E-08</v>
      </c>
      <c r="D43" s="289">
        <v>-1.0011717677116394E-08</v>
      </c>
      <c r="E43" s="289">
        <v>-6.996560841798782E-08</v>
      </c>
      <c r="F43" s="289">
        <v>5.005858838558197E-08</v>
      </c>
      <c r="G43" s="289">
        <v>4.9709342420101166E-08</v>
      </c>
      <c r="H43" s="289">
        <v>-1.00000761449337E-07</v>
      </c>
      <c r="I43" s="289">
        <v>-1.00000761449337E-07</v>
      </c>
    </row>
    <row r="44" ht="14.25">
      <c r="B44" s="54"/>
    </row>
    <row r="46" ht="14.25">
      <c r="B46" s="54"/>
    </row>
    <row r="1000" ht="14.25">
      <c r="A1000" s="31" t="s">
        <v>396</v>
      </c>
    </row>
  </sheetData>
  <sheetProtection/>
  <mergeCells count="1">
    <mergeCell ref="A40:I40"/>
  </mergeCells>
  <conditionalFormatting sqref="F39:I39">
    <cfRule type="cellIs" priority="11" dxfId="114" operator="notBetween">
      <formula>0.5</formula>
      <formula>-0.5</formula>
    </cfRule>
  </conditionalFormatting>
  <conditionalFormatting sqref="I38">
    <cfRule type="cellIs" priority="10" dxfId="60" operator="notBetween">
      <formula>0.001</formula>
      <formula>-0.001</formula>
    </cfRule>
  </conditionalFormatting>
  <conditionalFormatting sqref="H38">
    <cfRule type="cellIs" priority="9" dxfId="60" operator="notBetween">
      <formula>0.001</formula>
      <formula>-0.001</formula>
    </cfRule>
  </conditionalFormatting>
  <conditionalFormatting sqref="G38">
    <cfRule type="cellIs" priority="8" dxfId="60" operator="notBetween">
      <formula>0.001</formula>
      <formula>-0.001</formula>
    </cfRule>
  </conditionalFormatting>
  <conditionalFormatting sqref="F38">
    <cfRule type="cellIs" priority="7" dxfId="60" operator="notBetween">
      <formula>0.001</formula>
      <formula>-0.001</formula>
    </cfRule>
  </conditionalFormatting>
  <conditionalFormatting sqref="B39:E39">
    <cfRule type="cellIs" priority="6" dxfId="114" operator="notBetween">
      <formula>0.5</formula>
      <formula>-0.5</formula>
    </cfRule>
  </conditionalFormatting>
  <conditionalFormatting sqref="E38">
    <cfRule type="cellIs" priority="5" dxfId="60" operator="notBetween">
      <formula>0.001</formula>
      <formula>-0.001</formula>
    </cfRule>
  </conditionalFormatting>
  <conditionalFormatting sqref="D38">
    <cfRule type="cellIs" priority="4" dxfId="60" operator="notBetween">
      <formula>0.001</formula>
      <formula>-0.001</formula>
    </cfRule>
  </conditionalFormatting>
  <conditionalFormatting sqref="C38">
    <cfRule type="cellIs" priority="3" dxfId="60" operator="notBetween">
      <formula>0.001</formula>
      <formula>-0.001</formula>
    </cfRule>
  </conditionalFormatting>
  <conditionalFormatting sqref="B38">
    <cfRule type="cellIs" priority="2" dxfId="60" operator="notBetween">
      <formula>0.001</formula>
      <formula>-0.001</formula>
    </cfRule>
  </conditionalFormatting>
  <conditionalFormatting sqref="B43:I43">
    <cfRule type="cellIs" priority="1" dxfId="114" operator="notBetween">
      <formula>0.1</formula>
      <formula>-0.1</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K1000"/>
  <sheetViews>
    <sheetView showGridLines="0" zoomScalePageLayoutView="0" workbookViewId="0" topLeftCell="A1">
      <selection activeCell="A1" sqref="A1"/>
    </sheetView>
  </sheetViews>
  <sheetFormatPr defaultColWidth="11.421875" defaultRowHeight="15"/>
  <cols>
    <col min="1" max="1" width="62.00390625" style="31" customWidth="1"/>
    <col min="2" max="16384" width="11.421875" style="31" customWidth="1"/>
  </cols>
  <sheetData>
    <row r="1" spans="1:9" ht="16.5">
      <c r="A1" s="29" t="str">
        <f>HLOOKUP(INDICE!$F$2,Nombres!$C$3:$D$636,7,FALSE)</f>
        <v>Spain</v>
      </c>
      <c r="B1" s="30"/>
      <c r="C1" s="30"/>
      <c r="D1" s="30"/>
      <c r="E1" s="30"/>
      <c r="F1" s="30"/>
      <c r="G1" s="30"/>
      <c r="H1" s="30"/>
      <c r="I1" s="30"/>
    </row>
    <row r="2" spans="1:9" ht="19.5">
      <c r="A2" s="32"/>
      <c r="B2" s="30"/>
      <c r="C2" s="30"/>
      <c r="D2" s="30"/>
      <c r="E2" s="30"/>
      <c r="F2" s="30"/>
      <c r="G2" s="30"/>
      <c r="H2" s="30"/>
      <c r="I2" s="30"/>
    </row>
    <row r="3" spans="1:9" ht="16.5">
      <c r="A3" s="33" t="str">
        <f>HLOOKUP(INDICE!$F$2,Nombres!$C$3:$D$636,31,FALSE)</f>
        <v>Income statement  </v>
      </c>
      <c r="B3" s="34"/>
      <c r="C3" s="34"/>
      <c r="D3" s="34"/>
      <c r="E3" s="34"/>
      <c r="F3" s="34"/>
      <c r="G3" s="34"/>
      <c r="H3" s="34"/>
      <c r="I3" s="34"/>
    </row>
    <row r="4" spans="1:9" ht="14.25">
      <c r="A4" s="35"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6">
        <v>2020</v>
      </c>
      <c r="C6" s="306"/>
      <c r="D6" s="306"/>
      <c r="E6" s="307"/>
      <c r="F6" s="306">
        <v>2021</v>
      </c>
      <c r="G6" s="306"/>
      <c r="H6" s="306"/>
      <c r="I6" s="306"/>
    </row>
    <row r="7" spans="1:9" ht="14.25">
      <c r="A7" s="38"/>
      <c r="B7" s="39" t="str">
        <f>HLOOKUP(INDICE!$F$2,Nombres!$C$3:$D$636,167,FALSE)</f>
        <v>1Q</v>
      </c>
      <c r="C7" s="39" t="str">
        <f>HLOOKUP(INDICE!$F$2,Nombres!$C$3:$D$636,168,FALSE)</f>
        <v>2Q</v>
      </c>
      <c r="D7" s="39" t="str">
        <f>HLOOKUP(INDICE!$F$2,Nombres!$C$3:$D$636,169,FALSE)</f>
        <v>3Q</v>
      </c>
      <c r="E7" s="40" t="str">
        <f>HLOOKUP(INDICE!$F$2,Nombres!$C$3:$D$636,170,FALSE)</f>
        <v>4Q</v>
      </c>
      <c r="F7" s="39" t="str">
        <f>HLOOKUP(INDICE!$F$2,Nombres!$C$3:$D$636,167,FALSE)</f>
        <v>1Q</v>
      </c>
      <c r="G7" s="39" t="str">
        <f>HLOOKUP(INDICE!$F$2,Nombres!$C$3:$D$636,168,FALSE)</f>
        <v>2Q</v>
      </c>
      <c r="H7" s="39" t="str">
        <f>HLOOKUP(INDICE!$F$2,Nombres!$C$3:$D$636,169,FALSE)</f>
        <v>3Q</v>
      </c>
      <c r="I7" s="39" t="str">
        <f>HLOOKUP(INDICE!$F$2,Nombres!$C$3:$D$636,170,FALSE)</f>
        <v>4Q</v>
      </c>
    </row>
    <row r="8" spans="1:9" ht="14.25">
      <c r="A8" s="41" t="str">
        <f>HLOOKUP(INDICE!$F$2,Nombres!$C$3:$D$636,33,FALSE)</f>
        <v>Net interest income</v>
      </c>
      <c r="B8" s="41">
        <v>877.8096668000001</v>
      </c>
      <c r="C8" s="41">
        <v>923.44822285</v>
      </c>
      <c r="D8" s="41">
        <v>884.9603164399999</v>
      </c>
      <c r="E8" s="42">
        <v>880.15234159</v>
      </c>
      <c r="F8" s="50">
        <v>866.61565699</v>
      </c>
      <c r="G8" s="50">
        <v>895.63399697</v>
      </c>
      <c r="H8" s="50">
        <v>872.7102779599999</v>
      </c>
      <c r="I8" s="50">
        <v>867.49845532</v>
      </c>
    </row>
    <row r="9" spans="1:9" ht="14.25">
      <c r="A9" s="43" t="str">
        <f>HLOOKUP(INDICE!$F$2,Nombres!$C$3:$D$636,34,FALSE)</f>
        <v>Net fees and commissions</v>
      </c>
      <c r="B9" s="44">
        <v>468.96759342999997</v>
      </c>
      <c r="C9" s="44">
        <v>439.29343689000007</v>
      </c>
      <c r="D9" s="44">
        <v>440.73397405000003</v>
      </c>
      <c r="E9" s="45">
        <v>452.7029224899999</v>
      </c>
      <c r="F9" s="44">
        <v>507.05175289</v>
      </c>
      <c r="G9" s="44">
        <v>550.9236839000001</v>
      </c>
      <c r="H9" s="44">
        <v>533.84848963</v>
      </c>
      <c r="I9" s="44">
        <v>597.07817552</v>
      </c>
    </row>
    <row r="10" spans="1:9" ht="14.25">
      <c r="A10" s="43" t="str">
        <f>HLOOKUP(INDICE!$F$2,Nombres!$C$3:$D$636,35,FALSE)</f>
        <v>Net trading income</v>
      </c>
      <c r="B10" s="44">
        <v>60.64055025000001</v>
      </c>
      <c r="C10" s="44">
        <v>104.47637606999999</v>
      </c>
      <c r="D10" s="44">
        <v>51.46485344999999</v>
      </c>
      <c r="E10" s="45">
        <v>-42.81551508999997</v>
      </c>
      <c r="F10" s="44">
        <v>201.26180053</v>
      </c>
      <c r="G10" s="44">
        <v>81.60390075999999</v>
      </c>
      <c r="H10" s="44">
        <v>21.917504330000014</v>
      </c>
      <c r="I10" s="44">
        <v>38.25144804000001</v>
      </c>
    </row>
    <row r="11" spans="1:9" ht="14.25">
      <c r="A11" s="43" t="str">
        <f>HLOOKUP(INDICE!$F$2,Nombres!$C$3:$D$636,36,FALSE)</f>
        <v>Other operating income and expenses</v>
      </c>
      <c r="B11" s="44">
        <v>103.48548299</v>
      </c>
      <c r="C11" s="44">
        <v>-69.52901882999987</v>
      </c>
      <c r="D11" s="44">
        <v>107.36149530999987</v>
      </c>
      <c r="E11" s="45">
        <v>-115.96233868999991</v>
      </c>
      <c r="F11" s="44">
        <v>70.82128579</v>
      </c>
      <c r="G11" s="44">
        <v>-117.29963506999995</v>
      </c>
      <c r="H11" s="44">
        <v>65.01331009999991</v>
      </c>
      <c r="I11" s="44">
        <v>-127.63029758999994</v>
      </c>
    </row>
    <row r="12" spans="1:9" ht="14.25">
      <c r="A12" s="41" t="str">
        <f>HLOOKUP(INDICE!$F$2,Nombres!$C$3:$D$636,37,FALSE)</f>
        <v>Gross income</v>
      </c>
      <c r="B12" s="41">
        <f>+SUM(B8:B11)</f>
        <v>1510.90329347</v>
      </c>
      <c r="C12" s="41">
        <f aca="true" t="shared" si="0" ref="C12:I12">+SUM(C8:C11)</f>
        <v>1397.6890169800004</v>
      </c>
      <c r="D12" s="41">
        <f t="shared" si="0"/>
        <v>1484.5206392499997</v>
      </c>
      <c r="E12" s="42">
        <f t="shared" si="0"/>
        <v>1174.0774102999999</v>
      </c>
      <c r="F12" s="50">
        <f t="shared" si="0"/>
        <v>1645.7504962</v>
      </c>
      <c r="G12" s="50">
        <f t="shared" si="0"/>
        <v>1410.8619465600002</v>
      </c>
      <c r="H12" s="50">
        <f t="shared" si="0"/>
        <v>1493.4895820199997</v>
      </c>
      <c r="I12" s="50">
        <f t="shared" si="0"/>
        <v>1375.19778129</v>
      </c>
    </row>
    <row r="13" spans="1:9" ht="14.25">
      <c r="A13" s="43" t="str">
        <f>HLOOKUP(INDICE!$F$2,Nombres!$C$3:$D$636,38,FALSE)</f>
        <v>Operating expenses</v>
      </c>
      <c r="B13" s="44">
        <v>-779.94065571</v>
      </c>
      <c r="C13" s="44">
        <v>-752.91281476</v>
      </c>
      <c r="D13" s="44">
        <v>-750.09928035</v>
      </c>
      <c r="E13" s="45">
        <v>-756.20599251</v>
      </c>
      <c r="F13" s="44">
        <v>-752.83664029</v>
      </c>
      <c r="G13" s="44">
        <v>-746.3096933500001</v>
      </c>
      <c r="H13" s="44">
        <v>-745.73900059</v>
      </c>
      <c r="I13" s="44">
        <v>-785.3805719000002</v>
      </c>
    </row>
    <row r="14" spans="1:9" ht="14.25">
      <c r="A14" s="43" t="str">
        <f>HLOOKUP(INDICE!$F$2,Nombres!$C$3:$D$636,39,FALSE)</f>
        <v>  Administration expenses</v>
      </c>
      <c r="B14" s="44">
        <v>-664.88033622</v>
      </c>
      <c r="C14" s="44">
        <v>-637.6084672700001</v>
      </c>
      <c r="D14" s="44">
        <v>-634.2195968599999</v>
      </c>
      <c r="E14" s="45">
        <v>-642.82477497</v>
      </c>
      <c r="F14" s="44">
        <v>-642.73646265</v>
      </c>
      <c r="G14" s="44">
        <v>-636.86936371</v>
      </c>
      <c r="H14" s="44">
        <v>-638.77957195</v>
      </c>
      <c r="I14" s="44">
        <v>-681.0495932599999</v>
      </c>
    </row>
    <row r="15" spans="1:9" ht="14.25">
      <c r="A15" s="46" t="str">
        <f>HLOOKUP(INDICE!$F$2,Nombres!$C$3:$D$636,40,FALSE)</f>
        <v>  Personnel expenses</v>
      </c>
      <c r="B15" s="44">
        <v>-440.09057207000006</v>
      </c>
      <c r="C15" s="44">
        <v>-425.54149299999995</v>
      </c>
      <c r="D15" s="44">
        <v>-425.16207999999995</v>
      </c>
      <c r="E15" s="45">
        <v>-447.26262397000005</v>
      </c>
      <c r="F15" s="44">
        <v>-427.85188208</v>
      </c>
      <c r="G15" s="44">
        <v>-423.93957044999996</v>
      </c>
      <c r="H15" s="44">
        <v>-428.35016534000005</v>
      </c>
      <c r="I15" s="44">
        <v>-458.28233349</v>
      </c>
    </row>
    <row r="16" spans="1:9" ht="14.25">
      <c r="A16" s="46" t="str">
        <f>HLOOKUP(INDICE!$F$2,Nombres!$C$3:$D$636,41,FALSE)</f>
        <v>  General and administrative expenses</v>
      </c>
      <c r="B16" s="44">
        <v>-224.78976415</v>
      </c>
      <c r="C16" s="44">
        <v>-212.06697426999997</v>
      </c>
      <c r="D16" s="44">
        <v>-209.05751686</v>
      </c>
      <c r="E16" s="45">
        <v>-195.56215099999994</v>
      </c>
      <c r="F16" s="44">
        <v>-214.88458057000003</v>
      </c>
      <c r="G16" s="44">
        <v>-212.92979326</v>
      </c>
      <c r="H16" s="44">
        <v>-210.42940660999997</v>
      </c>
      <c r="I16" s="44">
        <v>-222.76725977</v>
      </c>
    </row>
    <row r="17" spans="1:9" ht="14.25">
      <c r="A17" s="43" t="str">
        <f>HLOOKUP(INDICE!$F$2,Nombres!$C$3:$D$636,42,FALSE)</f>
        <v>  Depreciation</v>
      </c>
      <c r="B17" s="44">
        <v>-115.06031949</v>
      </c>
      <c r="C17" s="44">
        <v>-115.30434749000003</v>
      </c>
      <c r="D17" s="44">
        <v>-115.87968349</v>
      </c>
      <c r="E17" s="45">
        <v>-113.38121753999998</v>
      </c>
      <c r="F17" s="44">
        <v>-110.10017764</v>
      </c>
      <c r="G17" s="44">
        <v>-109.44032964000002</v>
      </c>
      <c r="H17" s="44">
        <v>-106.95942864000001</v>
      </c>
      <c r="I17" s="44">
        <v>-104.33097863999998</v>
      </c>
    </row>
    <row r="18" spans="1:9" ht="14.25">
      <c r="A18" s="41" t="str">
        <f>HLOOKUP(INDICE!$F$2,Nombres!$C$3:$D$636,43,FALSE)</f>
        <v>Operating income</v>
      </c>
      <c r="B18" s="41">
        <f>+B12+B13</f>
        <v>730.9626377600001</v>
      </c>
      <c r="C18" s="41">
        <f aca="true" t="shared" si="1" ref="C18:I18">+C12+C13</f>
        <v>644.7762022200004</v>
      </c>
      <c r="D18" s="41">
        <f t="shared" si="1"/>
        <v>734.4213588999997</v>
      </c>
      <c r="E18" s="42">
        <f t="shared" si="1"/>
        <v>417.8714177899999</v>
      </c>
      <c r="F18" s="50">
        <f t="shared" si="1"/>
        <v>892.91385591</v>
      </c>
      <c r="G18" s="50">
        <f t="shared" si="1"/>
        <v>664.5522532100001</v>
      </c>
      <c r="H18" s="50">
        <f t="shared" si="1"/>
        <v>747.7505814299997</v>
      </c>
      <c r="I18" s="50">
        <f t="shared" si="1"/>
        <v>589.8172093899998</v>
      </c>
    </row>
    <row r="19" spans="1:9" ht="14.25">
      <c r="A19" s="43" t="str">
        <f>HLOOKUP(INDICE!$F$2,Nombres!$C$3:$D$636,44,FALSE)</f>
        <v>Impaiment on financial assets not measured at fair value through profit or loss</v>
      </c>
      <c r="B19" s="44">
        <v>-659.9339739100001</v>
      </c>
      <c r="C19" s="44">
        <v>-222.67384441999994</v>
      </c>
      <c r="D19" s="44">
        <v>-192.35347537</v>
      </c>
      <c r="E19" s="45">
        <v>-92.34482373000003</v>
      </c>
      <c r="F19" s="44">
        <v>-185.08454727999998</v>
      </c>
      <c r="G19" s="44">
        <v>-157.83344586</v>
      </c>
      <c r="H19" s="44">
        <v>-58.82236485999998</v>
      </c>
      <c r="I19" s="44">
        <v>-100.96753313000006</v>
      </c>
    </row>
    <row r="20" spans="1:9" ht="14.25">
      <c r="A20" s="43" t="str">
        <f>HLOOKUP(INDICE!$F$2,Nombres!$C$3:$D$636,45,FALSE)</f>
        <v>Provisions or reversal of provisions and other results</v>
      </c>
      <c r="B20" s="44">
        <v>-265.03520912</v>
      </c>
      <c r="C20" s="44">
        <v>-100.13329746999999</v>
      </c>
      <c r="D20" s="44">
        <v>-64.80930900000001</v>
      </c>
      <c r="E20" s="45">
        <v>-107.97342595000003</v>
      </c>
      <c r="F20" s="44">
        <v>-185.52941320999997</v>
      </c>
      <c r="G20" s="44">
        <v>-16.191243169999986</v>
      </c>
      <c r="H20" s="44">
        <v>-40.18388800000001</v>
      </c>
      <c r="I20" s="44">
        <v>-28.34620825999998</v>
      </c>
    </row>
    <row r="21" spans="1:9" ht="14.25">
      <c r="A21" s="41" t="str">
        <f>HLOOKUP(INDICE!$F$2,Nombres!$C$3:$D$636,46,FALSE)</f>
        <v>Profit/(loss) before tax</v>
      </c>
      <c r="B21" s="41">
        <f>+B18+B19+B20</f>
        <v>-194.00654526999995</v>
      </c>
      <c r="C21" s="41">
        <f aca="true" t="shared" si="2" ref="C21:I21">+C18+C19+C20</f>
        <v>321.9690603300005</v>
      </c>
      <c r="D21" s="41">
        <f t="shared" si="2"/>
        <v>477.2585745299998</v>
      </c>
      <c r="E21" s="42">
        <f t="shared" si="2"/>
        <v>217.55316810999983</v>
      </c>
      <c r="F21" s="50">
        <f t="shared" si="2"/>
        <v>522.29989542</v>
      </c>
      <c r="G21" s="50">
        <f t="shared" si="2"/>
        <v>490.5275641800001</v>
      </c>
      <c r="H21" s="50">
        <f t="shared" si="2"/>
        <v>648.7443285699997</v>
      </c>
      <c r="I21" s="50">
        <f t="shared" si="2"/>
        <v>460.50346799999977</v>
      </c>
    </row>
    <row r="22" spans="1:9" ht="14.25">
      <c r="A22" s="43" t="str">
        <f>HLOOKUP(INDICE!$F$2,Nombres!$C$3:$D$636,47,FALSE)</f>
        <v>Income tax</v>
      </c>
      <c r="B22" s="44">
        <v>64.73109778000003</v>
      </c>
      <c r="C22" s="44">
        <v>-83.10083947999999</v>
      </c>
      <c r="D22" s="44">
        <v>-115.65019870000002</v>
      </c>
      <c r="E22" s="45">
        <v>-33.29094359999999</v>
      </c>
      <c r="F22" s="44">
        <v>-140.48859756000002</v>
      </c>
      <c r="G22" s="44">
        <v>-125.88443501</v>
      </c>
      <c r="H22" s="44">
        <v>-170.62944340999996</v>
      </c>
      <c r="I22" s="44">
        <v>-101.32010044000002</v>
      </c>
    </row>
    <row r="23" spans="1:9" ht="14.25">
      <c r="A23" s="41" t="str">
        <f>HLOOKUP(INDICE!$F$2,Nombres!$C$3:$D$636,48,FALSE)</f>
        <v>Profit/(loss) for the year</v>
      </c>
      <c r="B23" s="41">
        <f>+B21+B22</f>
        <v>-129.27544748999992</v>
      </c>
      <c r="C23" s="41">
        <f aca="true" t="shared" si="3" ref="C23:I23">+C21+C22</f>
        <v>238.8682208500005</v>
      </c>
      <c r="D23" s="41">
        <f t="shared" si="3"/>
        <v>361.6083758299998</v>
      </c>
      <c r="E23" s="42">
        <f t="shared" si="3"/>
        <v>184.26222450999984</v>
      </c>
      <c r="F23" s="50">
        <f t="shared" si="3"/>
        <v>381.81129785999997</v>
      </c>
      <c r="G23" s="50">
        <f t="shared" si="3"/>
        <v>364.6431291700001</v>
      </c>
      <c r="H23" s="50">
        <f t="shared" si="3"/>
        <v>478.1148851599997</v>
      </c>
      <c r="I23" s="50">
        <f t="shared" si="3"/>
        <v>359.18336755999974</v>
      </c>
    </row>
    <row r="24" spans="1:9" ht="14.25">
      <c r="A24" s="43" t="str">
        <f>HLOOKUP(INDICE!$F$2,Nombres!$C$3:$D$636,49,FALSE)</f>
        <v>Non-controlling interests</v>
      </c>
      <c r="B24" s="44">
        <v>-1.19072057</v>
      </c>
      <c r="C24" s="44">
        <v>-0.77747563</v>
      </c>
      <c r="D24" s="44">
        <v>-0.5121923700000001</v>
      </c>
      <c r="E24" s="45">
        <v>-0.99890466</v>
      </c>
      <c r="F24" s="44">
        <v>-0.6923230899999999</v>
      </c>
      <c r="G24" s="44">
        <v>-0.7216836099999999</v>
      </c>
      <c r="H24" s="44">
        <v>-0.4960173900000002</v>
      </c>
      <c r="I24" s="44">
        <v>-0.43946732999999993</v>
      </c>
    </row>
    <row r="25" spans="1:9" ht="14.25">
      <c r="A25" s="47" t="str">
        <f>HLOOKUP(INDICE!$F$2,Nombres!$C$3:$D$636,50,FALSE)</f>
        <v>Net attributable profit</v>
      </c>
      <c r="B25" s="47">
        <f>+B23+B24</f>
        <v>-130.46616805999992</v>
      </c>
      <c r="C25" s="47">
        <f aca="true" t="shared" si="4" ref="C25:I25">+C23+C24</f>
        <v>238.0907452200005</v>
      </c>
      <c r="D25" s="47">
        <f t="shared" si="4"/>
        <v>361.0961834599998</v>
      </c>
      <c r="E25" s="47">
        <f t="shared" si="4"/>
        <v>183.26331984999985</v>
      </c>
      <c r="F25" s="51">
        <f t="shared" si="4"/>
        <v>381.11897476999997</v>
      </c>
      <c r="G25" s="51">
        <f t="shared" si="4"/>
        <v>363.9214455600001</v>
      </c>
      <c r="H25" s="51">
        <f t="shared" si="4"/>
        <v>477.61886776999967</v>
      </c>
      <c r="I25" s="51">
        <f t="shared" si="4"/>
        <v>358.7439002299997</v>
      </c>
    </row>
    <row r="26" spans="1:9" ht="14.25">
      <c r="A26" s="62"/>
      <c r="B26" s="63">
        <v>0</v>
      </c>
      <c r="C26" s="63">
        <v>3.979039320256561E-13</v>
      </c>
      <c r="D26" s="63">
        <v>0</v>
      </c>
      <c r="E26" s="63">
        <v>0</v>
      </c>
      <c r="F26" s="64">
        <v>0</v>
      </c>
      <c r="G26" s="64">
        <v>0</v>
      </c>
      <c r="H26" s="64">
        <v>0</v>
      </c>
      <c r="I26" s="64">
        <v>0</v>
      </c>
    </row>
    <row r="27" spans="1:9" ht="14.25">
      <c r="A27" s="41"/>
      <c r="B27" s="41"/>
      <c r="C27" s="41"/>
      <c r="D27" s="41"/>
      <c r="E27" s="41"/>
      <c r="F27" s="41"/>
      <c r="G27" s="41"/>
      <c r="H27" s="41"/>
      <c r="I27" s="41"/>
    </row>
    <row r="28" spans="1:9" ht="16.5">
      <c r="A28" s="33" t="str">
        <f>HLOOKUP(INDICE!$F$2,Nombres!$C$3:$D$636,51,FALSE)</f>
        <v>Balance sheets</v>
      </c>
      <c r="B28" s="34"/>
      <c r="C28" s="34"/>
      <c r="D28" s="34"/>
      <c r="E28" s="34"/>
      <c r="F28" s="34"/>
      <c r="G28" s="34"/>
      <c r="H28" s="34"/>
      <c r="I28" s="34"/>
    </row>
    <row r="29" spans="1:9" ht="14.25">
      <c r="A29" s="35" t="str">
        <f>HLOOKUP(INDICE!$F$2,Nombres!$C$3:$D$636,32,FALSE)</f>
        <v>(Million euros)</v>
      </c>
      <c r="B29" s="30"/>
      <c r="C29" s="52"/>
      <c r="D29" s="52"/>
      <c r="E29" s="52"/>
      <c r="F29" s="30"/>
      <c r="G29" s="58"/>
      <c r="H29" s="58"/>
      <c r="I29" s="58"/>
    </row>
    <row r="30" spans="1:9" ht="14.25">
      <c r="A30" s="30"/>
      <c r="B30" s="53">
        <v>43921</v>
      </c>
      <c r="C30" s="53">
        <v>44012</v>
      </c>
      <c r="D30" s="53">
        <v>44104</v>
      </c>
      <c r="E30" s="53">
        <v>44196</v>
      </c>
      <c r="F30" s="53">
        <v>44286</v>
      </c>
      <c r="G30" s="53">
        <v>44377</v>
      </c>
      <c r="H30" s="53">
        <v>44469</v>
      </c>
      <c r="I30" s="53">
        <v>44561</v>
      </c>
    </row>
    <row r="31" spans="1:11" ht="14.25">
      <c r="A31" s="43" t="str">
        <f>HLOOKUP(INDICE!$F$2,Nombres!$C$3:$D$636,52,FALSE)</f>
        <v>Cash, cash balances at central banks and other demand deposits</v>
      </c>
      <c r="B31" s="44">
        <v>20051.933555</v>
      </c>
      <c r="C31" s="44">
        <v>32197.690152999996</v>
      </c>
      <c r="D31" s="44">
        <v>35204.241601</v>
      </c>
      <c r="E31" s="45">
        <v>38356.060688</v>
      </c>
      <c r="F31" s="44">
        <v>26118.438338</v>
      </c>
      <c r="G31" s="44">
        <v>22583.023975</v>
      </c>
      <c r="H31" s="44">
        <v>23137.774677</v>
      </c>
      <c r="I31" s="44">
        <v>26386.000089999998</v>
      </c>
      <c r="K31" s="54"/>
    </row>
    <row r="32" spans="1:11" ht="14.25">
      <c r="A32" s="43" t="str">
        <f>HLOOKUP(INDICE!$F$2,Nombres!$C$3:$D$636,53,FALSE)</f>
        <v>Financial assets designated at fair value </v>
      </c>
      <c r="B32" s="58">
        <v>151834.30685821</v>
      </c>
      <c r="C32" s="58">
        <v>143047.06526054998</v>
      </c>
      <c r="D32" s="58">
        <v>134388.59037515003</v>
      </c>
      <c r="E32" s="65">
        <v>135589.81766852998</v>
      </c>
      <c r="F32" s="44">
        <v>133153.05560393</v>
      </c>
      <c r="G32" s="44">
        <v>137245.86100026</v>
      </c>
      <c r="H32" s="44">
        <v>138948.48374837002</v>
      </c>
      <c r="I32" s="44">
        <v>145543.82666713</v>
      </c>
      <c r="K32" s="54"/>
    </row>
    <row r="33" spans="1:11" ht="14.25">
      <c r="A33" s="43" t="str">
        <f>HLOOKUP(INDICE!$F$2,Nombres!$C$3:$D$636,54,FALSE)</f>
        <v>Financial assets at amortized cost</v>
      </c>
      <c r="B33" s="44">
        <v>198605.40127084</v>
      </c>
      <c r="C33" s="44">
        <v>203500.2349866</v>
      </c>
      <c r="D33" s="44">
        <v>195888.23964015</v>
      </c>
      <c r="E33" s="45">
        <v>198173.47336224996</v>
      </c>
      <c r="F33" s="44">
        <v>195620.58664919</v>
      </c>
      <c r="G33" s="44">
        <v>198928.27643369997</v>
      </c>
      <c r="H33" s="44">
        <v>197527.4989342</v>
      </c>
      <c r="I33" s="44">
        <v>199662.55920723002</v>
      </c>
      <c r="K33" s="54"/>
    </row>
    <row r="34" spans="1:11" ht="14.25">
      <c r="A34" s="43" t="str">
        <f>HLOOKUP(INDICE!$F$2,Nombres!$C$3:$D$636,55,FALSE)</f>
        <v>    of which loans and advances to customers</v>
      </c>
      <c r="B34" s="44">
        <v>168341.93295984002</v>
      </c>
      <c r="C34" s="44">
        <v>172026.2070996</v>
      </c>
      <c r="D34" s="44">
        <v>166475.30912015</v>
      </c>
      <c r="E34" s="45">
        <v>167997.72822425002</v>
      </c>
      <c r="F34" s="44">
        <v>166092.53404819002</v>
      </c>
      <c r="G34" s="44">
        <v>169947.7449377</v>
      </c>
      <c r="H34" s="44">
        <v>168407.76562720002</v>
      </c>
      <c r="I34" s="44">
        <v>171097.16469622997</v>
      </c>
      <c r="K34" s="54"/>
    </row>
    <row r="35" spans="1:11" ht="14.25">
      <c r="A35" s="43" t="str">
        <f>HLOOKUP(INDICE!$F$2,Nombres!$C$3:$D$636,121,FALSE)</f>
        <v>Inter-area positions</v>
      </c>
      <c r="B35" s="44">
        <v>34578.665391549934</v>
      </c>
      <c r="C35" s="44">
        <v>31754.578453779977</v>
      </c>
      <c r="D35" s="44">
        <v>28237.7315211799</v>
      </c>
      <c r="E35" s="45">
        <v>26474.651494200167</v>
      </c>
      <c r="F35" s="44">
        <v>28484.757509959978</v>
      </c>
      <c r="G35" s="44">
        <v>28841.642335460056</v>
      </c>
      <c r="H35" s="44">
        <v>30098.450376819994</v>
      </c>
      <c r="I35" s="44">
        <v>34005.24662247999</v>
      </c>
      <c r="K35" s="54"/>
    </row>
    <row r="36" spans="1:11" ht="14.25">
      <c r="A36" s="43" t="str">
        <f>HLOOKUP(INDICE!$F$2,Nombres!$C$3:$D$636,56,FALSE)</f>
        <v>Tangible assets</v>
      </c>
      <c r="B36" s="58">
        <v>3219.124845</v>
      </c>
      <c r="C36" s="58">
        <v>3149.0445779999995</v>
      </c>
      <c r="D36" s="58">
        <v>3055.447739</v>
      </c>
      <c r="E36" s="65">
        <v>2901.766363</v>
      </c>
      <c r="F36" s="44">
        <v>2825.418143</v>
      </c>
      <c r="G36" s="44">
        <v>2499.116668</v>
      </c>
      <c r="H36" s="44">
        <v>2458.447295</v>
      </c>
      <c r="I36" s="44">
        <v>2533.746048</v>
      </c>
      <c r="K36" s="54"/>
    </row>
    <row r="37" spans="1:11" ht="14.25">
      <c r="A37" s="43" t="str">
        <f>HLOOKUP(INDICE!$F$2,Nombres!$C$3:$D$636,57,FALSE)</f>
        <v>Other assets</v>
      </c>
      <c r="B37" s="58">
        <f aca="true" t="shared" si="5" ref="B37:I37">+B38-B36-B33-B32-B31-B35</f>
        <v>7361.732705410017</v>
      </c>
      <c r="C37" s="58">
        <f t="shared" si="5"/>
        <v>7125.983596059996</v>
      </c>
      <c r="D37" s="58">
        <f t="shared" si="5"/>
        <v>7076.032322460043</v>
      </c>
      <c r="E37" s="65">
        <f t="shared" si="5"/>
        <v>6534.584474229952</v>
      </c>
      <c r="F37" s="44">
        <f t="shared" si="5"/>
        <v>5925.951341200045</v>
      </c>
      <c r="G37" s="44">
        <f t="shared" si="5"/>
        <v>6205.5143885</v>
      </c>
      <c r="H37" s="44">
        <f t="shared" si="5"/>
        <v>6105.1630024999395</v>
      </c>
      <c r="I37" s="44">
        <f t="shared" si="5"/>
        <v>5345.920737759981</v>
      </c>
      <c r="K37" s="54"/>
    </row>
    <row r="38" spans="1:11" ht="14.25">
      <c r="A38" s="47" t="str">
        <f>HLOOKUP(INDICE!$F$2,Nombres!$C$3:$D$636,58,FALSE)</f>
        <v>Total assets / Liabilities and equity</v>
      </c>
      <c r="B38" s="47">
        <v>415651.16462600994</v>
      </c>
      <c r="C38" s="47">
        <v>420774.5970279899</v>
      </c>
      <c r="D38" s="47">
        <v>403850.28319894</v>
      </c>
      <c r="E38" s="47">
        <v>408030.35405021004</v>
      </c>
      <c r="F38" s="51">
        <v>392128.20758528</v>
      </c>
      <c r="G38" s="51">
        <v>396303.43480092</v>
      </c>
      <c r="H38" s="51">
        <v>398275.81803389</v>
      </c>
      <c r="I38" s="51">
        <v>413477.2993726</v>
      </c>
      <c r="K38" s="54"/>
    </row>
    <row r="39" spans="1:11" ht="14.25">
      <c r="A39" s="43" t="str">
        <f>HLOOKUP(INDICE!$F$2,Nombres!$C$3:$D$636,59,FALSE)</f>
        <v>Financial liabilities held for trading and designated at fair value through profit or loss</v>
      </c>
      <c r="B39" s="58">
        <v>106254.976395</v>
      </c>
      <c r="C39" s="58">
        <v>93334.00554700001</v>
      </c>
      <c r="D39" s="58">
        <v>81180.70943299998</v>
      </c>
      <c r="E39" s="65">
        <v>71541.82225055002</v>
      </c>
      <c r="F39" s="44">
        <v>68174.10991900001</v>
      </c>
      <c r="G39" s="44">
        <v>68217.13019400001</v>
      </c>
      <c r="H39" s="44">
        <v>70081.506403</v>
      </c>
      <c r="I39" s="44">
        <v>81375.588126</v>
      </c>
      <c r="K39" s="54"/>
    </row>
    <row r="40" spans="1:11" ht="14.25">
      <c r="A40" s="43" t="str">
        <f>HLOOKUP(INDICE!$F$2,Nombres!$C$3:$D$636,60,FALSE)</f>
        <v>Deposits from central banks and credit institutions</v>
      </c>
      <c r="B40" s="58">
        <v>55279.53084162</v>
      </c>
      <c r="C40" s="58">
        <v>60532.569948000004</v>
      </c>
      <c r="D40" s="58">
        <v>54427.276649</v>
      </c>
      <c r="E40" s="65">
        <v>58783.359699</v>
      </c>
      <c r="F40" s="44">
        <v>59594.62790700001</v>
      </c>
      <c r="G40" s="44">
        <v>58397.536383</v>
      </c>
      <c r="H40" s="44">
        <v>58351.436717</v>
      </c>
      <c r="I40" s="44">
        <v>54759.088316</v>
      </c>
      <c r="K40" s="54"/>
    </row>
    <row r="41" spans="1:11" ht="15.75" customHeight="1">
      <c r="A41" s="43" t="str">
        <f>HLOOKUP(INDICE!$F$2,Nombres!$C$3:$D$636,61,FALSE)</f>
        <v>Deposits from customers</v>
      </c>
      <c r="B41" s="58">
        <v>186327.389049</v>
      </c>
      <c r="C41" s="58">
        <v>195675.714629</v>
      </c>
      <c r="D41" s="58">
        <v>195682.23994699997</v>
      </c>
      <c r="E41" s="65">
        <v>206427.720641</v>
      </c>
      <c r="F41" s="44">
        <v>196589.82502999998</v>
      </c>
      <c r="G41" s="44">
        <v>200196.62135399994</v>
      </c>
      <c r="H41" s="44">
        <v>200221.75234999997</v>
      </c>
      <c r="I41" s="44">
        <v>206662.599628</v>
      </c>
      <c r="K41" s="54"/>
    </row>
    <row r="42" spans="1:11" ht="14.25">
      <c r="A42" s="43" t="str">
        <f>HLOOKUP(INDICE!$F$2,Nombres!$C$3:$D$636,62,FALSE)</f>
        <v>Debt certificates</v>
      </c>
      <c r="B42" s="44">
        <v>39244.85684196</v>
      </c>
      <c r="C42" s="44">
        <v>40773.41336239</v>
      </c>
      <c r="D42" s="44">
        <v>43011.47680101001</v>
      </c>
      <c r="E42" s="45">
        <v>41016.01248291999</v>
      </c>
      <c r="F42" s="44">
        <v>37855.60884842</v>
      </c>
      <c r="G42" s="44">
        <v>36939.51587602</v>
      </c>
      <c r="H42" s="44">
        <v>37605.047891530005</v>
      </c>
      <c r="I42" s="44">
        <v>38224.42574294</v>
      </c>
      <c r="K42" s="54"/>
    </row>
    <row r="43" spans="1:11" ht="14.25">
      <c r="A43" s="43" t="str">
        <f>HLOOKUP(INDICE!$F$2,Nombres!$C$3:$D$636,122,FALSE)</f>
        <v>Inter-area positions</v>
      </c>
      <c r="B43" s="44">
        <v>0</v>
      </c>
      <c r="C43" s="44">
        <v>0</v>
      </c>
      <c r="D43" s="44">
        <v>0</v>
      </c>
      <c r="E43" s="45">
        <v>0</v>
      </c>
      <c r="F43" s="44">
        <v>0</v>
      </c>
      <c r="G43" s="44">
        <v>0</v>
      </c>
      <c r="H43" s="44">
        <v>0</v>
      </c>
      <c r="I43" s="44">
        <v>0</v>
      </c>
      <c r="K43" s="54"/>
    </row>
    <row r="44" spans="1:11" ht="14.25">
      <c r="A44" s="43" t="str">
        <f>HLOOKUP(INDICE!$F$2,Nombres!$C$3:$D$636,63,FALSE)</f>
        <v>Other liabilities</v>
      </c>
      <c r="B44" s="44">
        <f>+B38-B39-B40-B41-B42-B45-B43</f>
        <v>14797.202950929945</v>
      </c>
      <c r="C44" s="44">
        <f aca="true" t="shared" si="6" ref="C44:I44">+C38-C39-C40-C41-C42-C45-C43</f>
        <v>17003.441695699927</v>
      </c>
      <c r="D44" s="44">
        <f t="shared" si="6"/>
        <v>16386.742863710053</v>
      </c>
      <c r="E44" s="45">
        <f t="shared" si="6"/>
        <v>16955.399050099997</v>
      </c>
      <c r="F44" s="44">
        <f t="shared" si="6"/>
        <v>17254.443639269997</v>
      </c>
      <c r="G44" s="44">
        <f t="shared" si="6"/>
        <v>19375.494734910077</v>
      </c>
      <c r="H44" s="44">
        <f t="shared" si="6"/>
        <v>18495.71732262006</v>
      </c>
      <c r="I44" s="44">
        <f t="shared" si="6"/>
        <v>18453.365829169958</v>
      </c>
      <c r="K44" s="54"/>
    </row>
    <row r="45" spans="1:11" ht="14.25">
      <c r="A45" s="43" t="str">
        <f>HLOOKUP(INDICE!$F$2,Nombres!$C$3:$D$636,282,FALSE)</f>
        <v>Regulatory capital allocated</v>
      </c>
      <c r="B45" s="44">
        <v>13747.2085475</v>
      </c>
      <c r="C45" s="44">
        <v>13455.451845900001</v>
      </c>
      <c r="D45" s="44">
        <v>13161.83750522</v>
      </c>
      <c r="E45" s="45">
        <v>13306.039926640002</v>
      </c>
      <c r="F45" s="44">
        <v>12659.592241590002</v>
      </c>
      <c r="G45" s="44">
        <v>13177.13625899</v>
      </c>
      <c r="H45" s="44">
        <v>13520.35734974</v>
      </c>
      <c r="I45" s="44">
        <v>14002.231730490003</v>
      </c>
      <c r="K45" s="54"/>
    </row>
    <row r="46" spans="1:9" ht="14.25">
      <c r="A46" s="62"/>
      <c r="B46" s="58"/>
      <c r="C46" s="58"/>
      <c r="D46" s="58"/>
      <c r="E46" s="58"/>
      <c r="F46" s="58"/>
      <c r="G46" s="58"/>
      <c r="H46" s="58"/>
      <c r="I46" s="58"/>
    </row>
    <row r="47" spans="1:9" ht="14.25">
      <c r="A47" s="43"/>
      <c r="B47" s="58"/>
      <c r="C47" s="58"/>
      <c r="D47" s="58"/>
      <c r="E47" s="58"/>
      <c r="F47" s="58"/>
      <c r="G47" s="58"/>
      <c r="H47" s="58"/>
      <c r="I47" s="58"/>
    </row>
    <row r="48" spans="1:9" ht="16.5">
      <c r="A48" s="66" t="str">
        <f>HLOOKUP(INDICE!$F$2,Nombres!$C$3:$D$636,65,FALSE)</f>
        <v>Relevant business indicators</v>
      </c>
      <c r="B48" s="67"/>
      <c r="C48" s="67"/>
      <c r="D48" s="67"/>
      <c r="E48" s="67"/>
      <c r="F48" s="67"/>
      <c r="G48" s="67"/>
      <c r="H48" s="67"/>
      <c r="I48" s="67"/>
    </row>
    <row r="49" spans="1:9" ht="14.25">
      <c r="A49" s="35" t="str">
        <f>HLOOKUP(INDICE!$F$2,Nombres!$C$3:$D$636,32,FALSE)</f>
        <v>(Million euros)</v>
      </c>
      <c r="B49" s="30"/>
      <c r="C49" s="30"/>
      <c r="D49" s="30"/>
      <c r="E49" s="30"/>
      <c r="F49" s="30"/>
      <c r="G49" s="58"/>
      <c r="H49" s="58"/>
      <c r="I49" s="58"/>
    </row>
    <row r="50" spans="1:9" ht="14.2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row>
    <row r="51" spans="1:9" ht="14.25">
      <c r="A51" s="43" t="str">
        <f>HLOOKUP(INDICE!$F$2,Nombres!$C$3:$D$636,66,FALSE)</f>
        <v>Loans and advances to customers (gross) (*)</v>
      </c>
      <c r="B51" s="44">
        <v>173752.79226962</v>
      </c>
      <c r="C51" s="44">
        <v>176580.61895756997</v>
      </c>
      <c r="D51" s="44">
        <v>171988.81991</v>
      </c>
      <c r="E51" s="45">
        <v>173403.71629300003</v>
      </c>
      <c r="F51" s="44">
        <v>171564.450283</v>
      </c>
      <c r="G51" s="44">
        <v>175091.016284</v>
      </c>
      <c r="H51" s="44">
        <v>173486.36603937</v>
      </c>
      <c r="I51" s="44">
        <v>176148.92947200002</v>
      </c>
    </row>
    <row r="52" spans="1:9" ht="14.25">
      <c r="A52" s="43" t="str">
        <f>HLOOKUP(INDICE!$F$2,Nombres!$C$3:$D$636,67,FALSE)</f>
        <v>Customer deposits under management (*)</v>
      </c>
      <c r="B52" s="44">
        <v>186327.38868800004</v>
      </c>
      <c r="C52" s="44">
        <v>195675.71426799998</v>
      </c>
      <c r="D52" s="44">
        <v>195682.23958599998</v>
      </c>
      <c r="E52" s="45">
        <v>205808.50891099998</v>
      </c>
      <c r="F52" s="44">
        <v>196004.84808</v>
      </c>
      <c r="G52" s="44">
        <v>199580.71829100003</v>
      </c>
      <c r="H52" s="44">
        <v>199599.51979</v>
      </c>
      <c r="I52" s="44">
        <v>205908.21971</v>
      </c>
    </row>
    <row r="53" spans="1:9" ht="14.25">
      <c r="A53" s="43" t="str">
        <f>HLOOKUP(INDICE!$F$2,Nombres!$C$3:$D$636,68,FALSE)</f>
        <v>Mutual funds</v>
      </c>
      <c r="B53" s="44">
        <v>35963.94521486</v>
      </c>
      <c r="C53" s="44">
        <v>37635.00173682</v>
      </c>
      <c r="D53" s="44">
        <v>37421.75498915</v>
      </c>
      <c r="E53" s="45">
        <v>38434.09314594</v>
      </c>
      <c r="F53" s="44">
        <v>39871.25105099999</v>
      </c>
      <c r="G53" s="44">
        <v>41445.98254481</v>
      </c>
      <c r="H53" s="44">
        <v>42153.76981117001</v>
      </c>
      <c r="I53" s="44">
        <v>44573.98361227</v>
      </c>
    </row>
    <row r="54" spans="1:9" ht="14.25">
      <c r="A54" s="43" t="str">
        <f>HLOOKUP(INDICE!$F$2,Nombres!$C$3:$D$636,69,FALSE)</f>
        <v>Pension funds</v>
      </c>
      <c r="B54" s="44">
        <v>22564.26787486</v>
      </c>
      <c r="C54" s="44">
        <v>23338.87407048</v>
      </c>
      <c r="D54" s="44">
        <v>23469.23278831</v>
      </c>
      <c r="E54" s="45">
        <v>24272.90178402</v>
      </c>
      <c r="F54" s="44">
        <v>24581.019303769997</v>
      </c>
      <c r="G54" s="44">
        <v>24953.45475065</v>
      </c>
      <c r="H54" s="44">
        <v>24964.93470501</v>
      </c>
      <c r="I54" s="44">
        <v>25498.115497730003</v>
      </c>
    </row>
    <row r="55" spans="1:9" ht="14.25">
      <c r="A55" s="43" t="str">
        <f>HLOOKUP(INDICE!$F$2,Nombres!$C$3:$D$636,70,FALSE)</f>
        <v>Other off balance-sheet funds</v>
      </c>
      <c r="B55" s="44">
        <v>0</v>
      </c>
      <c r="C55" s="44">
        <v>0</v>
      </c>
      <c r="D55" s="44">
        <v>0</v>
      </c>
      <c r="E55" s="45">
        <v>0</v>
      </c>
      <c r="F55" s="44">
        <v>0</v>
      </c>
      <c r="G55" s="44">
        <v>0</v>
      </c>
      <c r="H55" s="44">
        <v>0</v>
      </c>
      <c r="I55" s="44">
        <v>0</v>
      </c>
    </row>
    <row r="56" spans="1:9" ht="14.25">
      <c r="A56" s="62" t="str">
        <f>HLOOKUP(INDICE!$F$2,Nombres!$C$3:$D$636,71,FALSE)</f>
        <v>(*) Excluding repos. </v>
      </c>
      <c r="B56" s="58"/>
      <c r="C56" s="58"/>
      <c r="D56" s="58"/>
      <c r="E56" s="58"/>
      <c r="F56" s="58"/>
      <c r="G56" s="58"/>
      <c r="H56" s="58"/>
      <c r="I56" s="58"/>
    </row>
    <row r="57" spans="1:9" ht="14.25">
      <c r="A57" s="62">
        <f>HLOOKUP(INDICE!$F$2,Nombres!$C$3:$D$636,72,FALSE)</f>
        <v>0</v>
      </c>
      <c r="B57" s="30"/>
      <c r="C57" s="30"/>
      <c r="D57" s="30"/>
      <c r="E57" s="30"/>
      <c r="F57" s="30"/>
      <c r="G57" s="30"/>
      <c r="H57" s="30"/>
      <c r="I57" s="30"/>
    </row>
    <row r="58" spans="1:9" ht="14.25">
      <c r="A58" s="62"/>
      <c r="B58" s="30"/>
      <c r="C58" s="30"/>
      <c r="D58" s="30"/>
      <c r="E58" s="30"/>
      <c r="F58" s="30"/>
      <c r="G58" s="30"/>
      <c r="H58" s="30"/>
      <c r="I58" s="30"/>
    </row>
    <row r="61" spans="2:9" ht="14.25">
      <c r="B61" s="54"/>
      <c r="C61" s="54"/>
      <c r="D61" s="54"/>
      <c r="E61" s="54"/>
      <c r="F61" s="54"/>
      <c r="G61" s="54"/>
      <c r="H61" s="54"/>
      <c r="I61" s="54"/>
    </row>
    <row r="1000" ht="14.25">
      <c r="A1000" s="31" t="s">
        <v>396</v>
      </c>
    </row>
  </sheetData>
  <sheetProtection/>
  <mergeCells count="2">
    <mergeCell ref="B6:E6"/>
    <mergeCell ref="F6:I6"/>
  </mergeCells>
  <conditionalFormatting sqref="B26:I26">
    <cfRule type="cellIs" priority="1" dxfId="14" operator="notBetween">
      <formula>-0.4</formula>
      <formula>0.4</formula>
    </cfRule>
  </conditionalFormatting>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 sqref="A1"/>
    </sheetView>
  </sheetViews>
  <sheetFormatPr defaultColWidth="11.421875" defaultRowHeight="15"/>
  <cols>
    <col min="1" max="1" width="62.00390625" style="31" customWidth="1"/>
    <col min="2" max="16384" width="11.421875" style="31" customWidth="1"/>
  </cols>
  <sheetData>
    <row r="1" spans="1:9" ht="16.5">
      <c r="A1" s="29" t="str">
        <f>HLOOKUP(INDICE!$F$2,Nombres!$C$3:$D$636,11,FALSE)</f>
        <v>Mexico</v>
      </c>
      <c r="B1" s="30"/>
      <c r="C1" s="30"/>
      <c r="D1" s="30"/>
      <c r="E1" s="30"/>
      <c r="F1" s="30"/>
      <c r="G1" s="30"/>
      <c r="H1" s="30"/>
      <c r="I1" s="30"/>
    </row>
    <row r="2" spans="1:9" ht="19.5">
      <c r="A2" s="32"/>
      <c r="B2" s="30"/>
      <c r="C2" s="30"/>
      <c r="D2" s="30"/>
      <c r="E2" s="30"/>
      <c r="F2" s="30"/>
      <c r="G2" s="30"/>
      <c r="H2" s="30"/>
      <c r="I2" s="30"/>
    </row>
    <row r="3" spans="1:9" ht="16.5">
      <c r="A3" s="33" t="str">
        <f>HLOOKUP(INDICE!$F$2,Nombres!$C$3:$D$636,31,FALSE)</f>
        <v>Income statement  </v>
      </c>
      <c r="B3" s="34"/>
      <c r="C3" s="34"/>
      <c r="D3" s="34"/>
      <c r="E3" s="34"/>
      <c r="F3" s="34"/>
      <c r="G3" s="34"/>
      <c r="H3" s="34"/>
      <c r="I3" s="34"/>
    </row>
    <row r="4" spans="1:9" ht="14.25">
      <c r="A4" s="35"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4.25">
      <c r="A8" s="41" t="str">
        <f>HLOOKUP(INDICE!$F$2,Nombres!$C$3:$D$636,33,FALSE)</f>
        <v>Net interest income</v>
      </c>
      <c r="B8" s="41">
        <v>1545.28894412</v>
      </c>
      <c r="C8" s="41">
        <v>1171.92793003</v>
      </c>
      <c r="D8" s="41">
        <v>1318.7832245</v>
      </c>
      <c r="E8" s="42">
        <v>1378.6220557400002</v>
      </c>
      <c r="F8" s="50">
        <v>1366.2208904400002</v>
      </c>
      <c r="G8" s="50">
        <v>1404.86537968</v>
      </c>
      <c r="H8" s="50">
        <v>1508.9767515400004</v>
      </c>
      <c r="I8" s="50">
        <v>1556.19257472</v>
      </c>
    </row>
    <row r="9" spans="1:9" ht="14.25">
      <c r="A9" s="43" t="str">
        <f>HLOOKUP(INDICE!$F$2,Nombres!$C$3:$D$636,34,FALSE)</f>
        <v>Net fees and commissions</v>
      </c>
      <c r="B9" s="44">
        <v>295.60459267</v>
      </c>
      <c r="C9" s="44">
        <v>215.74048713000002</v>
      </c>
      <c r="D9" s="44">
        <v>251.72344403</v>
      </c>
      <c r="E9" s="45">
        <v>297.84946498000005</v>
      </c>
      <c r="F9" s="44">
        <v>281.56553275000005</v>
      </c>
      <c r="G9" s="44">
        <v>299.25527668000007</v>
      </c>
      <c r="H9" s="44">
        <v>317.0497586000001</v>
      </c>
      <c r="I9" s="44">
        <v>313.07270375999997</v>
      </c>
    </row>
    <row r="10" spans="1:9" ht="14.25">
      <c r="A10" s="43" t="str">
        <f>HLOOKUP(INDICE!$F$2,Nombres!$C$3:$D$636,35,FALSE)</f>
        <v>Net trading income</v>
      </c>
      <c r="B10" s="44">
        <v>78.26088806000001</v>
      </c>
      <c r="C10" s="44">
        <v>153.29599518999999</v>
      </c>
      <c r="D10" s="44">
        <v>98.60487913</v>
      </c>
      <c r="E10" s="45">
        <v>92.64355686000002</v>
      </c>
      <c r="F10" s="44">
        <v>69.14014961999999</v>
      </c>
      <c r="G10" s="44">
        <v>95.77761064</v>
      </c>
      <c r="H10" s="44">
        <v>87.99758012</v>
      </c>
      <c r="I10" s="44">
        <v>113.48441278000001</v>
      </c>
    </row>
    <row r="11" spans="1:9" ht="14.25">
      <c r="A11" s="43" t="str">
        <f>HLOOKUP(INDICE!$F$2,Nombres!$C$3:$D$636,36,FALSE)</f>
        <v>Other operating income and expenses</v>
      </c>
      <c r="B11" s="44">
        <v>73.94899999</v>
      </c>
      <c r="C11" s="44">
        <v>18.98699999000008</v>
      </c>
      <c r="D11" s="44">
        <v>14.536000010000034</v>
      </c>
      <c r="E11" s="45">
        <v>18.778999999999964</v>
      </c>
      <c r="F11" s="44">
        <v>43.806999969999964</v>
      </c>
      <c r="G11" s="44">
        <v>43.580000020000156</v>
      </c>
      <c r="H11" s="44">
        <v>39.274000029999996</v>
      </c>
      <c r="I11" s="44">
        <v>63.05900000999974</v>
      </c>
    </row>
    <row r="12" spans="1:9" ht="14.25">
      <c r="A12" s="41" t="str">
        <f>HLOOKUP(INDICE!$F$2,Nombres!$C$3:$D$636,37,FALSE)</f>
        <v>Gross income</v>
      </c>
      <c r="B12" s="41">
        <f>+SUM(B8:B11)</f>
        <v>1993.10342484</v>
      </c>
      <c r="C12" s="41">
        <f aca="true" t="shared" si="0" ref="C12:I12">+SUM(C8:C11)</f>
        <v>1559.9514123400002</v>
      </c>
      <c r="D12" s="41">
        <f t="shared" si="0"/>
        <v>1683.6475476699998</v>
      </c>
      <c r="E12" s="42">
        <f t="shared" si="0"/>
        <v>1787.8940775800002</v>
      </c>
      <c r="F12" s="50">
        <f t="shared" si="0"/>
        <v>1760.7335727800003</v>
      </c>
      <c r="G12" s="50">
        <f t="shared" si="0"/>
        <v>1843.47826702</v>
      </c>
      <c r="H12" s="50">
        <f t="shared" si="0"/>
        <v>1953.2980902900006</v>
      </c>
      <c r="I12" s="50">
        <f t="shared" si="0"/>
        <v>2045.8086912699996</v>
      </c>
    </row>
    <row r="13" spans="1:9" ht="14.25">
      <c r="A13" s="43" t="str">
        <f>HLOOKUP(INDICE!$F$2,Nombres!$C$3:$D$636,38,FALSE)</f>
        <v>Operating expenses</v>
      </c>
      <c r="B13" s="44">
        <v>-662.45626868</v>
      </c>
      <c r="C13" s="44">
        <v>-539.74462109</v>
      </c>
      <c r="D13" s="44">
        <v>-543.00960506</v>
      </c>
      <c r="E13" s="45">
        <v>-599.18878454</v>
      </c>
      <c r="F13" s="44">
        <v>-622.31016494</v>
      </c>
      <c r="G13" s="44">
        <v>-644.8943257799999</v>
      </c>
      <c r="H13" s="44">
        <v>-681.1818381399999</v>
      </c>
      <c r="I13" s="44">
        <v>-710.70610889</v>
      </c>
    </row>
    <row r="14" spans="1:9" ht="14.25">
      <c r="A14" s="43" t="str">
        <f>HLOOKUP(INDICE!$F$2,Nombres!$C$3:$D$636,39,FALSE)</f>
        <v>  Administration expenses</v>
      </c>
      <c r="B14" s="44">
        <v>-576.90420865</v>
      </c>
      <c r="C14" s="44">
        <v>-466.62441115999997</v>
      </c>
      <c r="D14" s="44">
        <v>-468.64338205</v>
      </c>
      <c r="E14" s="45">
        <v>-520.67002754</v>
      </c>
      <c r="F14" s="44">
        <v>-543.9133599200001</v>
      </c>
      <c r="G14" s="44">
        <v>-565.5937507900001</v>
      </c>
      <c r="H14" s="44">
        <v>-597.09366122</v>
      </c>
      <c r="I14" s="44">
        <v>-626.6364409</v>
      </c>
    </row>
    <row r="15" spans="1:9" ht="14.25">
      <c r="A15" s="46" t="str">
        <f>HLOOKUP(INDICE!$F$2,Nombres!$C$3:$D$636,40,FALSE)</f>
        <v>  Personnel expenses</v>
      </c>
      <c r="B15" s="44">
        <v>-288.0072626</v>
      </c>
      <c r="C15" s="44">
        <v>-206.45298853000003</v>
      </c>
      <c r="D15" s="44">
        <v>-227.88140429999999</v>
      </c>
      <c r="E15" s="45">
        <v>-253.24898643000006</v>
      </c>
      <c r="F15" s="44">
        <v>-255.18485251</v>
      </c>
      <c r="G15" s="44">
        <v>-269.27963647</v>
      </c>
      <c r="H15" s="44">
        <v>-328.77337012</v>
      </c>
      <c r="I15" s="44">
        <v>-345.93384105</v>
      </c>
    </row>
    <row r="16" spans="1:9" ht="14.25">
      <c r="A16" s="46" t="str">
        <f>HLOOKUP(INDICE!$F$2,Nombres!$C$3:$D$636,41,FALSE)</f>
        <v>  General and administrative expenses</v>
      </c>
      <c r="B16" s="44">
        <v>-288.89694605</v>
      </c>
      <c r="C16" s="44">
        <v>-260.17142263</v>
      </c>
      <c r="D16" s="44">
        <v>-240.76197775000003</v>
      </c>
      <c r="E16" s="45">
        <v>-267.42104111</v>
      </c>
      <c r="F16" s="44">
        <v>-288.72850741</v>
      </c>
      <c r="G16" s="44">
        <v>-296.31411432</v>
      </c>
      <c r="H16" s="44">
        <v>-268.32029109999996</v>
      </c>
      <c r="I16" s="44">
        <v>-280.70259984999996</v>
      </c>
    </row>
    <row r="17" spans="1:9" ht="14.25">
      <c r="A17" s="43" t="str">
        <f>HLOOKUP(INDICE!$F$2,Nombres!$C$3:$D$636,42,FALSE)</f>
        <v>  Depreciation</v>
      </c>
      <c r="B17" s="44">
        <v>-85.55206003</v>
      </c>
      <c r="C17" s="44">
        <v>-73.12020993</v>
      </c>
      <c r="D17" s="44">
        <v>-74.36622301</v>
      </c>
      <c r="E17" s="45">
        <v>-78.518757</v>
      </c>
      <c r="F17" s="44">
        <v>-78.39680502</v>
      </c>
      <c r="G17" s="44">
        <v>-79.30057498999999</v>
      </c>
      <c r="H17" s="44">
        <v>-84.08817692</v>
      </c>
      <c r="I17" s="44">
        <v>-84.06966799</v>
      </c>
    </row>
    <row r="18" spans="1:9" ht="14.25">
      <c r="A18" s="41" t="str">
        <f>HLOOKUP(INDICE!$F$2,Nombres!$C$3:$D$636,43,FALSE)</f>
        <v>Operating income</v>
      </c>
      <c r="B18" s="41">
        <f>+B12+B13</f>
        <v>1330.64715616</v>
      </c>
      <c r="C18" s="41">
        <f aca="true" t="shared" si="1" ref="C18:I18">+C12+C13</f>
        <v>1020.2067912500002</v>
      </c>
      <c r="D18" s="41">
        <f t="shared" si="1"/>
        <v>1140.6379426099998</v>
      </c>
      <c r="E18" s="42">
        <f t="shared" si="1"/>
        <v>1188.70529304</v>
      </c>
      <c r="F18" s="50">
        <f t="shared" si="1"/>
        <v>1138.4234078400002</v>
      </c>
      <c r="G18" s="50">
        <f t="shared" si="1"/>
        <v>1198.58394124</v>
      </c>
      <c r="H18" s="50">
        <f t="shared" si="1"/>
        <v>1272.1162521500007</v>
      </c>
      <c r="I18" s="50">
        <f t="shared" si="1"/>
        <v>1335.1025823799996</v>
      </c>
    </row>
    <row r="19" spans="1:9" ht="14.25">
      <c r="A19" s="43" t="str">
        <f>HLOOKUP(INDICE!$F$2,Nombres!$C$3:$D$636,44,FALSE)</f>
        <v>Impaiment on financial assets not measured at fair value through profit or loss</v>
      </c>
      <c r="B19" s="44">
        <v>-773.1019999700001</v>
      </c>
      <c r="C19" s="44">
        <v>-621.3509999999999</v>
      </c>
      <c r="D19" s="44">
        <v>-354.77100005000005</v>
      </c>
      <c r="E19" s="45">
        <v>-423.13399993999997</v>
      </c>
      <c r="F19" s="44">
        <v>-457.89600006</v>
      </c>
      <c r="G19" s="44">
        <v>-283.35099992</v>
      </c>
      <c r="H19" s="44">
        <v>-334.22599999000005</v>
      </c>
      <c r="I19" s="44">
        <v>-365.00800001000005</v>
      </c>
    </row>
    <row r="20" spans="1:9" ht="14.25">
      <c r="A20" s="43" t="str">
        <f>HLOOKUP(INDICE!$F$2,Nombres!$C$3:$D$636,45,FALSE)</f>
        <v>Provisions or reversal of provisions and other results</v>
      </c>
      <c r="B20" s="44">
        <v>-12.61499997</v>
      </c>
      <c r="C20" s="44">
        <v>-51.25200002</v>
      </c>
      <c r="D20" s="44">
        <v>15.984000009999997</v>
      </c>
      <c r="E20" s="45">
        <v>15.26099998000001</v>
      </c>
      <c r="F20" s="44">
        <v>1.8089999800000047</v>
      </c>
      <c r="G20" s="44">
        <v>7.059000009999996</v>
      </c>
      <c r="H20" s="44">
        <v>8.894000000000005</v>
      </c>
      <c r="I20" s="44">
        <v>6.701999990000015</v>
      </c>
    </row>
    <row r="21" spans="1:9" ht="14.25">
      <c r="A21" s="41" t="str">
        <f>HLOOKUP(INDICE!$F$2,Nombres!$C$3:$D$636,46,FALSE)</f>
        <v>Profit/(loss) before tax</v>
      </c>
      <c r="B21" s="41">
        <f>+B18+B19+B20</f>
        <v>544.9301562199998</v>
      </c>
      <c r="C21" s="41">
        <f aca="true" t="shared" si="2" ref="C21:I21">+C18+C19+C20</f>
        <v>347.6037912300003</v>
      </c>
      <c r="D21" s="41">
        <f t="shared" si="2"/>
        <v>801.8509425699997</v>
      </c>
      <c r="E21" s="42">
        <f t="shared" si="2"/>
        <v>780.8322930800001</v>
      </c>
      <c r="F21" s="50">
        <f t="shared" si="2"/>
        <v>682.3364077600002</v>
      </c>
      <c r="G21" s="50">
        <f t="shared" si="2"/>
        <v>922.29194133</v>
      </c>
      <c r="H21" s="50">
        <f t="shared" si="2"/>
        <v>946.7842521600007</v>
      </c>
      <c r="I21" s="50">
        <f t="shared" si="2"/>
        <v>976.7965823599995</v>
      </c>
    </row>
    <row r="22" spans="1:9" ht="14.25">
      <c r="A22" s="43" t="str">
        <f>HLOOKUP(INDICE!$F$2,Nombres!$C$3:$D$636,47,FALSE)</f>
        <v>Income tax</v>
      </c>
      <c r="B22" s="44">
        <v>-172.27255225000002</v>
      </c>
      <c r="C22" s="44">
        <v>-64.34253133999998</v>
      </c>
      <c r="D22" s="44">
        <v>-251.48274954999994</v>
      </c>
      <c r="E22" s="45">
        <v>-225.7838080100001</v>
      </c>
      <c r="F22" s="44">
        <v>-189.35086325</v>
      </c>
      <c r="G22" s="44">
        <v>-288.33996212999995</v>
      </c>
      <c r="H22" s="44">
        <v>-262.06356015999995</v>
      </c>
      <c r="I22" s="44">
        <v>-220.28738715999998</v>
      </c>
    </row>
    <row r="23" spans="1:9" ht="14.25">
      <c r="A23" s="41" t="str">
        <f>HLOOKUP(INDICE!$F$2,Nombres!$C$3:$D$636,48,FALSE)</f>
        <v>Profit/(loss) for the year</v>
      </c>
      <c r="B23" s="41">
        <f>+B21+B22</f>
        <v>372.65760396999985</v>
      </c>
      <c r="C23" s="41">
        <f aca="true" t="shared" si="3" ref="C23:I23">+C21+C22</f>
        <v>283.2612598900003</v>
      </c>
      <c r="D23" s="41">
        <f t="shared" si="3"/>
        <v>550.3681930199998</v>
      </c>
      <c r="E23" s="42">
        <f t="shared" si="3"/>
        <v>555.04848507</v>
      </c>
      <c r="F23" s="50">
        <f t="shared" si="3"/>
        <v>492.9855445100002</v>
      </c>
      <c r="G23" s="50">
        <f t="shared" si="3"/>
        <v>633.9519792000001</v>
      </c>
      <c r="H23" s="50">
        <f t="shared" si="3"/>
        <v>684.7206920000008</v>
      </c>
      <c r="I23" s="50">
        <f t="shared" si="3"/>
        <v>756.5091951999996</v>
      </c>
    </row>
    <row r="24" spans="1:9" ht="14.25">
      <c r="A24" s="43" t="str">
        <f>HLOOKUP(INDICE!$F$2,Nombres!$C$3:$D$636,49,FALSE)</f>
        <v>Non-controlling interests</v>
      </c>
      <c r="B24" s="44">
        <v>-0.06799999999999999</v>
      </c>
      <c r="C24" s="44">
        <v>-0.05400000000000001</v>
      </c>
      <c r="D24" s="44">
        <v>-0.11200000000000002</v>
      </c>
      <c r="E24" s="45">
        <v>-0.09899999999999999</v>
      </c>
      <c r="F24" s="44">
        <v>-0.085</v>
      </c>
      <c r="G24" s="44">
        <v>-0.121</v>
      </c>
      <c r="H24" s="44">
        <v>-0.123</v>
      </c>
      <c r="I24" s="44">
        <v>-0.14200000000000002</v>
      </c>
    </row>
    <row r="25" spans="1:9" ht="14.25">
      <c r="A25" s="47" t="str">
        <f>HLOOKUP(INDICE!$F$2,Nombres!$C$3:$D$636,50,FALSE)</f>
        <v>Net attributable profit</v>
      </c>
      <c r="B25" s="47">
        <f>+B23+B24</f>
        <v>372.58960396999987</v>
      </c>
      <c r="C25" s="47">
        <f aca="true" t="shared" si="4" ref="C25:I25">+C23+C24</f>
        <v>283.20725989000033</v>
      </c>
      <c r="D25" s="47">
        <f t="shared" si="4"/>
        <v>550.2561930199998</v>
      </c>
      <c r="E25" s="47">
        <f t="shared" si="4"/>
        <v>554.9494850699999</v>
      </c>
      <c r="F25" s="51">
        <f t="shared" si="4"/>
        <v>492.9005445100002</v>
      </c>
      <c r="G25" s="51">
        <f t="shared" si="4"/>
        <v>633.8309792000001</v>
      </c>
      <c r="H25" s="51">
        <f t="shared" si="4"/>
        <v>684.5976920000007</v>
      </c>
      <c r="I25" s="51">
        <f t="shared" si="4"/>
        <v>756.3671951999995</v>
      </c>
    </row>
    <row r="26" spans="1:9" ht="14.25">
      <c r="A26" s="62"/>
      <c r="B26" s="63">
        <v>0</v>
      </c>
      <c r="C26" s="63">
        <v>0</v>
      </c>
      <c r="D26" s="63">
        <v>0</v>
      </c>
      <c r="E26" s="63">
        <v>0</v>
      </c>
      <c r="F26" s="63">
        <v>-4.547473508864641E-13</v>
      </c>
      <c r="G26" s="63">
        <v>0</v>
      </c>
      <c r="H26" s="63">
        <v>0</v>
      </c>
      <c r="I26" s="63">
        <v>0</v>
      </c>
    </row>
    <row r="27" spans="1:9" ht="14.25">
      <c r="A27" s="41"/>
      <c r="B27" s="41"/>
      <c r="C27" s="41"/>
      <c r="D27" s="41"/>
      <c r="E27" s="41"/>
      <c r="F27" s="41"/>
      <c r="G27" s="41"/>
      <c r="H27" s="41"/>
      <c r="I27" s="41"/>
    </row>
    <row r="28" spans="1:9" ht="16.5">
      <c r="A28" s="33" t="str">
        <f>HLOOKUP(INDICE!$F$2,Nombres!$C$3:$D$636,51,FALSE)</f>
        <v>Balance sheets</v>
      </c>
      <c r="B28" s="34"/>
      <c r="C28" s="34"/>
      <c r="D28" s="34"/>
      <c r="E28" s="34"/>
      <c r="F28" s="34"/>
      <c r="G28" s="34"/>
      <c r="H28" s="34"/>
      <c r="I28" s="34"/>
    </row>
    <row r="29" spans="1:9" ht="14.25">
      <c r="A29" s="35" t="str">
        <f>HLOOKUP(INDICE!$F$2,Nombres!$C$3:$D$636,32,FALSE)</f>
        <v>(Million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4.25">
      <c r="A31" s="43" t="str">
        <f>HLOOKUP(INDICE!$F$2,Nombres!$C$3:$D$636,52,FALSE)</f>
        <v>Cash, cash balances at central banks and other demand deposits</v>
      </c>
      <c r="B31" s="44">
        <v>5851.538999979999</v>
      </c>
      <c r="C31" s="44">
        <v>6565.50000001</v>
      </c>
      <c r="D31" s="44">
        <v>7990.55000001</v>
      </c>
      <c r="E31" s="45">
        <v>9161.194</v>
      </c>
      <c r="F31" s="44">
        <v>10641.473</v>
      </c>
      <c r="G31" s="44">
        <v>13097.19699999</v>
      </c>
      <c r="H31" s="44">
        <v>13776.94199999</v>
      </c>
      <c r="I31" s="44">
        <v>12984.86099999</v>
      </c>
    </row>
    <row r="32" spans="1:9" ht="14.25">
      <c r="A32" s="43" t="str">
        <f>HLOOKUP(INDICE!$F$2,Nombres!$C$3:$D$636,53,FALSE)</f>
        <v>Financial assets designated at fair value </v>
      </c>
      <c r="B32" s="58">
        <v>34750.406</v>
      </c>
      <c r="C32" s="58">
        <v>33941.22699999</v>
      </c>
      <c r="D32" s="58">
        <v>31937.569</v>
      </c>
      <c r="E32" s="65">
        <v>36360.08799999</v>
      </c>
      <c r="F32" s="44">
        <v>33914.79300004</v>
      </c>
      <c r="G32" s="44">
        <v>34697.427</v>
      </c>
      <c r="H32" s="44">
        <v>33472.055000019995</v>
      </c>
      <c r="I32" s="44">
        <v>35125.59400001</v>
      </c>
    </row>
    <row r="33" spans="1:9" ht="14.25">
      <c r="A33" s="43" t="str">
        <f>HLOOKUP(INDICE!$F$2,Nombres!$C$3:$D$636,54,FALSE)</f>
        <v>Financial assets at amortized cost</v>
      </c>
      <c r="B33" s="44">
        <v>58838.916000020006</v>
      </c>
      <c r="C33" s="44">
        <v>58417.727000009996</v>
      </c>
      <c r="D33" s="44">
        <v>56834.839999970005</v>
      </c>
      <c r="E33" s="45">
        <v>59818.64699994001</v>
      </c>
      <c r="F33" s="44">
        <v>60857.970999929996</v>
      </c>
      <c r="G33" s="44">
        <v>61847.353999880004</v>
      </c>
      <c r="H33" s="44">
        <v>62195.73199996001</v>
      </c>
      <c r="I33" s="44">
        <v>65311.4730001</v>
      </c>
    </row>
    <row r="34" spans="1:9" ht="14.25">
      <c r="A34" s="43" t="str">
        <f>HLOOKUP(INDICE!$F$2,Nombres!$C$3:$D$636,55,FALSE)</f>
        <v>    of which loans and advances to customers</v>
      </c>
      <c r="B34" s="44">
        <v>50484.05000001</v>
      </c>
      <c r="C34" s="44">
        <v>49439.644999990014</v>
      </c>
      <c r="D34" s="44">
        <v>47788.48999997</v>
      </c>
      <c r="E34" s="45">
        <v>50002.42099997</v>
      </c>
      <c r="F34" s="44">
        <v>51524.61899994</v>
      </c>
      <c r="G34" s="44">
        <v>52873.54899988</v>
      </c>
      <c r="H34" s="44">
        <v>53014.01999998001</v>
      </c>
      <c r="I34" s="44">
        <v>55808.89100009</v>
      </c>
    </row>
    <row r="35" spans="1:9" ht="14.25">
      <c r="A35" s="43"/>
      <c r="B35" s="44"/>
      <c r="C35" s="44"/>
      <c r="D35" s="44"/>
      <c r="E35" s="45"/>
      <c r="F35" s="44"/>
      <c r="G35" s="44"/>
      <c r="H35" s="44"/>
      <c r="I35" s="44"/>
    </row>
    <row r="36" spans="1:9" ht="14.25">
      <c r="A36" s="43" t="str">
        <f>HLOOKUP(INDICE!$F$2,Nombres!$C$3:$D$636,56,FALSE)</f>
        <v>Tangible assets</v>
      </c>
      <c r="B36" s="44">
        <v>1597.9159999899998</v>
      </c>
      <c r="C36" s="44">
        <v>1582.5459999999998</v>
      </c>
      <c r="D36" s="44">
        <v>1537.93599998</v>
      </c>
      <c r="E36" s="45">
        <v>1647.24400001</v>
      </c>
      <c r="F36" s="44">
        <v>1643.95599999</v>
      </c>
      <c r="G36" s="44">
        <v>1661.2619999899998</v>
      </c>
      <c r="H36" s="44">
        <v>1643.6710000100002</v>
      </c>
      <c r="I36" s="44">
        <v>1731.02100002</v>
      </c>
    </row>
    <row r="37" spans="1:9" ht="14.25">
      <c r="A37" s="43" t="str">
        <f>HLOOKUP(INDICE!$F$2,Nombres!$C$3:$D$636,57,FALSE)</f>
        <v>Other assets</v>
      </c>
      <c r="B37" s="58">
        <f>+B38-B36-B33-B32-B31</f>
        <v>3168.9820001199805</v>
      </c>
      <c r="C37" s="58">
        <f aca="true" t="shared" si="5" ref="C37:I37">+C38-C36-C33-C32-C31</f>
        <v>3171.9056668200037</v>
      </c>
      <c r="D37" s="58">
        <f t="shared" si="5"/>
        <v>3126.052783909985</v>
      </c>
      <c r="E37" s="65">
        <f t="shared" si="5"/>
        <v>3249.284000010015</v>
      </c>
      <c r="F37" s="44">
        <f t="shared" si="5"/>
        <v>3354.11505898</v>
      </c>
      <c r="G37" s="44">
        <f t="shared" si="5"/>
        <v>3197.313482329995</v>
      </c>
      <c r="H37" s="44">
        <f t="shared" si="5"/>
        <v>2866.14309037999</v>
      </c>
      <c r="I37" s="44">
        <f t="shared" si="5"/>
        <v>2952.794587909986</v>
      </c>
    </row>
    <row r="38" spans="1:9" ht="14.25">
      <c r="A38" s="47" t="str">
        <f>HLOOKUP(INDICE!$F$2,Nombres!$C$3:$D$636,58,FALSE)</f>
        <v>Total assets / Liabilities and equity</v>
      </c>
      <c r="B38" s="47">
        <v>104207.75900010999</v>
      </c>
      <c r="C38" s="47">
        <v>103678.90566683</v>
      </c>
      <c r="D38" s="47">
        <v>101426.94778386998</v>
      </c>
      <c r="E38" s="71">
        <v>110236.45699995002</v>
      </c>
      <c r="F38" s="47">
        <v>110412.30805893999</v>
      </c>
      <c r="G38" s="51">
        <v>114500.55348219001</v>
      </c>
      <c r="H38" s="51">
        <v>113954.54309035999</v>
      </c>
      <c r="I38" s="51">
        <v>118105.74358802999</v>
      </c>
    </row>
    <row r="39" spans="1:9" ht="14.25">
      <c r="A39" s="43" t="str">
        <f>HLOOKUP(INDICE!$F$2,Nombres!$C$3:$D$636,59,FALSE)</f>
        <v>Financial liabilities held for trading and designated at fair value through profit or loss</v>
      </c>
      <c r="B39" s="58">
        <v>25597.628</v>
      </c>
      <c r="C39" s="58">
        <v>24494.13500001</v>
      </c>
      <c r="D39" s="58">
        <v>21571.643000009997</v>
      </c>
      <c r="E39" s="65">
        <v>23801.29199999</v>
      </c>
      <c r="F39" s="44">
        <v>21138.310999990004</v>
      </c>
      <c r="G39" s="44">
        <v>22387.819</v>
      </c>
      <c r="H39" s="44">
        <v>21232.270999999997</v>
      </c>
      <c r="I39" s="44">
        <v>19843.148</v>
      </c>
    </row>
    <row r="40" spans="1:9" ht="15.75" customHeight="1">
      <c r="A40" s="43" t="str">
        <f>HLOOKUP(INDICE!$F$2,Nombres!$C$3:$D$636,60,FALSE)</f>
        <v>Deposits from central banks and credit institutions</v>
      </c>
      <c r="B40" s="58">
        <v>3269.7840000200003</v>
      </c>
      <c r="C40" s="58">
        <v>3096.1010000200004</v>
      </c>
      <c r="D40" s="58">
        <v>3462.97800001</v>
      </c>
      <c r="E40" s="65">
        <v>5125.24700001</v>
      </c>
      <c r="F40" s="44">
        <v>5023.4619999999995</v>
      </c>
      <c r="G40" s="44">
        <v>5348.85700002</v>
      </c>
      <c r="H40" s="44">
        <v>5509.040000020001</v>
      </c>
      <c r="I40" s="44">
        <v>3267.822</v>
      </c>
    </row>
    <row r="41" spans="1:9" ht="14.25">
      <c r="A41" s="43" t="str">
        <f>HLOOKUP(INDICE!$F$2,Nombres!$C$3:$D$636,61,FALSE)</f>
        <v>Deposits from customers</v>
      </c>
      <c r="B41" s="58">
        <v>49072.30400001</v>
      </c>
      <c r="C41" s="58">
        <v>50398.496000009996</v>
      </c>
      <c r="D41" s="58">
        <v>50769.70800001001</v>
      </c>
      <c r="E41" s="65">
        <v>54051.79900002</v>
      </c>
      <c r="F41" s="44">
        <v>56832.47199996999</v>
      </c>
      <c r="G41" s="44">
        <v>58727.88499997</v>
      </c>
      <c r="H41" s="44">
        <v>58440.05500003</v>
      </c>
      <c r="I41" s="44">
        <v>64003.28299998001</v>
      </c>
    </row>
    <row r="42" spans="1:9" ht="14.25">
      <c r="A42" s="43" t="str">
        <f>HLOOKUP(INDICE!$F$2,Nombres!$C$3:$D$636,62,FALSE)</f>
        <v>Debt certificates</v>
      </c>
      <c r="B42" s="44">
        <v>8759.41093415</v>
      </c>
      <c r="C42" s="44">
        <v>7868.527832860001</v>
      </c>
      <c r="D42" s="44">
        <v>7882.03794195</v>
      </c>
      <c r="E42" s="45">
        <v>7640.004248069999</v>
      </c>
      <c r="F42" s="44">
        <v>7575.2311366700005</v>
      </c>
      <c r="G42" s="44">
        <v>7896.9549924</v>
      </c>
      <c r="H42" s="44">
        <v>7810.507309169999</v>
      </c>
      <c r="I42" s="44">
        <v>7983.72892324</v>
      </c>
    </row>
    <row r="43" spans="1:9" ht="14.25">
      <c r="A43" s="43"/>
      <c r="B43" s="44"/>
      <c r="C43" s="44"/>
      <c r="D43" s="44"/>
      <c r="E43" s="45"/>
      <c r="F43" s="44"/>
      <c r="G43" s="44"/>
      <c r="H43" s="44"/>
      <c r="I43" s="44"/>
    </row>
    <row r="44" spans="1:9" ht="14.25">
      <c r="A44" s="43" t="str">
        <f>HLOOKUP(INDICE!$F$2,Nombres!$C$3:$D$636,63,FALSE)</f>
        <v>Other liabilities</v>
      </c>
      <c r="B44" s="58">
        <f>+B38-B39-B40-B41-B42-B45</f>
        <v>11059.102741229995</v>
      </c>
      <c r="C44" s="58">
        <f aca="true" t="shared" si="6" ref="C44:I44">+C38-C39-C40-C41-C42-C45</f>
        <v>11219.794094679997</v>
      </c>
      <c r="D44" s="58">
        <f t="shared" si="6"/>
        <v>11324.416410859978</v>
      </c>
      <c r="E44" s="65">
        <f t="shared" si="6"/>
        <v>12910.80143673002</v>
      </c>
      <c r="F44" s="44">
        <f t="shared" si="6"/>
        <v>12742.700459369997</v>
      </c>
      <c r="G44" s="44">
        <f t="shared" si="6"/>
        <v>12923.63742559</v>
      </c>
      <c r="H44" s="44">
        <f t="shared" si="6"/>
        <v>13623.665511779996</v>
      </c>
      <c r="I44" s="44">
        <f t="shared" si="6"/>
        <v>15779.16469066998</v>
      </c>
    </row>
    <row r="45" spans="1:9" ht="14.25">
      <c r="A45" s="43" t="str">
        <f>HLOOKUP(INDICE!$F$2,Nombres!$C$3:$D$636,282,FALSE)</f>
        <v>Regulatory capital allocated</v>
      </c>
      <c r="B45" s="44">
        <v>6449.5293247</v>
      </c>
      <c r="C45" s="44">
        <v>6601.85173925</v>
      </c>
      <c r="D45" s="44">
        <v>6416.164431030002</v>
      </c>
      <c r="E45" s="44">
        <v>6707.313315129999</v>
      </c>
      <c r="F45" s="44">
        <v>7100.131462939999</v>
      </c>
      <c r="G45" s="44">
        <v>7215.400064210002</v>
      </c>
      <c r="H45" s="44">
        <v>7339.004269360001</v>
      </c>
      <c r="I45" s="44">
        <v>7228.596974139999</v>
      </c>
    </row>
    <row r="46" spans="1:9" ht="14.25">
      <c r="A46" s="62"/>
      <c r="B46" s="58"/>
      <c r="C46" s="58"/>
      <c r="D46" s="58"/>
      <c r="E46" s="58"/>
      <c r="F46" s="77"/>
      <c r="G46" s="77"/>
      <c r="H46" s="77"/>
      <c r="I46" s="77"/>
    </row>
    <row r="47" spans="1:9" ht="14.25">
      <c r="A47" s="43"/>
      <c r="B47" s="58"/>
      <c r="C47" s="58"/>
      <c r="D47" s="58"/>
      <c r="E47" s="58"/>
      <c r="F47" s="77"/>
      <c r="G47" s="77"/>
      <c r="H47" s="77"/>
      <c r="I47" s="77"/>
    </row>
    <row r="48" spans="1:9" ht="16.5">
      <c r="A48" s="66" t="str">
        <f>HLOOKUP(INDICE!$F$2,Nombres!$C$3:$D$636,65,FALSE)</f>
        <v>Relevant business indicators</v>
      </c>
      <c r="B48" s="67"/>
      <c r="C48" s="67"/>
      <c r="D48" s="67"/>
      <c r="E48" s="67"/>
      <c r="F48" s="78"/>
      <c r="G48" s="78"/>
      <c r="H48" s="78"/>
      <c r="I48" s="78"/>
    </row>
    <row r="49" spans="1:9" ht="14.25">
      <c r="A49" s="35" t="str">
        <f>HLOOKUP(INDICE!$F$2,Nombres!$C$3:$D$636,32,FALSE)</f>
        <v>(Million euros)</v>
      </c>
      <c r="B49" s="30"/>
      <c r="C49" s="30"/>
      <c r="D49" s="30"/>
      <c r="E49" s="30"/>
      <c r="F49" s="79"/>
      <c r="G49" s="77"/>
      <c r="H49" s="77"/>
      <c r="I49" s="77"/>
    </row>
    <row r="50" spans="1:9" ht="14.25">
      <c r="A50" s="30"/>
      <c r="B50" s="53">
        <f aca="true" t="shared" si="7" ref="B50:I50">+B$30</f>
        <v>43921</v>
      </c>
      <c r="C50" s="53">
        <f t="shared" si="7"/>
        <v>44012</v>
      </c>
      <c r="D50" s="53">
        <f t="shared" si="7"/>
        <v>44104</v>
      </c>
      <c r="E50" s="68">
        <f t="shared" si="7"/>
        <v>44196</v>
      </c>
      <c r="F50" s="76">
        <f t="shared" si="7"/>
        <v>44286</v>
      </c>
      <c r="G50" s="76">
        <f t="shared" si="7"/>
        <v>44377</v>
      </c>
      <c r="H50" s="76">
        <f t="shared" si="7"/>
        <v>44469</v>
      </c>
      <c r="I50" s="76">
        <f t="shared" si="7"/>
        <v>44561</v>
      </c>
    </row>
    <row r="51" spans="1:9" ht="14.25">
      <c r="A51" s="43" t="str">
        <f>HLOOKUP(INDICE!$F$2,Nombres!$C$3:$D$636,66,FALSE)</f>
        <v>Loans and advances to customers (gross) (*)</v>
      </c>
      <c r="B51" s="44">
        <v>52422.30330213001</v>
      </c>
      <c r="C51" s="44">
        <v>51411.49488526001</v>
      </c>
      <c r="D51" s="44">
        <v>49803.25699866</v>
      </c>
      <c r="E51" s="45">
        <v>52213.20047512001</v>
      </c>
      <c r="F51" s="44">
        <v>53660.75163941001</v>
      </c>
      <c r="G51" s="44">
        <v>54930.873690910004</v>
      </c>
      <c r="H51" s="44">
        <v>54922.70150473</v>
      </c>
      <c r="I51" s="44">
        <v>57846.47314939</v>
      </c>
    </row>
    <row r="52" spans="1:9" ht="14.25">
      <c r="A52" s="43" t="str">
        <f>HLOOKUP(INDICE!$F$2,Nombres!$C$3:$D$636,67,FALSE)</f>
        <v>Customer deposits under management (*)</v>
      </c>
      <c r="B52" s="44">
        <v>48936.727390880005</v>
      </c>
      <c r="C52" s="44">
        <v>50131.30069513001</v>
      </c>
      <c r="D52" s="44">
        <v>50432.03554927</v>
      </c>
      <c r="E52" s="45">
        <v>53774.65489324</v>
      </c>
      <c r="F52" s="44">
        <v>56488.99468851001</v>
      </c>
      <c r="G52" s="44">
        <v>57410.62207279001</v>
      </c>
      <c r="H52" s="44">
        <v>57893.08033935</v>
      </c>
      <c r="I52" s="44">
        <v>63348.80836991</v>
      </c>
    </row>
    <row r="53" spans="1:9" ht="14.25">
      <c r="A53" s="43" t="str">
        <f>HLOOKUP(INDICE!$F$2,Nombres!$C$3:$D$636,68,FALSE)</f>
        <v>Mutual funds</v>
      </c>
      <c r="B53" s="44">
        <v>18539.349153289997</v>
      </c>
      <c r="C53" s="44">
        <v>19359.339192389998</v>
      </c>
      <c r="D53" s="44">
        <v>19592.429874099995</v>
      </c>
      <c r="E53" s="45">
        <v>20660.16778547</v>
      </c>
      <c r="F53" s="44">
        <v>21935.72547235</v>
      </c>
      <c r="G53" s="44">
        <v>22677.27264376</v>
      </c>
      <c r="H53" s="44">
        <v>22910.04352186</v>
      </c>
      <c r="I53" s="44">
        <v>24250.322624270004</v>
      </c>
    </row>
    <row r="54" spans="1:9" ht="14.25">
      <c r="A54" s="43" t="str">
        <f>HLOOKUP(INDICE!$F$2,Nombres!$C$3:$D$636,69,FALSE)</f>
        <v>Pension funds</v>
      </c>
      <c r="B54" s="44">
        <v>0</v>
      </c>
      <c r="C54" s="44">
        <v>0</v>
      </c>
      <c r="D54" s="44">
        <v>0</v>
      </c>
      <c r="E54" s="45">
        <v>0</v>
      </c>
      <c r="F54" s="44">
        <v>0</v>
      </c>
      <c r="G54" s="44">
        <v>0</v>
      </c>
      <c r="H54" s="44">
        <v>0</v>
      </c>
      <c r="I54" s="44">
        <v>0</v>
      </c>
    </row>
    <row r="55" spans="1:9" ht="14.25">
      <c r="A55" s="43" t="str">
        <f>HLOOKUP(INDICE!$F$2,Nombres!$C$3:$D$636,70,FALSE)</f>
        <v>Other off balance-sheet funds</v>
      </c>
      <c r="B55" s="44">
        <v>2078.08252384</v>
      </c>
      <c r="C55" s="44">
        <v>1912.0187057399999</v>
      </c>
      <c r="D55" s="44">
        <v>1735.1617847599998</v>
      </c>
      <c r="E55" s="45">
        <v>1863.4363527599999</v>
      </c>
      <c r="F55" s="44">
        <v>1898.5095293499999</v>
      </c>
      <c r="G55" s="44">
        <v>2074.3120314</v>
      </c>
      <c r="H55" s="44">
        <v>2036.87402643</v>
      </c>
      <c r="I55" s="44">
        <v>2194.56725774</v>
      </c>
    </row>
    <row r="56" spans="1:9" ht="14.25">
      <c r="A56" s="62" t="str">
        <f>HLOOKUP(INDICE!$F$2,Nombres!$C$3:$D$636,71,FALSE)</f>
        <v>(*) Excluding repos. </v>
      </c>
      <c r="B56" s="58"/>
      <c r="C56" s="58"/>
      <c r="D56" s="58"/>
      <c r="E56" s="58"/>
      <c r="F56" s="58"/>
      <c r="G56" s="58"/>
      <c r="H56" s="58"/>
      <c r="I56" s="58"/>
    </row>
    <row r="57" spans="1:9" ht="14.25">
      <c r="A57" s="62">
        <f>HLOOKUP(INDICE!$F$2,Nombres!$C$3:$D$636,72,FALSE)</f>
        <v>0</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Income statement  </v>
      </c>
      <c r="B59" s="34"/>
      <c r="C59" s="34"/>
      <c r="D59" s="34"/>
      <c r="E59" s="34"/>
      <c r="F59" s="34"/>
      <c r="G59" s="34"/>
      <c r="H59" s="34"/>
      <c r="I59" s="34"/>
    </row>
    <row r="60" spans="1:9" ht="14.25">
      <c r="A60" s="35" t="str">
        <f>HLOOKUP(INDICE!$F$2,Nombres!$C$3:$D$636,73,FALSE)</f>
        <v>(Constant million euros)    </v>
      </c>
      <c r="B60" s="30"/>
      <c r="C60" s="36"/>
      <c r="D60" s="36"/>
      <c r="E60" s="36"/>
      <c r="F60" s="30"/>
      <c r="G60" s="30"/>
      <c r="H60" s="30"/>
      <c r="I60" s="3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39" t="str">
        <f>+B$7</f>
        <v>1Q</v>
      </c>
      <c r="C63" s="39" t="str">
        <f aca="true" t="shared" si="8" ref="C63:I63">+C$7</f>
        <v>2Q</v>
      </c>
      <c r="D63" s="39" t="str">
        <f t="shared" si="8"/>
        <v>3Q</v>
      </c>
      <c r="E63" s="40" t="str">
        <f t="shared" si="8"/>
        <v>4Q</v>
      </c>
      <c r="F63" s="39" t="str">
        <f t="shared" si="8"/>
        <v>1Q</v>
      </c>
      <c r="G63" s="39" t="str">
        <f t="shared" si="8"/>
        <v>2Q</v>
      </c>
      <c r="H63" s="39" t="str">
        <f t="shared" si="8"/>
        <v>3Q</v>
      </c>
      <c r="I63" s="39" t="str">
        <f t="shared" si="8"/>
        <v>4Q</v>
      </c>
    </row>
    <row r="64" spans="1:9" ht="14.25">
      <c r="A64" s="41" t="str">
        <f>HLOOKUP(INDICE!$F$2,Nombres!$C$3:$D$636,33,FALSE)</f>
        <v>Net interest income</v>
      </c>
      <c r="B64" s="41">
        <v>1423.3639907618322</v>
      </c>
      <c r="C64" s="41">
        <v>1281.523979789353</v>
      </c>
      <c r="D64" s="41">
        <v>1424.2282717663745</v>
      </c>
      <c r="E64" s="42">
        <v>1408.760207573477</v>
      </c>
      <c r="F64" s="50">
        <v>1397.1555261157362</v>
      </c>
      <c r="G64" s="50">
        <v>1413.1356207883682</v>
      </c>
      <c r="H64" s="50">
        <v>1486.1988975884578</v>
      </c>
      <c r="I64" s="50">
        <v>1539.765551887438</v>
      </c>
    </row>
    <row r="65" spans="1:9" ht="14.25">
      <c r="A65" s="43" t="str">
        <f>HLOOKUP(INDICE!$F$2,Nombres!$C$3:$D$636,34,FALSE)</f>
        <v>Net fees and commissions</v>
      </c>
      <c r="B65" s="44">
        <v>272.281073589059</v>
      </c>
      <c r="C65" s="44">
        <v>236.74386597680729</v>
      </c>
      <c r="D65" s="44">
        <v>271.64863792033003</v>
      </c>
      <c r="E65" s="45">
        <v>304.3943326971973</v>
      </c>
      <c r="F65" s="44">
        <v>287.94087603117373</v>
      </c>
      <c r="G65" s="44">
        <v>301.0972915203982</v>
      </c>
      <c r="H65" s="44">
        <v>312.27845728812287</v>
      </c>
      <c r="I65" s="44">
        <v>309.62664695030526</v>
      </c>
    </row>
    <row r="66" spans="1:9" ht="14.25">
      <c r="A66" s="43" t="str">
        <f>HLOOKUP(INDICE!$F$2,Nombres!$C$3:$D$636,35,FALSE)</f>
        <v>Net trading income</v>
      </c>
      <c r="B66" s="44">
        <v>72.08602014109556</v>
      </c>
      <c r="C66" s="44">
        <v>158.4202136306127</v>
      </c>
      <c r="D66" s="44">
        <v>107.27282031985396</v>
      </c>
      <c r="E66" s="45">
        <v>94.65068034696941</v>
      </c>
      <c r="F66" s="44">
        <v>70.7056544033237</v>
      </c>
      <c r="G66" s="44">
        <v>96.54533544256854</v>
      </c>
      <c r="H66" s="44">
        <v>86.6350479397539</v>
      </c>
      <c r="I66" s="44">
        <v>112.51371537435384</v>
      </c>
    </row>
    <row r="67" spans="1:9" ht="14.25">
      <c r="A67" s="43" t="str">
        <f>HLOOKUP(INDICE!$F$2,Nombres!$C$3:$D$636,36,FALSE)</f>
        <v>Other operating income and expenses</v>
      </c>
      <c r="B67" s="44">
        <v>68.11434465969967</v>
      </c>
      <c r="C67" s="44">
        <v>24.399974226121447</v>
      </c>
      <c r="D67" s="44">
        <v>17.437209832301576</v>
      </c>
      <c r="E67" s="45">
        <v>19.173351963155625</v>
      </c>
      <c r="F67" s="44">
        <v>44.798899298726006</v>
      </c>
      <c r="G67" s="44">
        <v>43.82443772057641</v>
      </c>
      <c r="H67" s="44">
        <v>38.52379209010459</v>
      </c>
      <c r="I67" s="44">
        <v>62.57287092059293</v>
      </c>
    </row>
    <row r="68" spans="1:9" ht="14.25">
      <c r="A68" s="41" t="str">
        <f>HLOOKUP(INDICE!$F$2,Nombres!$C$3:$D$636,37,FALSE)</f>
        <v>Gross income</v>
      </c>
      <c r="B68" s="41">
        <f>+SUM(B64:B67)</f>
        <v>1835.8454291516864</v>
      </c>
      <c r="C68" s="41">
        <f aca="true" t="shared" si="9" ref="C68:I68">+SUM(C64:C67)</f>
        <v>1701.0880336228945</v>
      </c>
      <c r="D68" s="41">
        <f t="shared" si="9"/>
        <v>1820.58693983886</v>
      </c>
      <c r="E68" s="42">
        <f t="shared" si="9"/>
        <v>1826.9785725807994</v>
      </c>
      <c r="F68" s="50">
        <f t="shared" si="9"/>
        <v>1800.6009558489595</v>
      </c>
      <c r="G68" s="50">
        <f t="shared" si="9"/>
        <v>1854.6026854719114</v>
      </c>
      <c r="H68" s="50">
        <f t="shared" si="9"/>
        <v>1923.636194906439</v>
      </c>
      <c r="I68" s="50">
        <f t="shared" si="9"/>
        <v>2024.47878513269</v>
      </c>
    </row>
    <row r="69" spans="1:9" ht="14.25">
      <c r="A69" s="43" t="str">
        <f>HLOOKUP(INDICE!$F$2,Nombres!$C$3:$D$636,38,FALSE)</f>
        <v>Operating expenses</v>
      </c>
      <c r="B69" s="44">
        <v>-610.1877593064141</v>
      </c>
      <c r="C69" s="44">
        <v>-586.558350973075</v>
      </c>
      <c r="D69" s="44">
        <v>-588.7288214173684</v>
      </c>
      <c r="E69" s="45">
        <v>-612.2904502953929</v>
      </c>
      <c r="F69" s="44">
        <v>-636.4008133588851</v>
      </c>
      <c r="G69" s="44">
        <v>-648.7318799055959</v>
      </c>
      <c r="H69" s="44">
        <v>-670.7316064919432</v>
      </c>
      <c r="I69" s="44">
        <v>-703.2281379935757</v>
      </c>
    </row>
    <row r="70" spans="1:9" ht="14.25">
      <c r="A70" s="43" t="str">
        <f>HLOOKUP(INDICE!$F$2,Nombres!$C$3:$D$636,39,FALSE)</f>
        <v>  Administration expenses</v>
      </c>
      <c r="B70" s="44">
        <v>-531.3858484757233</v>
      </c>
      <c r="C70" s="44">
        <v>-507.40793994167166</v>
      </c>
      <c r="D70" s="44">
        <v>-508.2661276977004</v>
      </c>
      <c r="E70" s="45">
        <v>-532.0561662205193</v>
      </c>
      <c r="F70" s="44">
        <v>-556.228909876839</v>
      </c>
      <c r="G70" s="44">
        <v>-568.9753265544003</v>
      </c>
      <c r="H70" s="44">
        <v>-587.9465254649574</v>
      </c>
      <c r="I70" s="44">
        <v>-620.0864509338035</v>
      </c>
    </row>
    <row r="71" spans="1:9" ht="14.25">
      <c r="A71" s="46" t="str">
        <f>HLOOKUP(INDICE!$F$2,Nombres!$C$3:$D$636,40,FALSE)</f>
        <v>  Personnel expenses</v>
      </c>
      <c r="B71" s="44">
        <v>-265.2831810015804</v>
      </c>
      <c r="C71" s="44">
        <v>-226.9335418964177</v>
      </c>
      <c r="D71" s="44">
        <v>-246.79036060931568</v>
      </c>
      <c r="E71" s="45">
        <v>-258.79115360702303</v>
      </c>
      <c r="F71" s="44">
        <v>-260.96287164116774</v>
      </c>
      <c r="G71" s="44">
        <v>-270.9216554263541</v>
      </c>
      <c r="H71" s="44">
        <v>-324.6280870354093</v>
      </c>
      <c r="I71" s="44">
        <v>-342.6590860470688</v>
      </c>
    </row>
    <row r="72" spans="1:9" ht="14.25">
      <c r="A72" s="46" t="str">
        <f>HLOOKUP(INDICE!$F$2,Nombres!$C$3:$D$636,41,FALSE)</f>
        <v>  General and administrative expenses</v>
      </c>
      <c r="B72" s="44">
        <v>-266.1026674741429</v>
      </c>
      <c r="C72" s="44">
        <v>-280.4743980452539</v>
      </c>
      <c r="D72" s="44">
        <v>-261.4757670883847</v>
      </c>
      <c r="E72" s="45">
        <v>-273.2650126134963</v>
      </c>
      <c r="F72" s="44">
        <v>-295.2660382356712</v>
      </c>
      <c r="G72" s="44">
        <v>-298.0536711280462</v>
      </c>
      <c r="H72" s="44">
        <v>-263.318438429548</v>
      </c>
      <c r="I72" s="44">
        <v>-277.4273648867346</v>
      </c>
    </row>
    <row r="73" spans="1:9" ht="14.25">
      <c r="A73" s="43" t="str">
        <f>HLOOKUP(INDICE!$F$2,Nombres!$C$3:$D$636,42,FALSE)</f>
        <v>  Depreciation</v>
      </c>
      <c r="B73" s="44">
        <v>-78.80191083069084</v>
      </c>
      <c r="C73" s="44">
        <v>-79.15041103140332</v>
      </c>
      <c r="D73" s="44">
        <v>-80.46269371966804</v>
      </c>
      <c r="E73" s="45">
        <v>-80.23428407487357</v>
      </c>
      <c r="F73" s="44">
        <v>-80.1719034820462</v>
      </c>
      <c r="G73" s="44">
        <v>-79.75655335119556</v>
      </c>
      <c r="H73" s="44">
        <v>-82.78508102698585</v>
      </c>
      <c r="I73" s="44">
        <v>-83.14168705977238</v>
      </c>
    </row>
    <row r="74" spans="1:9" ht="14.25">
      <c r="A74" s="41" t="str">
        <f>HLOOKUP(INDICE!$F$2,Nombres!$C$3:$D$636,43,FALSE)</f>
        <v>Operating income</v>
      </c>
      <c r="B74" s="41">
        <f>+B68+B69</f>
        <v>1225.6576698452723</v>
      </c>
      <c r="C74" s="41">
        <f aca="true" t="shared" si="10" ref="C74:I74">+C68+C69</f>
        <v>1114.5296826498195</v>
      </c>
      <c r="D74" s="41">
        <f t="shared" si="10"/>
        <v>1231.8581184214916</v>
      </c>
      <c r="E74" s="42">
        <f t="shared" si="10"/>
        <v>1214.6881222854065</v>
      </c>
      <c r="F74" s="50">
        <f t="shared" si="10"/>
        <v>1164.2001424900745</v>
      </c>
      <c r="G74" s="50">
        <f t="shared" si="10"/>
        <v>1205.8708055663155</v>
      </c>
      <c r="H74" s="50">
        <f t="shared" si="10"/>
        <v>1252.9045884144957</v>
      </c>
      <c r="I74" s="50">
        <f t="shared" si="10"/>
        <v>1321.2506471391143</v>
      </c>
    </row>
    <row r="75" spans="1:9" ht="14.25">
      <c r="A75" s="43" t="str">
        <f>HLOOKUP(INDICE!$F$2,Nombres!$C$3:$D$636,44,FALSE)</f>
        <v>Impaiment on financial assets not measured at fair value through profit or loss</v>
      </c>
      <c r="B75" s="44">
        <v>-712.1034238486085</v>
      </c>
      <c r="C75" s="44">
        <v>-676.0224857911114</v>
      </c>
      <c r="D75" s="44">
        <v>-401.4551244019313</v>
      </c>
      <c r="E75" s="45">
        <v>-432.22685313606087</v>
      </c>
      <c r="F75" s="44">
        <v>-468.26390325804823</v>
      </c>
      <c r="G75" s="44">
        <v>-283.470138433412</v>
      </c>
      <c r="H75" s="44">
        <v>-327.8666590710061</v>
      </c>
      <c r="I75" s="44">
        <v>-360.88029921753383</v>
      </c>
    </row>
    <row r="76" spans="1:9" ht="14.25">
      <c r="A76" s="43" t="str">
        <f>HLOOKUP(INDICE!$F$2,Nombres!$C$3:$D$636,45,FALSE)</f>
        <v>Provisions or reversal of provisions and other results</v>
      </c>
      <c r="B76" s="44">
        <v>-11.61966295629255</v>
      </c>
      <c r="C76" s="44">
        <v>-51.95755152062854</v>
      </c>
      <c r="D76" s="44">
        <v>14.58948699533783</v>
      </c>
      <c r="E76" s="45">
        <v>15.623145356148187</v>
      </c>
      <c r="F76" s="44">
        <v>1.8499602344583295</v>
      </c>
      <c r="G76" s="44">
        <v>7.143502773664996</v>
      </c>
      <c r="H76" s="44">
        <v>8.836708122794711</v>
      </c>
      <c r="I76" s="44">
        <v>6.6338288490819615</v>
      </c>
    </row>
    <row r="77" spans="1:9" ht="14.25">
      <c r="A77" s="41" t="str">
        <f>HLOOKUP(INDICE!$F$2,Nombres!$C$3:$D$636,46,FALSE)</f>
        <v>Profit/(loss) before tax</v>
      </c>
      <c r="B77" s="41">
        <f>+B74+B75+B76</f>
        <v>501.93458304037125</v>
      </c>
      <c r="C77" s="41">
        <f aca="true" t="shared" si="11" ref="C77:I77">+C74+C75+C76</f>
        <v>386.54964533807953</v>
      </c>
      <c r="D77" s="41">
        <f t="shared" si="11"/>
        <v>844.9924810148981</v>
      </c>
      <c r="E77" s="42">
        <f t="shared" si="11"/>
        <v>798.0844145054938</v>
      </c>
      <c r="F77" s="50">
        <f t="shared" si="11"/>
        <v>697.7861994664846</v>
      </c>
      <c r="G77" s="50">
        <f t="shared" si="11"/>
        <v>929.5441699065685</v>
      </c>
      <c r="H77" s="50">
        <f t="shared" si="11"/>
        <v>933.8746374662843</v>
      </c>
      <c r="I77" s="50">
        <f t="shared" si="11"/>
        <v>967.0041767706625</v>
      </c>
    </row>
    <row r="78" spans="1:9" ht="14.25">
      <c r="A78" s="43" t="str">
        <f>HLOOKUP(INDICE!$F$2,Nombres!$C$3:$D$636,47,FALSE)</f>
        <v>Income tax</v>
      </c>
      <c r="B78" s="44">
        <v>-158.68006329969882</v>
      </c>
      <c r="C78" s="44">
        <v>-76.8614200991059</v>
      </c>
      <c r="D78" s="44">
        <v>-263.8174465805366</v>
      </c>
      <c r="E78" s="45">
        <v>-230.77296395694566</v>
      </c>
      <c r="F78" s="44">
        <v>-193.63823728337357</v>
      </c>
      <c r="G78" s="44">
        <v>-290.8108800169676</v>
      </c>
      <c r="H78" s="44">
        <v>-258.1444699337125</v>
      </c>
      <c r="I78" s="44">
        <v>-217.44818546594638</v>
      </c>
    </row>
    <row r="79" spans="1:9" ht="14.25">
      <c r="A79" s="41" t="str">
        <f>HLOOKUP(INDICE!$F$2,Nombres!$C$3:$D$636,48,FALSE)</f>
        <v>Profit/(loss) for the year</v>
      </c>
      <c r="B79" s="41">
        <f>+B77+B78</f>
        <v>343.25451974067244</v>
      </c>
      <c r="C79" s="41">
        <f aca="true" t="shared" si="12" ref="C79:I79">+C77+C78</f>
        <v>309.68822523897364</v>
      </c>
      <c r="D79" s="41">
        <f t="shared" si="12"/>
        <v>581.1750344343615</v>
      </c>
      <c r="E79" s="42">
        <f t="shared" si="12"/>
        <v>567.3114505485481</v>
      </c>
      <c r="F79" s="50">
        <f t="shared" si="12"/>
        <v>504.1479621831111</v>
      </c>
      <c r="G79" s="50">
        <f t="shared" si="12"/>
        <v>638.7332898896009</v>
      </c>
      <c r="H79" s="50">
        <f t="shared" si="12"/>
        <v>675.7301675325718</v>
      </c>
      <c r="I79" s="50">
        <f t="shared" si="12"/>
        <v>749.5559913047161</v>
      </c>
    </row>
    <row r="80" spans="1:9" ht="14.25">
      <c r="A80" s="43" t="str">
        <f>HLOOKUP(INDICE!$F$2,Nombres!$C$3:$D$636,49,FALSE)</f>
        <v>Non-controlling interests</v>
      </c>
      <c r="B80" s="44">
        <v>-0.06263472714284068</v>
      </c>
      <c r="C80" s="44">
        <v>-0.058811718868383225</v>
      </c>
      <c r="D80" s="44">
        <v>-0.11795225990691946</v>
      </c>
      <c r="E80" s="45">
        <v>-0.10118145004316746</v>
      </c>
      <c r="F80" s="44">
        <v>-0.08692461120367642</v>
      </c>
      <c r="G80" s="44">
        <v>-0.12198984321248862</v>
      </c>
      <c r="H80" s="44">
        <v>-0.12134825841880079</v>
      </c>
      <c r="I80" s="44">
        <v>-0.14073728716503417</v>
      </c>
    </row>
    <row r="81" spans="1:9" ht="14.25">
      <c r="A81" s="47" t="str">
        <f>HLOOKUP(INDICE!$F$2,Nombres!$C$3:$D$636,50,FALSE)</f>
        <v>Net attributable profit</v>
      </c>
      <c r="B81" s="47">
        <f>+B79+B80</f>
        <v>343.1918850135296</v>
      </c>
      <c r="C81" s="47">
        <f aca="true" t="shared" si="13" ref="C81:I81">+C79+C80</f>
        <v>309.6294135201053</v>
      </c>
      <c r="D81" s="47">
        <f t="shared" si="13"/>
        <v>581.0570821744545</v>
      </c>
      <c r="E81" s="47">
        <f t="shared" si="13"/>
        <v>567.2102690985049</v>
      </c>
      <c r="F81" s="51">
        <f t="shared" si="13"/>
        <v>504.0610375719074</v>
      </c>
      <c r="G81" s="51">
        <f t="shared" si="13"/>
        <v>638.6113000463884</v>
      </c>
      <c r="H81" s="51">
        <f t="shared" si="13"/>
        <v>675.608819274153</v>
      </c>
      <c r="I81" s="51">
        <f t="shared" si="13"/>
        <v>749.4152540175511</v>
      </c>
    </row>
    <row r="82" spans="1:9" ht="14.25">
      <c r="A82" s="62"/>
      <c r="B82" s="63">
        <v>0</v>
      </c>
      <c r="C82" s="63">
        <v>0</v>
      </c>
      <c r="D82" s="63">
        <v>0</v>
      </c>
      <c r="E82" s="63">
        <v>0</v>
      </c>
      <c r="F82" s="63">
        <v>0</v>
      </c>
      <c r="G82" s="63">
        <v>0</v>
      </c>
      <c r="H82" s="63">
        <v>0</v>
      </c>
      <c r="I82" s="63">
        <v>0</v>
      </c>
    </row>
    <row r="83" spans="1:9" ht="14.25">
      <c r="A83" s="41"/>
      <c r="B83" s="41"/>
      <c r="C83" s="41"/>
      <c r="D83" s="41"/>
      <c r="E83" s="41"/>
      <c r="F83" s="50"/>
      <c r="G83" s="50"/>
      <c r="H83" s="50"/>
      <c r="I83" s="50"/>
    </row>
    <row r="84" spans="1:9" ht="16.5">
      <c r="A84" s="33" t="str">
        <f>HLOOKUP(INDICE!$F$2,Nombres!$C$3:$D$636,51,FALSE)</f>
        <v>Balance sheets</v>
      </c>
      <c r="B84" s="34"/>
      <c r="C84" s="34"/>
      <c r="D84" s="34"/>
      <c r="E84" s="34"/>
      <c r="F84" s="69"/>
      <c r="G84" s="69"/>
      <c r="H84" s="69"/>
      <c r="I84" s="69"/>
    </row>
    <row r="85" spans="1:9" ht="14.25">
      <c r="A85" s="35" t="str">
        <f>HLOOKUP(INDICE!$F$2,Nombres!$C$3:$D$636,73,FALSE)</f>
        <v>(Constant million euros)    </v>
      </c>
      <c r="B85" s="30"/>
      <c r="C85" s="52"/>
      <c r="D85" s="52"/>
      <c r="E85" s="52"/>
      <c r="F85" s="70"/>
      <c r="G85" s="44"/>
      <c r="H85" s="44"/>
      <c r="I85" s="44"/>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43" t="str">
        <f>HLOOKUP(INDICE!$F$2,Nombres!$C$3:$D$636,52,FALSE)</f>
        <v>Cash, cash balances at central banks and other demand deposits</v>
      </c>
      <c r="B87" s="44">
        <v>6618.485586219069</v>
      </c>
      <c r="C87" s="44">
        <v>7360.719868920467</v>
      </c>
      <c r="D87" s="44">
        <v>9040.47536023493</v>
      </c>
      <c r="E87" s="45">
        <v>9664.779021086531</v>
      </c>
      <c r="F87" s="44">
        <v>11058.417828381906</v>
      </c>
      <c r="G87" s="44">
        <v>13343.139404412821</v>
      </c>
      <c r="H87" s="44">
        <v>14134.16695417944</v>
      </c>
      <c r="I87" s="44">
        <v>12984.86099999</v>
      </c>
    </row>
    <row r="88" spans="1:9" ht="14.25">
      <c r="A88" s="43" t="str">
        <f>HLOOKUP(INDICE!$F$2,Nombres!$C$3:$D$636,53,FALSE)</f>
        <v>Financial assets designated at fair value </v>
      </c>
      <c r="B88" s="58">
        <v>39305.05482866076</v>
      </c>
      <c r="C88" s="58">
        <v>38052.2220629024</v>
      </c>
      <c r="D88" s="58">
        <v>36134.034028939386</v>
      </c>
      <c r="E88" s="65">
        <v>38358.77896561993</v>
      </c>
      <c r="F88" s="44">
        <v>35243.61256731321</v>
      </c>
      <c r="G88" s="44">
        <v>35348.98386546302</v>
      </c>
      <c r="H88" s="44">
        <v>34339.95829191287</v>
      </c>
      <c r="I88" s="44">
        <v>35125.59400001</v>
      </c>
    </row>
    <row r="89" spans="1:9" ht="14.25">
      <c r="A89" s="43" t="str">
        <f>HLOOKUP(INDICE!$F$2,Nombres!$C$3:$D$636,54,FALSE)</f>
        <v>Financial assets at amortized cost</v>
      </c>
      <c r="B89" s="44">
        <v>66550.7856063538</v>
      </c>
      <c r="C89" s="44">
        <v>65493.34000845179</v>
      </c>
      <c r="D89" s="44">
        <v>64302.70389672555</v>
      </c>
      <c r="E89" s="45">
        <v>63106.84006853265</v>
      </c>
      <c r="F89" s="44">
        <v>63242.45445200818</v>
      </c>
      <c r="G89" s="44">
        <v>63008.73890918017</v>
      </c>
      <c r="H89" s="44">
        <v>63808.4169858212</v>
      </c>
      <c r="I89" s="44">
        <v>65311.4730001</v>
      </c>
    </row>
    <row r="90" spans="1:9" ht="14.25">
      <c r="A90" s="43" t="str">
        <f>HLOOKUP(INDICE!$F$2,Nombres!$C$3:$D$636,55,FALSE)</f>
        <v>    of which loans and advances to customers</v>
      </c>
      <c r="B90" s="44">
        <v>57100.86820923026</v>
      </c>
      <c r="C90" s="44">
        <v>55427.82381589315</v>
      </c>
      <c r="D90" s="44">
        <v>54067.700764906214</v>
      </c>
      <c r="E90" s="45">
        <v>52751.02235407816</v>
      </c>
      <c r="F90" s="44">
        <v>53543.41126924079</v>
      </c>
      <c r="G90" s="44">
        <v>53866.421579517315</v>
      </c>
      <c r="H90" s="44">
        <v>54388.63062590154</v>
      </c>
      <c r="I90" s="44">
        <v>55808.89100009</v>
      </c>
    </row>
    <row r="91" spans="1:9" ht="14.25">
      <c r="A91" s="43"/>
      <c r="B91" s="44"/>
      <c r="C91" s="44"/>
      <c r="D91" s="44"/>
      <c r="E91" s="45"/>
      <c r="F91" s="44"/>
      <c r="G91" s="44"/>
      <c r="H91" s="44"/>
      <c r="I91" s="44"/>
    </row>
    <row r="92" spans="1:9" ht="14.25">
      <c r="A92" s="43" t="str">
        <f>HLOOKUP(INDICE!$F$2,Nombres!$C$3:$D$636,56,FALSE)</f>
        <v>Tangible assets</v>
      </c>
      <c r="B92" s="44">
        <v>1807.3508548706234</v>
      </c>
      <c r="C92" s="44">
        <v>1774.2255404253851</v>
      </c>
      <c r="D92" s="44">
        <v>1740.014456253957</v>
      </c>
      <c r="E92" s="45">
        <v>1737.7919574574353</v>
      </c>
      <c r="F92" s="44">
        <v>1708.3680369592462</v>
      </c>
      <c r="G92" s="44">
        <v>1692.4575886838338</v>
      </c>
      <c r="H92" s="44">
        <v>1686.2900585559032</v>
      </c>
      <c r="I92" s="44">
        <v>1731.02100002</v>
      </c>
    </row>
    <row r="93" spans="1:9" ht="14.25">
      <c r="A93" s="43" t="str">
        <f>HLOOKUP(INDICE!$F$2,Nombres!$C$3:$D$636,57,FALSE)</f>
        <v>Other assets</v>
      </c>
      <c r="B93" s="58">
        <f>+B94-B92-B89-B88-B87</f>
        <v>3584.3325475321453</v>
      </c>
      <c r="C93" s="58">
        <f aca="true" t="shared" si="15" ref="C93:I93">+C94-C92-C89-C88-C87</f>
        <v>3556.090025750971</v>
      </c>
      <c r="D93" s="58">
        <f t="shared" si="15"/>
        <v>3536.80324479501</v>
      </c>
      <c r="E93" s="65">
        <f t="shared" si="15"/>
        <v>3427.895079707818</v>
      </c>
      <c r="F93" s="44">
        <f t="shared" si="15"/>
        <v>3485.533042903822</v>
      </c>
      <c r="G93" s="44">
        <f t="shared" si="15"/>
        <v>3257.3534256505845</v>
      </c>
      <c r="H93" s="44">
        <f t="shared" si="15"/>
        <v>2940.4598606881045</v>
      </c>
      <c r="I93" s="44">
        <f t="shared" si="15"/>
        <v>2952.794587909986</v>
      </c>
    </row>
    <row r="94" spans="1:9" ht="14.25">
      <c r="A94" s="47" t="str">
        <f>HLOOKUP(INDICE!$F$2,Nombres!$C$3:$D$636,58,FALSE)</f>
        <v>Total assets / Liabilities and equity</v>
      </c>
      <c r="B94" s="47">
        <v>117866.00942363641</v>
      </c>
      <c r="C94" s="47">
        <v>116236.59750645101</v>
      </c>
      <c r="D94" s="47">
        <v>114754.03098694883</v>
      </c>
      <c r="E94" s="47">
        <v>116296.08509240436</v>
      </c>
      <c r="F94" s="51">
        <v>114738.38592756637</v>
      </c>
      <c r="G94" s="51">
        <v>116650.67319339042</v>
      </c>
      <c r="H94" s="51">
        <v>116909.29215115751</v>
      </c>
      <c r="I94" s="51">
        <v>118105.74358802999</v>
      </c>
    </row>
    <row r="95" spans="1:9" ht="14.25">
      <c r="A95" s="43" t="str">
        <f>HLOOKUP(INDICE!$F$2,Nombres!$C$3:$D$636,59,FALSE)</f>
        <v>Financial liabilities held for trading and designated at fair value through profit or loss</v>
      </c>
      <c r="B95" s="58">
        <v>28952.64510071226</v>
      </c>
      <c r="C95" s="58">
        <v>27460.888914221192</v>
      </c>
      <c r="D95" s="58">
        <v>24406.0680455201</v>
      </c>
      <c r="E95" s="65">
        <v>25109.63391848902</v>
      </c>
      <c r="F95" s="44">
        <v>21966.53369549223</v>
      </c>
      <c r="G95" s="44">
        <v>22808.223002066017</v>
      </c>
      <c r="H95" s="44">
        <v>21782.80660037621</v>
      </c>
      <c r="I95" s="44">
        <v>19843.148</v>
      </c>
    </row>
    <row r="96" spans="1:9" ht="14.25">
      <c r="A96" s="43" t="str">
        <f>HLOOKUP(INDICE!$F$2,Nombres!$C$3:$D$636,60,FALSE)</f>
        <v>Deposits from central banks and credit institutions</v>
      </c>
      <c r="B96" s="58">
        <v>3698.3464135257527</v>
      </c>
      <c r="C96" s="58">
        <v>3471.103822556855</v>
      </c>
      <c r="D96" s="58">
        <v>3917.9990466346944</v>
      </c>
      <c r="E96" s="65">
        <v>5406.978575454612</v>
      </c>
      <c r="F96" s="44">
        <v>5220.28686639519</v>
      </c>
      <c r="G96" s="44">
        <v>5449.299159628636</v>
      </c>
      <c r="H96" s="44">
        <v>5651.884947878267</v>
      </c>
      <c r="I96" s="44">
        <v>3267.822</v>
      </c>
    </row>
    <row r="97" spans="1:9" ht="14.25">
      <c r="A97" s="43" t="str">
        <f>HLOOKUP(INDICE!$F$2,Nombres!$C$3:$D$636,61,FALSE)</f>
        <v>Deposits from customers</v>
      </c>
      <c r="B97" s="58">
        <v>55504.08819077112</v>
      </c>
      <c r="C97" s="58">
        <v>56502.81179962186</v>
      </c>
      <c r="D97" s="58">
        <v>57440.6385317454</v>
      </c>
      <c r="E97" s="65">
        <v>57022.992093320936</v>
      </c>
      <c r="F97" s="44">
        <v>59059.23189350607</v>
      </c>
      <c r="G97" s="44">
        <v>59830.69174889273</v>
      </c>
      <c r="H97" s="44">
        <v>59955.358321349726</v>
      </c>
      <c r="I97" s="44">
        <v>64003.28299998001</v>
      </c>
    </row>
    <row r="98" spans="1:9" ht="14.25">
      <c r="A98" s="43" t="str">
        <f>HLOOKUP(INDICE!$F$2,Nombres!$C$3:$D$636,62,FALSE)</f>
        <v>Debt certificates</v>
      </c>
      <c r="B98" s="44">
        <v>9907.485024305512</v>
      </c>
      <c r="C98" s="44">
        <v>8821.571724681758</v>
      </c>
      <c r="D98" s="44">
        <v>8917.70526466221</v>
      </c>
      <c r="E98" s="45">
        <v>8059.970433740287</v>
      </c>
      <c r="F98" s="44">
        <v>7872.037175291923</v>
      </c>
      <c r="G98" s="44">
        <v>8045.245966297019</v>
      </c>
      <c r="H98" s="44">
        <v>8013.027441410999</v>
      </c>
      <c r="I98" s="44">
        <v>7983.72892324</v>
      </c>
    </row>
    <row r="99" spans="1:9" ht="14.25">
      <c r="A99" s="43"/>
      <c r="B99" s="44"/>
      <c r="C99" s="44"/>
      <c r="D99" s="44"/>
      <c r="E99" s="45"/>
      <c r="F99" s="44"/>
      <c r="G99" s="44"/>
      <c r="H99" s="44"/>
      <c r="I99" s="44"/>
    </row>
    <row r="100" spans="1:9" ht="14.25">
      <c r="A100" s="43" t="str">
        <f>HLOOKUP(INDICE!$F$2,Nombres!$C$3:$D$636,63,FALSE)</f>
        <v>Other liabilities</v>
      </c>
      <c r="B100" s="58">
        <f>+B94-B95-B96-B97-B98-B101</f>
        <v>12508.591686665128</v>
      </c>
      <c r="C100" s="58">
        <f aca="true" t="shared" si="16" ref="C100:I100">+C94-C95-C96-C97-C98-C101</f>
        <v>12578.746678513726</v>
      </c>
      <c r="D100" s="58">
        <f t="shared" si="16"/>
        <v>12812.398086651334</v>
      </c>
      <c r="E100" s="65">
        <f t="shared" si="16"/>
        <v>13620.499999358368</v>
      </c>
      <c r="F100" s="44">
        <f t="shared" si="16"/>
        <v>13241.973732548828</v>
      </c>
      <c r="G100" s="44">
        <f t="shared" si="16"/>
        <v>13166.32068540055</v>
      </c>
      <c r="H100" s="44">
        <f t="shared" si="16"/>
        <v>13976.91613070119</v>
      </c>
      <c r="I100" s="44">
        <f t="shared" si="16"/>
        <v>15779.16469066998</v>
      </c>
    </row>
    <row r="101" spans="1:9" ht="14.25">
      <c r="A101" s="43" t="str">
        <f>HLOOKUP(INDICE!$F$2,Nombres!$C$3:$D$636,282,FALSE)</f>
        <v>Regulatory capital allocated</v>
      </c>
      <c r="B101" s="44">
        <v>7294.853007656627</v>
      </c>
      <c r="C101" s="44">
        <v>7401.474566855623</v>
      </c>
      <c r="D101" s="44">
        <v>7259.2220117351</v>
      </c>
      <c r="E101" s="44">
        <v>7076.01007204113</v>
      </c>
      <c r="F101" s="44">
        <v>7378.3225643321175</v>
      </c>
      <c r="G101" s="44">
        <v>7350.8926311054765</v>
      </c>
      <c r="H101" s="44">
        <v>7529.2987094411255</v>
      </c>
      <c r="I101" s="44">
        <v>7228.596974139999</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66" t="str">
        <f>HLOOKUP(INDICE!$F$2,Nombres!$C$3:$D$636,65,FALSE)</f>
        <v>Relevant business indicators</v>
      </c>
      <c r="B104" s="67"/>
      <c r="C104" s="67"/>
      <c r="D104" s="67"/>
      <c r="E104" s="67"/>
      <c r="F104" s="72"/>
      <c r="G104" s="72"/>
      <c r="H104" s="72"/>
      <c r="I104" s="72"/>
    </row>
    <row r="105" spans="1:9" ht="14.25">
      <c r="A105" s="35" t="str">
        <f>HLOOKUP(INDICE!$F$2,Nombres!$C$3:$D$636,73,FALSE)</f>
        <v>(Constant million euros)    </v>
      </c>
      <c r="B105" s="30"/>
      <c r="C105" s="30"/>
      <c r="D105" s="30"/>
      <c r="E105" s="30"/>
      <c r="F105" s="70"/>
      <c r="G105" s="70"/>
      <c r="H105" s="70"/>
      <c r="I105" s="70"/>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43" t="str">
        <f>HLOOKUP(INDICE!$F$2,Nombres!$C$3:$D$636,66,FALSE)</f>
        <v>Loans and advances to customers (gross) (*)</v>
      </c>
      <c r="B107" s="44">
        <v>59293.16352548237</v>
      </c>
      <c r="C107" s="44">
        <v>57638.50611412077</v>
      </c>
      <c r="D107" s="44">
        <v>56347.19984923066</v>
      </c>
      <c r="E107" s="45">
        <v>55083.32697416135</v>
      </c>
      <c r="F107" s="44">
        <v>55763.23997755058</v>
      </c>
      <c r="G107" s="44">
        <v>55962.379222406475</v>
      </c>
      <c r="H107" s="44">
        <v>56346.80269707019</v>
      </c>
      <c r="I107" s="44">
        <v>57846.47314939</v>
      </c>
    </row>
    <row r="108" spans="1:9" ht="14.25">
      <c r="A108" s="43" t="str">
        <f>HLOOKUP(INDICE!$F$2,Nombres!$C$3:$D$636,67,FALSE)</f>
        <v>Customer deposits under management (*)</v>
      </c>
      <c r="B108" s="44">
        <v>55350.74189446199</v>
      </c>
      <c r="C108" s="44">
        <v>56203.25353452256</v>
      </c>
      <c r="D108" s="44">
        <v>57058.597311711565</v>
      </c>
      <c r="E108" s="45">
        <v>56730.61355084875</v>
      </c>
      <c r="F108" s="44">
        <v>58702.29675635974</v>
      </c>
      <c r="G108" s="44">
        <v>58488.69293268488</v>
      </c>
      <c r="H108" s="44">
        <v>59394.20105047187</v>
      </c>
      <c r="I108" s="44">
        <v>63348.80836991</v>
      </c>
    </row>
    <row r="109" spans="1:9" ht="14.25">
      <c r="A109" s="43" t="str">
        <f>HLOOKUP(INDICE!$F$2,Nombres!$C$3:$D$636,68,FALSE)</f>
        <v>Mutual funds</v>
      </c>
      <c r="B109" s="44">
        <v>20969.25529324028</v>
      </c>
      <c r="C109" s="44">
        <v>21704.161547845364</v>
      </c>
      <c r="D109" s="44">
        <v>22166.79446642723</v>
      </c>
      <c r="E109" s="45">
        <v>21795.84409904847</v>
      </c>
      <c r="F109" s="44">
        <v>22795.191759818055</v>
      </c>
      <c r="G109" s="44">
        <v>23103.112077935297</v>
      </c>
      <c r="H109" s="44">
        <v>23504.082405639907</v>
      </c>
      <c r="I109" s="44">
        <v>24250.322624270004</v>
      </c>
    </row>
    <row r="110" spans="1:9" ht="14.25">
      <c r="A110" s="43" t="str">
        <f>HLOOKUP(INDICE!$F$2,Nombres!$C$3:$D$636,69,FALSE)</f>
        <v>Pension funds</v>
      </c>
      <c r="B110" s="44">
        <v>0</v>
      </c>
      <c r="C110" s="44">
        <v>0</v>
      </c>
      <c r="D110" s="44">
        <v>0</v>
      </c>
      <c r="E110" s="45">
        <v>0</v>
      </c>
      <c r="F110" s="44">
        <v>0</v>
      </c>
      <c r="G110" s="44">
        <v>0</v>
      </c>
      <c r="H110" s="44">
        <v>0</v>
      </c>
      <c r="I110" s="44">
        <v>0</v>
      </c>
    </row>
    <row r="111" spans="1:9" ht="14.25">
      <c r="A111" s="43" t="str">
        <f>HLOOKUP(INDICE!$F$2,Nombres!$C$3:$D$636,70,FALSE)</f>
        <v>Other off balance-sheet funds</v>
      </c>
      <c r="B111" s="44">
        <v>2350.4516044506913</v>
      </c>
      <c r="C111" s="44">
        <v>2143.6043069174593</v>
      </c>
      <c r="D111" s="44">
        <v>1963.1548968624704</v>
      </c>
      <c r="E111" s="45">
        <v>1965.8682666566006</v>
      </c>
      <c r="F111" s="44">
        <v>1972.8952586467099</v>
      </c>
      <c r="G111" s="44">
        <v>2113.2639757378674</v>
      </c>
      <c r="H111" s="44">
        <v>2089.688521169228</v>
      </c>
      <c r="I111" s="44">
        <v>2194.56725774</v>
      </c>
    </row>
    <row r="112" spans="1:9" ht="14.25">
      <c r="A112" s="62" t="str">
        <f>HLOOKUP(INDICE!$F$2,Nombres!$C$3:$D$636,71,FALSE)</f>
        <v>(*) Excluding repos. </v>
      </c>
      <c r="B112" s="58"/>
      <c r="C112" s="58"/>
      <c r="D112" s="58"/>
      <c r="E112" s="58"/>
      <c r="F112" s="58"/>
      <c r="G112" s="58"/>
      <c r="H112" s="58"/>
      <c r="I112" s="58"/>
    </row>
    <row r="113" spans="1:9" ht="14.25">
      <c r="A113" s="62">
        <f>HLOOKUP(INDICE!$F$2,Nombres!$C$3:$D$636,72,FALSE)</f>
        <v>0</v>
      </c>
      <c r="B113" s="30"/>
      <c r="C113" s="30"/>
      <c r="D113" s="30"/>
      <c r="E113" s="30"/>
      <c r="F113" s="30"/>
      <c r="G113" s="30"/>
      <c r="H113" s="30"/>
      <c r="I113" s="30"/>
    </row>
    <row r="114" spans="1:9" ht="14.25">
      <c r="A114" s="62"/>
      <c r="B114" s="58"/>
      <c r="C114" s="44"/>
      <c r="D114" s="44"/>
      <c r="E114" s="44"/>
      <c r="F114" s="44"/>
      <c r="G114" s="30"/>
      <c r="H114" s="30"/>
      <c r="I114" s="30"/>
    </row>
    <row r="115" spans="1:9" ht="16.5">
      <c r="A115" s="33" t="str">
        <f>HLOOKUP(INDICE!$F$2,Nombres!$C$3:$D$636,31,FALSE)</f>
        <v>Income statement  </v>
      </c>
      <c r="B115" s="34"/>
      <c r="C115" s="34"/>
      <c r="D115" s="34"/>
      <c r="E115" s="34"/>
      <c r="F115" s="34"/>
      <c r="G115" s="34"/>
      <c r="H115" s="34"/>
      <c r="I115" s="34"/>
    </row>
    <row r="116" spans="1:9" ht="14.25">
      <c r="A116" s="35" t="str">
        <f>HLOOKUP(INDICE!$F$2,Nombres!$C$3:$D$636,74,FALSE)</f>
        <v>(Million Mexican pesos)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6">
        <f>+B$6</f>
        <v>2020</v>
      </c>
      <c r="C118" s="306"/>
      <c r="D118" s="306"/>
      <c r="E118" s="307"/>
      <c r="F118" s="306">
        <f>+F$6</f>
        <v>2021</v>
      </c>
      <c r="G118" s="306"/>
      <c r="H118" s="306"/>
      <c r="I118" s="306"/>
    </row>
    <row r="119" spans="1:9" ht="14.25">
      <c r="A119" s="38"/>
      <c r="B119" s="39" t="str">
        <f>+B$7</f>
        <v>1Q</v>
      </c>
      <c r="C119" s="39" t="str">
        <f aca="true" t="shared" si="18" ref="C119:I119">+C$7</f>
        <v>2Q</v>
      </c>
      <c r="D119" s="39" t="str">
        <f t="shared" si="18"/>
        <v>3Q</v>
      </c>
      <c r="E119" s="40" t="str">
        <f t="shared" si="18"/>
        <v>4Q</v>
      </c>
      <c r="F119" s="39" t="str">
        <f t="shared" si="18"/>
        <v>1Q</v>
      </c>
      <c r="G119" s="39" t="str">
        <f t="shared" si="18"/>
        <v>2Q</v>
      </c>
      <c r="H119" s="39" t="str">
        <f t="shared" si="18"/>
        <v>3Q</v>
      </c>
      <c r="I119" s="39" t="str">
        <f t="shared" si="18"/>
        <v>4Q</v>
      </c>
    </row>
    <row r="120" spans="1:9" ht="14.25">
      <c r="A120" s="41" t="str">
        <f>HLOOKUP(INDICE!$F$2,Nombres!$C$3:$D$636,33,FALSE)</f>
        <v>Net interest income</v>
      </c>
      <c r="B120" s="41">
        <v>34138.19111623784</v>
      </c>
      <c r="C120" s="41">
        <v>30736.277456811848</v>
      </c>
      <c r="D120" s="41">
        <v>34158.92017100016</v>
      </c>
      <c r="E120" s="42">
        <v>33787.93162903715</v>
      </c>
      <c r="F120" s="50">
        <v>33509.60308059932</v>
      </c>
      <c r="G120" s="50">
        <v>33892.87224402525</v>
      </c>
      <c r="H120" s="50">
        <v>35645.23363799661</v>
      </c>
      <c r="I120" s="50">
        <v>36929.984898942355</v>
      </c>
    </row>
    <row r="121" spans="1:9" ht="14.25">
      <c r="A121" s="43" t="str">
        <f>HLOOKUP(INDICE!$F$2,Nombres!$C$3:$D$636,34,FALSE)</f>
        <v>Net fees and commissions</v>
      </c>
      <c r="B121" s="44">
        <v>6530.433106251778</v>
      </c>
      <c r="C121" s="44">
        <v>5678.102997384022</v>
      </c>
      <c r="D121" s="44">
        <v>6515.264667350748</v>
      </c>
      <c r="E121" s="45">
        <v>7300.64268294067</v>
      </c>
      <c r="F121" s="44">
        <v>6906.020329253886</v>
      </c>
      <c r="G121" s="44">
        <v>7221.565916532223</v>
      </c>
      <c r="H121" s="44">
        <v>7489.736796474619</v>
      </c>
      <c r="I121" s="44">
        <v>7426.135350390556</v>
      </c>
    </row>
    <row r="122" spans="1:9" ht="14.25">
      <c r="A122" s="43" t="str">
        <f>HLOOKUP(INDICE!$F$2,Nombres!$C$3:$D$636,35,FALSE)</f>
        <v>Net trading income</v>
      </c>
      <c r="B122" s="44">
        <v>1728.9227129235874</v>
      </c>
      <c r="C122" s="44">
        <v>3799.5759093936626</v>
      </c>
      <c r="D122" s="44">
        <v>2572.8485934907894</v>
      </c>
      <c r="E122" s="45">
        <v>2270.1171562147865</v>
      </c>
      <c r="F122" s="44">
        <v>1695.8157988297858</v>
      </c>
      <c r="G122" s="44">
        <v>2315.558869067377</v>
      </c>
      <c r="H122" s="44">
        <v>2077.868938042165</v>
      </c>
      <c r="I122" s="44">
        <v>2698.547064262767</v>
      </c>
    </row>
    <row r="123" spans="1:9" ht="14.25">
      <c r="A123" s="43" t="str">
        <f>HLOOKUP(INDICE!$F$2,Nombres!$C$3:$D$636,36,FALSE)</f>
        <v>Other operating income and expenses</v>
      </c>
      <c r="B123" s="44">
        <v>1633.6654087374682</v>
      </c>
      <c r="C123" s="44">
        <v>585.2129102386382</v>
      </c>
      <c r="D123" s="44">
        <v>418.21684801119716</v>
      </c>
      <c r="E123" s="45">
        <v>459.8567603967312</v>
      </c>
      <c r="F123" s="44">
        <v>1074.4640134098381</v>
      </c>
      <c r="G123" s="44">
        <v>1051.0923700310423</v>
      </c>
      <c r="H123" s="44">
        <v>923.9608318251146</v>
      </c>
      <c r="I123" s="44">
        <v>1500.7578104006589</v>
      </c>
    </row>
    <row r="124" spans="1:9" ht="14.25">
      <c r="A124" s="41" t="str">
        <f>HLOOKUP(INDICE!$F$2,Nombres!$C$3:$D$636,37,FALSE)</f>
        <v>Gross income</v>
      </c>
      <c r="B124" s="41">
        <f>+SUM(B120:B123)</f>
        <v>44031.21234415067</v>
      </c>
      <c r="C124" s="41">
        <f aca="true" t="shared" si="19" ref="C124:I124">+SUM(C120:C123)</f>
        <v>40799.16927382817</v>
      </c>
      <c r="D124" s="41">
        <f t="shared" si="19"/>
        <v>43665.25027985289</v>
      </c>
      <c r="E124" s="42">
        <f t="shared" si="19"/>
        <v>43818.54822858934</v>
      </c>
      <c r="F124" s="50">
        <f t="shared" si="19"/>
        <v>43185.90322209283</v>
      </c>
      <c r="G124" s="50">
        <f t="shared" si="19"/>
        <v>44481.089399655895</v>
      </c>
      <c r="H124" s="50">
        <f t="shared" si="19"/>
        <v>46136.8002043385</v>
      </c>
      <c r="I124" s="50">
        <f t="shared" si="19"/>
        <v>48555.42512399634</v>
      </c>
    </row>
    <row r="125" spans="1:9" ht="14.25">
      <c r="A125" s="43" t="str">
        <f>HLOOKUP(INDICE!$F$2,Nombres!$C$3:$D$636,38,FALSE)</f>
        <v>Operating expenses</v>
      </c>
      <c r="B125" s="44">
        <v>-14634.841459521544</v>
      </c>
      <c r="C125" s="44">
        <v>-14068.109925716613</v>
      </c>
      <c r="D125" s="44">
        <v>-14120.166838298606</v>
      </c>
      <c r="E125" s="45">
        <v>-14685.272738734762</v>
      </c>
      <c r="F125" s="44">
        <v>-15263.53956822146</v>
      </c>
      <c r="G125" s="44">
        <v>-15559.289853581246</v>
      </c>
      <c r="H125" s="44">
        <v>-16086.934837987328</v>
      </c>
      <c r="I125" s="44">
        <v>-16866.336881468702</v>
      </c>
    </row>
    <row r="126" spans="1:9" ht="14.25">
      <c r="A126" s="43" t="str">
        <f>HLOOKUP(INDICE!$F$2,Nombres!$C$3:$D$636,39,FALSE)</f>
        <v>  Administration expenses</v>
      </c>
      <c r="B126" s="44">
        <v>-12744.843743039342</v>
      </c>
      <c r="C126" s="44">
        <v>-12169.753724311942</v>
      </c>
      <c r="D126" s="44">
        <v>-12190.336637620892</v>
      </c>
      <c r="E126" s="45">
        <v>-12760.920751751784</v>
      </c>
      <c r="F126" s="44">
        <v>-13340.683727420137</v>
      </c>
      <c r="G126" s="44">
        <v>-13646.395837189679</v>
      </c>
      <c r="H126" s="44">
        <v>-14101.404126226214</v>
      </c>
      <c r="I126" s="44">
        <v>-14872.253273203612</v>
      </c>
    </row>
    <row r="127" spans="1:9" ht="14.25">
      <c r="A127" s="46" t="str">
        <f>HLOOKUP(INDICE!$F$2,Nombres!$C$3:$D$636,40,FALSE)</f>
        <v>  Personnel expenses</v>
      </c>
      <c r="B127" s="44">
        <v>-6362.594523771981</v>
      </c>
      <c r="C127" s="44">
        <v>-5442.810605176379</v>
      </c>
      <c r="D127" s="44">
        <v>-5919.059742137179</v>
      </c>
      <c r="E127" s="45">
        <v>-6206.888693523581</v>
      </c>
      <c r="F127" s="44">
        <v>-6258.97552850142</v>
      </c>
      <c r="G127" s="44">
        <v>-6497.828602170945</v>
      </c>
      <c r="H127" s="44">
        <v>-7785.932304625694</v>
      </c>
      <c r="I127" s="44">
        <v>-8218.39068791475</v>
      </c>
    </row>
    <row r="128" spans="1:9" ht="14.25">
      <c r="A128" s="46" t="str">
        <f>HLOOKUP(INDICE!$F$2,Nombres!$C$3:$D$636,41,FALSE)</f>
        <v>  General and administrative expenses</v>
      </c>
      <c r="B128" s="44">
        <v>-6382.24921926736</v>
      </c>
      <c r="C128" s="44">
        <v>-6726.943119135563</v>
      </c>
      <c r="D128" s="44">
        <v>-6271.276895483714</v>
      </c>
      <c r="E128" s="45">
        <v>-6554.032058228204</v>
      </c>
      <c r="F128" s="44">
        <v>-7081.708198918718</v>
      </c>
      <c r="G128" s="44">
        <v>-7148.567235018734</v>
      </c>
      <c r="H128" s="44">
        <v>-6315.471821600522</v>
      </c>
      <c r="I128" s="44">
        <v>-6653.862585288862</v>
      </c>
    </row>
    <row r="129" spans="1:9" ht="14.25">
      <c r="A129" s="43" t="str">
        <f>HLOOKUP(INDICE!$F$2,Nombres!$C$3:$D$636,42,FALSE)</f>
        <v>  Depreciation</v>
      </c>
      <c r="B129" s="44">
        <v>-1889.9977164822017</v>
      </c>
      <c r="C129" s="44">
        <v>-1898.3562014046718</v>
      </c>
      <c r="D129" s="44">
        <v>-1929.8302006777142</v>
      </c>
      <c r="E129" s="45">
        <v>-1924.351986982978</v>
      </c>
      <c r="F129" s="44">
        <v>-1922.8558408013214</v>
      </c>
      <c r="G129" s="44">
        <v>-1912.894016391569</v>
      </c>
      <c r="H129" s="44">
        <v>-1985.5307117611126</v>
      </c>
      <c r="I129" s="44">
        <v>-1994.0836082650867</v>
      </c>
    </row>
    <row r="130" spans="1:9" ht="14.25">
      <c r="A130" s="41" t="str">
        <f>HLOOKUP(INDICE!$F$2,Nombres!$C$3:$D$636,43,FALSE)</f>
        <v>Operating income</v>
      </c>
      <c r="B130" s="41">
        <f>+B124+B125</f>
        <v>29396.370884629127</v>
      </c>
      <c r="C130" s="41">
        <f aca="true" t="shared" si="20" ref="C130:I130">+C124+C125</f>
        <v>26731.059348111557</v>
      </c>
      <c r="D130" s="41">
        <f t="shared" si="20"/>
        <v>29545.08344155428</v>
      </c>
      <c r="E130" s="42">
        <f t="shared" si="20"/>
        <v>29133.275489854575</v>
      </c>
      <c r="F130" s="50">
        <f t="shared" si="20"/>
        <v>27922.36365387137</v>
      </c>
      <c r="G130" s="50">
        <f t="shared" si="20"/>
        <v>28921.79954607465</v>
      </c>
      <c r="H130" s="50">
        <f t="shared" si="20"/>
        <v>30049.865366351172</v>
      </c>
      <c r="I130" s="50">
        <f t="shared" si="20"/>
        <v>31689.08824252764</v>
      </c>
    </row>
    <row r="131" spans="1:9" ht="14.25">
      <c r="A131" s="43" t="str">
        <f>HLOOKUP(INDICE!$F$2,Nombres!$C$3:$D$636,44,FALSE)</f>
        <v>Impaiment on financial assets not measured at fair value through profit or loss</v>
      </c>
      <c r="B131" s="44">
        <v>-17079.2031663381</v>
      </c>
      <c r="C131" s="44">
        <v>-16213.832138930902</v>
      </c>
      <c r="D131" s="44">
        <v>-9628.564337988364</v>
      </c>
      <c r="E131" s="45">
        <v>-10366.598434200449</v>
      </c>
      <c r="F131" s="44">
        <v>-11230.916846296415</v>
      </c>
      <c r="G131" s="44">
        <v>-6798.793438919782</v>
      </c>
      <c r="H131" s="44">
        <v>-7863.606737738004</v>
      </c>
      <c r="I131" s="44">
        <v>-8655.411198213116</v>
      </c>
    </row>
    <row r="132" spans="1:9" ht="14.25">
      <c r="A132" s="43" t="str">
        <f>HLOOKUP(INDICE!$F$2,Nombres!$C$3:$D$636,45,FALSE)</f>
        <v>Provisions or reversal of provisions and other results</v>
      </c>
      <c r="B132" s="44">
        <v>-278.6878671111182</v>
      </c>
      <c r="C132" s="44">
        <v>-1246.1582808439798</v>
      </c>
      <c r="D132" s="44">
        <v>349.9166050056751</v>
      </c>
      <c r="E132" s="45">
        <v>374.70803355049446</v>
      </c>
      <c r="F132" s="44">
        <v>44.36974410711076</v>
      </c>
      <c r="G132" s="44">
        <v>171.33092062854925</v>
      </c>
      <c r="H132" s="44">
        <v>211.9410303283798</v>
      </c>
      <c r="I132" s="44">
        <v>159.10681916377524</v>
      </c>
    </row>
    <row r="133" spans="1:9" ht="14.25">
      <c r="A133" s="41" t="str">
        <f>HLOOKUP(INDICE!$F$2,Nombres!$C$3:$D$636,46,FALSE)</f>
        <v>Profit/(loss) before tax</v>
      </c>
      <c r="B133" s="41">
        <f>+B130+B131+B132</f>
        <v>12038.479851179909</v>
      </c>
      <c r="C133" s="41">
        <f aca="true" t="shared" si="21" ref="C133:I133">+C130+C131+C132</f>
        <v>9271.068928336676</v>
      </c>
      <c r="D133" s="41">
        <f t="shared" si="21"/>
        <v>20266.43570857159</v>
      </c>
      <c r="E133" s="42">
        <f t="shared" si="21"/>
        <v>19141.38508920462</v>
      </c>
      <c r="F133" s="50">
        <f t="shared" si="21"/>
        <v>16735.816551682063</v>
      </c>
      <c r="G133" s="50">
        <f t="shared" si="21"/>
        <v>22294.33702778342</v>
      </c>
      <c r="H133" s="50">
        <f t="shared" si="21"/>
        <v>22398.19965894155</v>
      </c>
      <c r="I133" s="50">
        <f t="shared" si="21"/>
        <v>23192.783863478297</v>
      </c>
    </row>
    <row r="134" spans="1:9" ht="14.25">
      <c r="A134" s="43" t="str">
        <f>HLOOKUP(INDICE!$F$2,Nombres!$C$3:$D$636,47,FALSE)</f>
        <v>Income tax</v>
      </c>
      <c r="B134" s="44">
        <v>-3805.8081856928584</v>
      </c>
      <c r="C134" s="44">
        <v>-1843.4566743565824</v>
      </c>
      <c r="D134" s="44">
        <v>-6327.440113434218</v>
      </c>
      <c r="E134" s="45">
        <v>-5534.895922023584</v>
      </c>
      <c r="F134" s="44">
        <v>-4644.250658788325</v>
      </c>
      <c r="G134" s="44">
        <v>-6974.854966920218</v>
      </c>
      <c r="H134" s="44">
        <v>-6191.378528186737</v>
      </c>
      <c r="I134" s="44">
        <v>-5215.312289404214</v>
      </c>
    </row>
    <row r="135" spans="1:9" ht="14.25">
      <c r="A135" s="41" t="str">
        <f>HLOOKUP(INDICE!$F$2,Nombres!$C$3:$D$636,48,FALSE)</f>
        <v>Profit/(loss) for the year</v>
      </c>
      <c r="B135" s="41">
        <f>+B133+B134</f>
        <v>8232.67166548705</v>
      </c>
      <c r="C135" s="41">
        <f aca="true" t="shared" si="22" ref="C135:I135">+C133+C134</f>
        <v>7427.612253980093</v>
      </c>
      <c r="D135" s="41">
        <f t="shared" si="22"/>
        <v>13938.99559513737</v>
      </c>
      <c r="E135" s="42">
        <f t="shared" si="22"/>
        <v>13606.489167181036</v>
      </c>
      <c r="F135" s="50">
        <f t="shared" si="22"/>
        <v>12091.565892893737</v>
      </c>
      <c r="G135" s="50">
        <f t="shared" si="22"/>
        <v>15319.4820608632</v>
      </c>
      <c r="H135" s="50">
        <f t="shared" si="22"/>
        <v>16206.821130754814</v>
      </c>
      <c r="I135" s="50">
        <f t="shared" si="22"/>
        <v>17977.471574074083</v>
      </c>
    </row>
    <row r="136" spans="1:9" ht="14.25">
      <c r="A136" s="43" t="str">
        <f>HLOOKUP(INDICE!$F$2,Nombres!$C$3:$D$636,49,FALSE)</f>
        <v>Non-controlling interests</v>
      </c>
      <c r="B136" s="44">
        <v>-1.502241379993918</v>
      </c>
      <c r="C136" s="44">
        <v>-1.4105497340344517</v>
      </c>
      <c r="D136" s="44">
        <v>-2.8289859919382696</v>
      </c>
      <c r="E136" s="45">
        <v>-2.4267521880632548</v>
      </c>
      <c r="F136" s="44">
        <v>-2.084813869983809</v>
      </c>
      <c r="G136" s="44">
        <v>-2.9258240399905304</v>
      </c>
      <c r="H136" s="44">
        <v>-2.9104361670034775</v>
      </c>
      <c r="I136" s="44">
        <v>-3.3754657540895385</v>
      </c>
    </row>
    <row r="137" spans="1:9" ht="14.25">
      <c r="A137" s="47" t="str">
        <f>HLOOKUP(INDICE!$F$2,Nombres!$C$3:$D$636,50,FALSE)</f>
        <v>Net attributable profit</v>
      </c>
      <c r="B137" s="47">
        <f>+B135+B136</f>
        <v>8231.169424107056</v>
      </c>
      <c r="C137" s="47">
        <f aca="true" t="shared" si="23" ref="C137:I137">+C135+C136</f>
        <v>7426.201704246058</v>
      </c>
      <c r="D137" s="47">
        <f t="shared" si="23"/>
        <v>13936.166609145432</v>
      </c>
      <c r="E137" s="47">
        <f t="shared" si="23"/>
        <v>13604.062414992974</v>
      </c>
      <c r="F137" s="51">
        <f t="shared" si="23"/>
        <v>12089.481079023753</v>
      </c>
      <c r="G137" s="51">
        <f t="shared" si="23"/>
        <v>15316.55623682321</v>
      </c>
      <c r="H137" s="51">
        <f t="shared" si="23"/>
        <v>16203.91069458781</v>
      </c>
      <c r="I137" s="51">
        <f t="shared" si="23"/>
        <v>17974.096108319995</v>
      </c>
    </row>
    <row r="138" spans="1:9" ht="14.25">
      <c r="A138" s="62"/>
      <c r="B138" s="63">
        <v>0</v>
      </c>
      <c r="C138" s="63">
        <v>0</v>
      </c>
      <c r="D138" s="63">
        <v>0</v>
      </c>
      <c r="E138" s="63">
        <v>0</v>
      </c>
      <c r="F138" s="63">
        <v>0</v>
      </c>
      <c r="G138" s="63">
        <v>0</v>
      </c>
      <c r="H138" s="63">
        <v>0</v>
      </c>
      <c r="I138" s="63">
        <v>0</v>
      </c>
    </row>
    <row r="139" spans="1:9" ht="14.25">
      <c r="A139" s="41"/>
      <c r="B139" s="41"/>
      <c r="C139" s="41"/>
      <c r="D139" s="41"/>
      <c r="E139" s="41"/>
      <c r="F139" s="50"/>
      <c r="G139" s="50"/>
      <c r="H139" s="50"/>
      <c r="I139" s="50"/>
    </row>
    <row r="140" spans="1:9" ht="16.5">
      <c r="A140" s="33" t="str">
        <f>HLOOKUP(INDICE!$F$2,Nombres!$C$3:$D$636,51,FALSE)</f>
        <v>Balance sheets</v>
      </c>
      <c r="B140" s="34"/>
      <c r="C140" s="34"/>
      <c r="D140" s="34"/>
      <c r="E140" s="34"/>
      <c r="F140" s="69"/>
      <c r="G140" s="69"/>
      <c r="H140" s="69"/>
      <c r="I140" s="69"/>
    </row>
    <row r="141" spans="1:9" ht="14.25">
      <c r="A141" s="35" t="str">
        <f>HLOOKUP(INDICE!$F$2,Nombres!$C$3:$D$636,74,FALSE)</f>
        <v>(Million Mexican pesos)</v>
      </c>
      <c r="B141" s="30"/>
      <c r="C141" s="52"/>
      <c r="D141" s="52"/>
      <c r="E141" s="52"/>
      <c r="F141" s="70"/>
      <c r="G141" s="44"/>
      <c r="H141" s="44"/>
      <c r="I141" s="44"/>
    </row>
    <row r="142" spans="1:9" ht="14.25">
      <c r="A142" s="30"/>
      <c r="B142" s="53">
        <f aca="true" t="shared" si="24" ref="B142:I142">+B$30</f>
        <v>43921</v>
      </c>
      <c r="C142" s="53">
        <f t="shared" si="24"/>
        <v>44012</v>
      </c>
      <c r="D142" s="53">
        <f t="shared" si="24"/>
        <v>44104</v>
      </c>
      <c r="E142" s="68">
        <f t="shared" si="24"/>
        <v>44196</v>
      </c>
      <c r="F142" s="53">
        <f t="shared" si="24"/>
        <v>44286</v>
      </c>
      <c r="G142" s="53">
        <f t="shared" si="24"/>
        <v>44377</v>
      </c>
      <c r="H142" s="53">
        <f t="shared" si="24"/>
        <v>44469</v>
      </c>
      <c r="I142" s="53">
        <f t="shared" si="24"/>
        <v>44561</v>
      </c>
    </row>
    <row r="143" spans="1:9" ht="14.25">
      <c r="A143" s="43" t="str">
        <f>HLOOKUP(INDICE!$F$2,Nombres!$C$3:$D$636,52,FALSE)</f>
        <v>Cash, cash balances at central banks and other demand deposits</v>
      </c>
      <c r="B143" s="44">
        <v>153176.90670873935</v>
      </c>
      <c r="C143" s="44">
        <v>170355.02850054484</v>
      </c>
      <c r="D143" s="44">
        <v>209230.95364002298</v>
      </c>
      <c r="E143" s="45">
        <v>223679.71270588966</v>
      </c>
      <c r="F143" s="44">
        <v>255933.81053383587</v>
      </c>
      <c r="G143" s="44">
        <v>308810.9497446287</v>
      </c>
      <c r="H143" s="44">
        <v>327118.33315072645</v>
      </c>
      <c r="I143" s="44">
        <v>300519.02600843436</v>
      </c>
    </row>
    <row r="144" spans="1:9" ht="14.25">
      <c r="A144" s="43" t="str">
        <f>HLOOKUP(INDICE!$F$2,Nombres!$C$3:$D$636,53,FALSE)</f>
        <v>Financial assets designated at fair value </v>
      </c>
      <c r="B144" s="58">
        <v>909668.3279340717</v>
      </c>
      <c r="C144" s="58">
        <v>880673.0169702156</v>
      </c>
      <c r="D144" s="58">
        <v>836278.8567502454</v>
      </c>
      <c r="E144" s="65">
        <v>887767.9086152557</v>
      </c>
      <c r="F144" s="44">
        <v>815671.1205268765</v>
      </c>
      <c r="G144" s="44">
        <v>818109.8127769709</v>
      </c>
      <c r="H144" s="44">
        <v>794757.1267080844</v>
      </c>
      <c r="I144" s="44">
        <v>812939.722408953</v>
      </c>
    </row>
    <row r="145" spans="1:9" ht="14.25">
      <c r="A145" s="43" t="str">
        <f>HLOOKUP(INDICE!$F$2,Nombres!$C$3:$D$636,54,FALSE)</f>
        <v>Financial assets at amortized cost</v>
      </c>
      <c r="B145" s="44">
        <v>1540238.0719002676</v>
      </c>
      <c r="C145" s="44">
        <v>1515764.7624717986</v>
      </c>
      <c r="D145" s="44">
        <v>1488208.9184295156</v>
      </c>
      <c r="E145" s="45">
        <v>1460532.0851628738</v>
      </c>
      <c r="F145" s="44">
        <v>1463670.7173311217</v>
      </c>
      <c r="G145" s="44">
        <v>1458261.6515510753</v>
      </c>
      <c r="H145" s="44">
        <v>1476769.2410210469</v>
      </c>
      <c r="I145" s="44">
        <v>1511555.66880395</v>
      </c>
    </row>
    <row r="146" spans="1:9" ht="14.25">
      <c r="A146" s="43" t="str">
        <f>HLOOKUP(INDICE!$F$2,Nombres!$C$3:$D$636,55,FALSE)</f>
        <v>    of which loans and advances to customers</v>
      </c>
      <c r="B146" s="44">
        <v>1321531.0736470008</v>
      </c>
      <c r="C146" s="44">
        <v>1282810.4688168894</v>
      </c>
      <c r="D146" s="44">
        <v>1251332.0529497862</v>
      </c>
      <c r="E146" s="45">
        <v>1220859.1111455811</v>
      </c>
      <c r="F146" s="44">
        <v>1239198.001720131</v>
      </c>
      <c r="G146" s="44">
        <v>1246673.687739031</v>
      </c>
      <c r="H146" s="44">
        <v>1258759.5894666119</v>
      </c>
      <c r="I146" s="44">
        <v>1291629.811514412</v>
      </c>
    </row>
    <row r="147" spans="1:9" ht="14.25">
      <c r="A147" s="43"/>
      <c r="B147" s="44"/>
      <c r="C147" s="44"/>
      <c r="D147" s="44"/>
      <c r="E147" s="45"/>
      <c r="F147" s="44"/>
      <c r="G147" s="44"/>
      <c r="H147" s="44"/>
      <c r="I147" s="44"/>
    </row>
    <row r="148" spans="1:9" ht="14.25">
      <c r="A148" s="43" t="str">
        <f>HLOOKUP(INDICE!$F$2,Nombres!$C$3:$D$636,56,FALSE)</f>
        <v>Tangible assets</v>
      </c>
      <c r="B148" s="44">
        <v>41828.966714518494</v>
      </c>
      <c r="C148" s="44">
        <v>41062.32106206878</v>
      </c>
      <c r="D148" s="44">
        <v>40270.546572230334</v>
      </c>
      <c r="E148" s="45">
        <v>40219.10950458394</v>
      </c>
      <c r="F148" s="44">
        <v>39538.12817336504</v>
      </c>
      <c r="G148" s="44">
        <v>39169.899940572395</v>
      </c>
      <c r="H148" s="44">
        <v>39027.15985679908</v>
      </c>
      <c r="I148" s="44">
        <v>40062.40381984506</v>
      </c>
    </row>
    <row r="149" spans="1:9" ht="14.25">
      <c r="A149" s="43" t="str">
        <f>HLOOKUP(INDICE!$F$2,Nombres!$C$3:$D$636,57,FALSE)</f>
        <v>Other assets</v>
      </c>
      <c r="B149" s="58">
        <f>+B150-B148-B145-B144-B143</f>
        <v>82955.07561270904</v>
      </c>
      <c r="C149" s="58">
        <f aca="true" t="shared" si="25" ref="C149:I149">+C150-C148-C145-C144-C143</f>
        <v>82301.43633711617</v>
      </c>
      <c r="D149" s="58">
        <f t="shared" si="25"/>
        <v>81855.06693603218</v>
      </c>
      <c r="E149" s="65">
        <f t="shared" si="25"/>
        <v>79334.51814491447</v>
      </c>
      <c r="F149" s="44">
        <f t="shared" si="25"/>
        <v>80668.47963751564</v>
      </c>
      <c r="G149" s="44">
        <f t="shared" si="25"/>
        <v>75387.53621178475</v>
      </c>
      <c r="H149" s="44">
        <f t="shared" si="25"/>
        <v>68053.41492308368</v>
      </c>
      <c r="I149" s="44">
        <f t="shared" si="25"/>
        <v>68338.8873829582</v>
      </c>
    </row>
    <row r="150" spans="1:9" ht="14.25">
      <c r="A150" s="47" t="str">
        <f>HLOOKUP(INDICE!$F$2,Nombres!$C$3:$D$636,58,FALSE)</f>
        <v>Total assets / Liabilities and equity</v>
      </c>
      <c r="B150" s="47">
        <v>2727867.3488703063</v>
      </c>
      <c r="C150" s="47">
        <v>2690156.565341744</v>
      </c>
      <c r="D150" s="47">
        <v>2655844.3423280464</v>
      </c>
      <c r="E150" s="47">
        <v>2691533.3341335175</v>
      </c>
      <c r="F150" s="51">
        <v>2655482.256202715</v>
      </c>
      <c r="G150" s="51">
        <v>2699739.850225032</v>
      </c>
      <c r="H150" s="51">
        <v>2705725.2756597404</v>
      </c>
      <c r="I150" s="51">
        <v>2733415.7084241407</v>
      </c>
    </row>
    <row r="151" spans="1:9" ht="14.25">
      <c r="A151" s="43" t="str">
        <f>HLOOKUP(INDICE!$F$2,Nombres!$C$3:$D$636,59,FALSE)</f>
        <v>Financial liabilities held for trading and designated at fair value through profit or loss</v>
      </c>
      <c r="B151" s="58">
        <v>670074.2276748761</v>
      </c>
      <c r="C151" s="58">
        <v>635549.3208463241</v>
      </c>
      <c r="D151" s="58">
        <v>564849.157626017</v>
      </c>
      <c r="E151" s="65">
        <v>581132.3454766653</v>
      </c>
      <c r="F151" s="44">
        <v>508389.06253643084</v>
      </c>
      <c r="G151" s="44">
        <v>527868.9515097103</v>
      </c>
      <c r="H151" s="44">
        <v>504136.9193925291</v>
      </c>
      <c r="I151" s="44">
        <v>459245.8486776104</v>
      </c>
    </row>
    <row r="152" spans="1:9" ht="14.25">
      <c r="A152" s="43" t="str">
        <f>HLOOKUP(INDICE!$F$2,Nombres!$C$3:$D$636,60,FALSE)</f>
        <v>Deposits from central banks and credit institutions</v>
      </c>
      <c r="B152" s="58">
        <v>85593.78972446463</v>
      </c>
      <c r="C152" s="58">
        <v>80334.53264765351</v>
      </c>
      <c r="D152" s="58">
        <v>90677.38633455834</v>
      </c>
      <c r="E152" s="65">
        <v>125138.03075330133</v>
      </c>
      <c r="F152" s="44">
        <v>120817.27517721696</v>
      </c>
      <c r="G152" s="44">
        <v>126117.48988929787</v>
      </c>
      <c r="H152" s="44">
        <v>130806.09485534081</v>
      </c>
      <c r="I152" s="44">
        <v>75629.81880281123</v>
      </c>
    </row>
    <row r="153" spans="1:9" ht="14.25">
      <c r="A153" s="43" t="str">
        <f>HLOOKUP(INDICE!$F$2,Nombres!$C$3:$D$636,61,FALSE)</f>
        <v>Deposits from customers</v>
      </c>
      <c r="B153" s="58">
        <v>1284575.5162561713</v>
      </c>
      <c r="C153" s="58">
        <v>1307689.77571445</v>
      </c>
      <c r="D153" s="58">
        <v>1329394.650037144</v>
      </c>
      <c r="E153" s="65">
        <v>1319728.7243956374</v>
      </c>
      <c r="F153" s="44">
        <v>1366855.0510826702</v>
      </c>
      <c r="G153" s="44">
        <v>1384709.5636835815</v>
      </c>
      <c r="H153" s="44">
        <v>1387594.8219031817</v>
      </c>
      <c r="I153" s="44">
        <v>1481279.1810794885</v>
      </c>
    </row>
    <row r="154" spans="1:9" ht="14.25">
      <c r="A154" s="43" t="str">
        <f>HLOOKUP(INDICE!$F$2,Nombres!$C$3:$D$636,62,FALSE)</f>
        <v>Debt certificates</v>
      </c>
      <c r="B154" s="44">
        <v>229296.85190313045</v>
      </c>
      <c r="C154" s="44">
        <v>204164.6916795604</v>
      </c>
      <c r="D154" s="44">
        <v>206389.58710213675</v>
      </c>
      <c r="E154" s="45">
        <v>186538.34372245302</v>
      </c>
      <c r="F154" s="44">
        <v>182188.85397562105</v>
      </c>
      <c r="G154" s="44">
        <v>186197.56359284304</v>
      </c>
      <c r="H154" s="44">
        <v>185451.9044965937</v>
      </c>
      <c r="I154" s="44">
        <v>184773.82545175485</v>
      </c>
    </row>
    <row r="155" spans="1:9" ht="14.25">
      <c r="A155" s="43"/>
      <c r="B155" s="44"/>
      <c r="C155" s="44"/>
      <c r="D155" s="44"/>
      <c r="E155" s="45"/>
      <c r="F155" s="44"/>
      <c r="G155" s="44"/>
      <c r="H155" s="44"/>
      <c r="I155" s="44"/>
    </row>
    <row r="156" spans="1:9" ht="15.75" customHeight="1">
      <c r="A156" s="43" t="str">
        <f>HLOOKUP(INDICE!$F$2,Nombres!$C$3:$D$636,63,FALSE)</f>
        <v>Other liabilities</v>
      </c>
      <c r="B156" s="58">
        <f>+B150-B151-B152-B153-B154-B157</f>
        <v>289496.3442748213</v>
      </c>
      <c r="C156" s="58">
        <f aca="true" t="shared" si="26" ref="C156:I156">+C150-C151-C152-C153-C154-C157</f>
        <v>291119.9973751494</v>
      </c>
      <c r="D156" s="58">
        <f t="shared" si="26"/>
        <v>296527.5788347478</v>
      </c>
      <c r="E156" s="65">
        <f t="shared" si="26"/>
        <v>315230.1278818632</v>
      </c>
      <c r="F156" s="44">
        <f t="shared" si="26"/>
        <v>306469.5916681671</v>
      </c>
      <c r="G156" s="44">
        <f t="shared" si="26"/>
        <v>304718.6926755945</v>
      </c>
      <c r="H156" s="44">
        <f t="shared" si="26"/>
        <v>323478.95154234907</v>
      </c>
      <c r="I156" s="44">
        <f t="shared" si="26"/>
        <v>365189.8317641191</v>
      </c>
    </row>
    <row r="157" spans="1:9" ht="15.75" customHeight="1">
      <c r="A157" s="43" t="str">
        <f>HLOOKUP(INDICE!$F$2,Nombres!$C$3:$D$636,282,FALSE)</f>
        <v>Regulatory capital allocated</v>
      </c>
      <c r="B157" s="44">
        <v>168830.61903684266</v>
      </c>
      <c r="C157" s="44">
        <v>171298.2470786067</v>
      </c>
      <c r="D157" s="44">
        <v>168005.9823934426</v>
      </c>
      <c r="E157" s="44">
        <v>163765.76190359757</v>
      </c>
      <c r="F157" s="44">
        <v>170762.42176260875</v>
      </c>
      <c r="G157" s="44">
        <v>170127.58887400458</v>
      </c>
      <c r="H157" s="44">
        <v>174256.5834697461</v>
      </c>
      <c r="I157" s="44">
        <v>167297.20264835656</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66" t="str">
        <f>HLOOKUP(INDICE!$F$2,Nombres!$C$3:$D$636,65,FALSE)</f>
        <v>Relevant business indicators</v>
      </c>
      <c r="B160" s="67"/>
      <c r="C160" s="67"/>
      <c r="D160" s="67"/>
      <c r="E160" s="67"/>
      <c r="F160" s="72"/>
      <c r="G160" s="72"/>
      <c r="H160" s="72"/>
      <c r="I160" s="72"/>
    </row>
    <row r="161" spans="1:9" ht="14.25">
      <c r="A161" s="35" t="str">
        <f>HLOOKUP(INDICE!$F$2,Nombres!$C$3:$D$636,74,FALSE)</f>
        <v>(Million Mexican pesos)</v>
      </c>
      <c r="B161" s="30"/>
      <c r="C161" s="30"/>
      <c r="D161" s="30"/>
      <c r="E161" s="30"/>
      <c r="F161" s="70"/>
      <c r="G161" s="44"/>
      <c r="H161" s="44"/>
      <c r="I161" s="44"/>
    </row>
    <row r="162" spans="1:9" ht="14.25">
      <c r="A162" s="30"/>
      <c r="B162" s="53">
        <f aca="true" t="shared" si="27" ref="B162:I162">+B$30</f>
        <v>43921</v>
      </c>
      <c r="C162" s="53">
        <f t="shared" si="27"/>
        <v>44012</v>
      </c>
      <c r="D162" s="53">
        <f t="shared" si="27"/>
        <v>44104</v>
      </c>
      <c r="E162" s="68">
        <f t="shared" si="27"/>
        <v>44196</v>
      </c>
      <c r="F162" s="53">
        <f t="shared" si="27"/>
        <v>44286</v>
      </c>
      <c r="G162" s="53">
        <f t="shared" si="27"/>
        <v>44377</v>
      </c>
      <c r="H162" s="53">
        <f t="shared" si="27"/>
        <v>44469</v>
      </c>
      <c r="I162" s="53">
        <f t="shared" si="27"/>
        <v>44561</v>
      </c>
    </row>
    <row r="163" spans="1:9" ht="14.25">
      <c r="A163" s="43" t="str">
        <f>HLOOKUP(INDICE!$F$2,Nombres!$C$3:$D$636,66,FALSE)</f>
        <v>Loans and advances to customers (gross) (*)</v>
      </c>
      <c r="B163" s="44">
        <v>1372269.117986747</v>
      </c>
      <c r="C163" s="44">
        <v>1333974.057790076</v>
      </c>
      <c r="D163" s="44">
        <v>1304088.3238570238</v>
      </c>
      <c r="E163" s="45">
        <v>1274837.5028112999</v>
      </c>
      <c r="F163" s="44">
        <v>1290573.2733789755</v>
      </c>
      <c r="G163" s="44">
        <v>1295182.1122340232</v>
      </c>
      <c r="H163" s="44">
        <v>1304079.1322468526</v>
      </c>
      <c r="I163" s="44">
        <v>1338787.2052608898</v>
      </c>
    </row>
    <row r="164" spans="1:9" ht="14.25">
      <c r="A164" s="43" t="str">
        <f>HLOOKUP(INDICE!$F$2,Nombres!$C$3:$D$636,67,FALSE)</f>
        <v>Customer deposits under management (*)</v>
      </c>
      <c r="B164" s="44">
        <v>1281026.5002436892</v>
      </c>
      <c r="C164" s="44">
        <v>1300756.8591387172</v>
      </c>
      <c r="D164" s="44">
        <v>1320552.7644490178</v>
      </c>
      <c r="E164" s="45">
        <v>1312961.97388444</v>
      </c>
      <c r="F164" s="44">
        <v>1358594.2156556693</v>
      </c>
      <c r="G164" s="44">
        <v>1353650.6114813543</v>
      </c>
      <c r="H164" s="44">
        <v>1374607.5102575745</v>
      </c>
      <c r="I164" s="44">
        <v>1466132.1511362325</v>
      </c>
    </row>
    <row r="165" spans="1:9" ht="14.25">
      <c r="A165" s="43" t="str">
        <f>HLOOKUP(INDICE!$F$2,Nombres!$C$3:$D$636,68,FALSE)</f>
        <v>Mutual funds</v>
      </c>
      <c r="B165" s="44">
        <v>485308.250650633</v>
      </c>
      <c r="C165" s="44">
        <v>502316.7740257847</v>
      </c>
      <c r="D165" s="44">
        <v>513023.857766748</v>
      </c>
      <c r="E165" s="45">
        <v>504438.656654297</v>
      </c>
      <c r="F165" s="44">
        <v>527567.3590453749</v>
      </c>
      <c r="G165" s="44">
        <v>534693.8053037424</v>
      </c>
      <c r="H165" s="44">
        <v>543973.7823739755</v>
      </c>
      <c r="I165" s="44">
        <v>561244.6167457267</v>
      </c>
    </row>
    <row r="166" spans="1:9" ht="14.25">
      <c r="A166" s="43" t="str">
        <f>HLOOKUP(INDICE!$F$2,Nombres!$C$3:$D$636,69,FALSE)</f>
        <v>Pension funds</v>
      </c>
      <c r="B166" s="44">
        <v>0</v>
      </c>
      <c r="C166" s="44">
        <v>0</v>
      </c>
      <c r="D166" s="44">
        <v>0</v>
      </c>
      <c r="E166" s="45">
        <v>0</v>
      </c>
      <c r="F166" s="44">
        <v>0</v>
      </c>
      <c r="G166" s="44">
        <v>0</v>
      </c>
      <c r="H166" s="44">
        <v>0</v>
      </c>
      <c r="I166" s="44">
        <v>0</v>
      </c>
    </row>
    <row r="167" spans="1:15" ht="14.25">
      <c r="A167" s="43" t="str">
        <f>HLOOKUP(INDICE!$F$2,Nombres!$C$3:$D$636,70,FALSE)</f>
        <v>Other off balance-sheet funds</v>
      </c>
      <c r="B167" s="44">
        <v>54398.381842518575</v>
      </c>
      <c r="C167" s="44">
        <v>49611.14935791888</v>
      </c>
      <c r="D167" s="44">
        <v>45434.86430153178</v>
      </c>
      <c r="E167" s="45">
        <v>45497.66198937253</v>
      </c>
      <c r="F167" s="44">
        <v>45660.29328659152</v>
      </c>
      <c r="G167" s="44">
        <v>48908.95880117197</v>
      </c>
      <c r="H167" s="44">
        <v>48363.333195731975</v>
      </c>
      <c r="I167" s="44">
        <v>50790.6256991533</v>
      </c>
      <c r="K167" s="74"/>
      <c r="L167" s="74"/>
      <c r="M167" s="74"/>
      <c r="N167" s="74"/>
      <c r="O167" s="74"/>
    </row>
    <row r="168" spans="1:15" ht="14.25">
      <c r="A168" s="62" t="str">
        <f>HLOOKUP(INDICE!$F$2,Nombres!$C$3:$D$636,71,FALSE)</f>
        <v>(*) Excluding repos. </v>
      </c>
      <c r="B168" s="58"/>
      <c r="C168" s="58"/>
      <c r="D168" s="58"/>
      <c r="E168" s="58"/>
      <c r="F168" s="44"/>
      <c r="G168" s="44"/>
      <c r="H168" s="44"/>
      <c r="I168" s="44"/>
      <c r="K168" s="74"/>
      <c r="L168" s="74"/>
      <c r="M168" s="74"/>
      <c r="N168" s="74"/>
      <c r="O168" s="74"/>
    </row>
    <row r="169" spans="1:15" ht="14.25">
      <c r="A169" s="62">
        <f>HLOOKUP(INDICE!$F$2,Nombres!$C$3:$D$636,72,FALSE)</f>
        <v>0</v>
      </c>
      <c r="B169" s="30"/>
      <c r="C169" s="30"/>
      <c r="D169" s="30"/>
      <c r="E169" s="30"/>
      <c r="F169" s="30"/>
      <c r="G169" s="30"/>
      <c r="H169" s="30"/>
      <c r="I169" s="30"/>
      <c r="K169" s="74"/>
      <c r="L169" s="74"/>
      <c r="M169" s="74"/>
      <c r="N169" s="74"/>
      <c r="O169" s="74"/>
    </row>
    <row r="170" spans="1:15" ht="14.25">
      <c r="A170" s="30"/>
      <c r="B170" s="30"/>
      <c r="C170" s="30"/>
      <c r="D170" s="30"/>
      <c r="E170" s="30"/>
      <c r="F170" s="30"/>
      <c r="G170" s="30"/>
      <c r="H170" s="30"/>
      <c r="I170" s="30"/>
      <c r="K170" s="74"/>
      <c r="L170" s="74"/>
      <c r="M170" s="74"/>
      <c r="N170" s="74"/>
      <c r="O170" s="74"/>
    </row>
    <row r="171" spans="1:15" ht="14.25">
      <c r="A171" s="30"/>
      <c r="B171" s="30"/>
      <c r="C171" s="30"/>
      <c r="D171" s="30"/>
      <c r="E171" s="30"/>
      <c r="F171" s="30"/>
      <c r="G171" s="30"/>
      <c r="H171" s="30"/>
      <c r="I171" s="30"/>
      <c r="K171" s="74"/>
      <c r="L171" s="74"/>
      <c r="M171" s="74"/>
      <c r="N171" s="74"/>
      <c r="O171" s="74"/>
    </row>
    <row r="172" spans="1:15" ht="14.25">
      <c r="A172" s="73"/>
      <c r="B172" s="74"/>
      <c r="C172" s="75"/>
      <c r="D172" s="75"/>
      <c r="E172" s="75"/>
      <c r="F172" s="74"/>
      <c r="G172" s="74"/>
      <c r="H172" s="74"/>
      <c r="I172" s="74"/>
      <c r="K172" s="74"/>
      <c r="L172" s="74"/>
      <c r="M172" s="74"/>
      <c r="N172" s="74"/>
      <c r="O172" s="74"/>
    </row>
    <row r="173" spans="1:15" ht="14.25">
      <c r="A173" s="73"/>
      <c r="B173" s="74"/>
      <c r="C173" s="75"/>
      <c r="D173" s="75"/>
      <c r="E173" s="75"/>
      <c r="F173" s="74"/>
      <c r="G173" s="74"/>
      <c r="H173" s="74"/>
      <c r="I173" s="74"/>
      <c r="J173" s="74"/>
      <c r="K173" s="74"/>
      <c r="L173" s="74"/>
      <c r="M173" s="74"/>
      <c r="N173" s="74"/>
      <c r="O173" s="74"/>
    </row>
    <row r="174" spans="1:15" ht="14.25">
      <c r="A174" s="74"/>
      <c r="B174" s="74"/>
      <c r="C174" s="74"/>
      <c r="D174" s="74"/>
      <c r="E174" s="74"/>
      <c r="F174" s="74"/>
      <c r="G174" s="74"/>
      <c r="H174" s="74"/>
      <c r="I174" s="74"/>
      <c r="J174" s="74"/>
      <c r="K174" s="74"/>
      <c r="L174" s="74"/>
      <c r="M174" s="74"/>
      <c r="N174" s="74"/>
      <c r="O174" s="74"/>
    </row>
    <row r="175" spans="1:10" ht="14.25">
      <c r="A175" s="74"/>
      <c r="B175" s="74"/>
      <c r="C175" s="74"/>
      <c r="D175" s="74"/>
      <c r="E175" s="74"/>
      <c r="F175" s="74"/>
      <c r="G175" s="74"/>
      <c r="H175" s="74"/>
      <c r="I175" s="74"/>
      <c r="J175" s="74"/>
    </row>
    <row r="176" spans="1:10" ht="14.25">
      <c r="A176" s="74"/>
      <c r="B176" s="74"/>
      <c r="C176" s="74"/>
      <c r="D176" s="74"/>
      <c r="E176" s="74"/>
      <c r="F176" s="74"/>
      <c r="G176" s="74"/>
      <c r="H176" s="74"/>
      <c r="I176" s="74"/>
      <c r="J176" s="74"/>
    </row>
    <row r="177" spans="1:10" ht="14.25">
      <c r="A177" s="74"/>
      <c r="B177" s="74"/>
      <c r="C177" s="74"/>
      <c r="D177" s="74"/>
      <c r="E177" s="74"/>
      <c r="F177" s="74"/>
      <c r="G177" s="74"/>
      <c r="H177" s="74"/>
      <c r="I177" s="74"/>
      <c r="J177" s="74"/>
    </row>
    <row r="178" spans="1:10" ht="14.25">
      <c r="A178" s="74"/>
      <c r="B178" s="74"/>
      <c r="C178" s="74"/>
      <c r="D178" s="74"/>
      <c r="E178" s="74"/>
      <c r="F178" s="74"/>
      <c r="G178" s="74"/>
      <c r="H178" s="74"/>
      <c r="I178" s="74"/>
      <c r="J178" s="74"/>
    </row>
    <row r="179" spans="1:10" ht="14.25">
      <c r="A179" s="74"/>
      <c r="B179" s="74"/>
      <c r="C179" s="74"/>
      <c r="D179" s="74"/>
      <c r="E179" s="74"/>
      <c r="F179" s="74"/>
      <c r="G179" s="74"/>
      <c r="H179" s="74"/>
      <c r="I179" s="74"/>
      <c r="J179" s="74"/>
    </row>
    <row r="180" spans="1:10" ht="14.25">
      <c r="A180" s="74"/>
      <c r="B180" s="74"/>
      <c r="C180" s="74"/>
      <c r="D180" s="74"/>
      <c r="E180" s="74"/>
      <c r="F180" s="74"/>
      <c r="G180" s="74"/>
      <c r="H180" s="74"/>
      <c r="I180" s="74"/>
      <c r="J180" s="74"/>
    </row>
    <row r="1006" ht="14.25">
      <c r="A1006" s="31" t="s">
        <v>396</v>
      </c>
    </row>
  </sheetData>
  <sheetProtection/>
  <mergeCells count="6">
    <mergeCell ref="B118:E118"/>
    <mergeCell ref="F118:I118"/>
    <mergeCell ref="B6:E6"/>
    <mergeCell ref="F6:I6"/>
    <mergeCell ref="B62:E62"/>
    <mergeCell ref="F62:I62"/>
  </mergeCells>
  <conditionalFormatting sqref="B26:I26">
    <cfRule type="cellIs" priority="3" dxfId="114" operator="notBetween">
      <formula>0.5</formula>
      <formula>-0.5</formula>
    </cfRule>
  </conditionalFormatting>
  <conditionalFormatting sqref="B82:I82">
    <cfRule type="cellIs" priority="2" dxfId="114" operator="notBetween">
      <formula>0.5</formula>
      <formula>-0.5</formula>
    </cfRule>
  </conditionalFormatting>
  <conditionalFormatting sqref="B138:I138">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 sqref="A1"/>
    </sheetView>
  </sheetViews>
  <sheetFormatPr defaultColWidth="11.421875" defaultRowHeight="15"/>
  <cols>
    <col min="1" max="1" width="62.00390625" style="31" customWidth="1"/>
    <col min="2" max="16384" width="11.421875" style="31" customWidth="1"/>
  </cols>
  <sheetData>
    <row r="1" spans="1:9" ht="16.5">
      <c r="A1" s="29" t="str">
        <f>HLOOKUP(INDICE!$F$2,Nombres!$C$3:$D$636,12,FALSE)</f>
        <v>Turkey </v>
      </c>
      <c r="B1" s="30"/>
      <c r="C1" s="30"/>
      <c r="D1" s="30"/>
      <c r="E1" s="30"/>
      <c r="F1" s="30"/>
      <c r="G1" s="30"/>
      <c r="H1" s="30"/>
      <c r="I1" s="30"/>
    </row>
    <row r="2" spans="1:9" ht="19.5">
      <c r="A2" s="32"/>
      <c r="B2" s="30"/>
      <c r="C2" s="30"/>
      <c r="D2" s="30"/>
      <c r="E2" s="30"/>
      <c r="F2" s="30"/>
      <c r="G2" s="30"/>
      <c r="H2" s="30"/>
      <c r="I2" s="30"/>
    </row>
    <row r="3" spans="1:9" ht="16.5">
      <c r="A3" s="33" t="str">
        <f>HLOOKUP(INDICE!$F$2,Nombres!$C$3:$D$636,31,FALSE)</f>
        <v>Income statement  </v>
      </c>
      <c r="B3" s="34"/>
      <c r="C3" s="34"/>
      <c r="D3" s="34"/>
      <c r="E3" s="34"/>
      <c r="F3" s="34"/>
      <c r="G3" s="34"/>
      <c r="H3" s="34"/>
      <c r="I3" s="34"/>
    </row>
    <row r="4" spans="1:9" ht="14.25">
      <c r="A4" s="35"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4.25">
      <c r="A8" s="41" t="str">
        <f>HLOOKUP(INDICE!$F$2,Nombres!$C$3:$D$636,33,FALSE)</f>
        <v>Net interest income</v>
      </c>
      <c r="B8" s="41">
        <v>819.493</v>
      </c>
      <c r="C8" s="41">
        <v>714.7619999899996</v>
      </c>
      <c r="D8" s="41">
        <v>683.9560000199999</v>
      </c>
      <c r="E8" s="42">
        <v>564.5439999900001</v>
      </c>
      <c r="F8" s="50">
        <v>529.5730000000001</v>
      </c>
      <c r="G8" s="50">
        <v>506.62400001000015</v>
      </c>
      <c r="H8" s="50">
        <v>614.6899999999998</v>
      </c>
      <c r="I8" s="50">
        <v>719.3530000000001</v>
      </c>
    </row>
    <row r="9" spans="1:9" ht="14.25">
      <c r="A9" s="43" t="str">
        <f>HLOOKUP(INDICE!$F$2,Nombres!$C$3:$D$636,34,FALSE)</f>
        <v>Net fees and commissions</v>
      </c>
      <c r="B9" s="44">
        <v>165.06999995</v>
      </c>
      <c r="C9" s="44">
        <v>99.06400002000001</v>
      </c>
      <c r="D9" s="44">
        <v>127.24000000999996</v>
      </c>
      <c r="E9" s="45">
        <v>118.89200001000006</v>
      </c>
      <c r="F9" s="44">
        <v>154.401</v>
      </c>
      <c r="G9" s="44">
        <v>142.64500001</v>
      </c>
      <c r="H9" s="44">
        <v>145.87599999</v>
      </c>
      <c r="I9" s="44">
        <v>121.50100003000004</v>
      </c>
    </row>
    <row r="10" spans="1:9" ht="14.25">
      <c r="A10" s="43" t="str">
        <f>HLOOKUP(INDICE!$F$2,Nombres!$C$3:$D$636,35,FALSE)</f>
        <v>Net trading income</v>
      </c>
      <c r="B10" s="44">
        <v>66.84599998</v>
      </c>
      <c r="C10" s="44">
        <v>59.775000009999985</v>
      </c>
      <c r="D10" s="44">
        <v>79.42800002000004</v>
      </c>
      <c r="E10" s="45">
        <v>21.16799998999999</v>
      </c>
      <c r="F10" s="44">
        <v>125.63700000999998</v>
      </c>
      <c r="G10" s="44">
        <v>54.027</v>
      </c>
      <c r="H10" s="44">
        <v>59.10599996999999</v>
      </c>
      <c r="I10" s="44">
        <v>174.50500001999998</v>
      </c>
    </row>
    <row r="11" spans="1:9" ht="14.25">
      <c r="A11" s="43" t="str">
        <f>HLOOKUP(INDICE!$F$2,Nombres!$C$3:$D$636,36,FALSE)</f>
        <v>Other operating income and expenses</v>
      </c>
      <c r="B11" s="44">
        <v>21.869000000000018</v>
      </c>
      <c r="C11" s="44">
        <v>10.061000000000018</v>
      </c>
      <c r="D11" s="44">
        <v>18.81700001</v>
      </c>
      <c r="E11" s="45">
        <v>2.439999990000004</v>
      </c>
      <c r="F11" s="44">
        <v>24.439999999999998</v>
      </c>
      <c r="G11" s="44">
        <v>33.91299999999998</v>
      </c>
      <c r="H11" s="44">
        <v>22.784000000000052</v>
      </c>
      <c r="I11" s="44">
        <v>-7.001000000000081</v>
      </c>
    </row>
    <row r="12" spans="1:9" ht="14.25">
      <c r="A12" s="41" t="str">
        <f>HLOOKUP(INDICE!$F$2,Nombres!$C$3:$D$636,37,FALSE)</f>
        <v>Gross income</v>
      </c>
      <c r="B12" s="41">
        <f>+SUM(B8:B11)</f>
        <v>1073.27799993</v>
      </c>
      <c r="C12" s="41">
        <f aca="true" t="shared" si="0" ref="C12:I12">+SUM(C8:C11)</f>
        <v>883.6620000199996</v>
      </c>
      <c r="D12" s="41">
        <f t="shared" si="0"/>
        <v>909.4410000599999</v>
      </c>
      <c r="E12" s="42">
        <f t="shared" si="0"/>
        <v>707.0439999800002</v>
      </c>
      <c r="F12" s="50">
        <f t="shared" si="0"/>
        <v>834.05100001</v>
      </c>
      <c r="G12" s="50">
        <f t="shared" si="0"/>
        <v>737.2090000200002</v>
      </c>
      <c r="H12" s="50">
        <f t="shared" si="0"/>
        <v>842.4559999599999</v>
      </c>
      <c r="I12" s="50">
        <f t="shared" si="0"/>
        <v>1008.35800005</v>
      </c>
    </row>
    <row r="13" spans="1:9" ht="14.25">
      <c r="A13" s="43" t="str">
        <f>HLOOKUP(INDICE!$F$2,Nombres!$C$3:$D$636,38,FALSE)</f>
        <v>Operating expenses</v>
      </c>
      <c r="B13" s="44">
        <v>-309.88871792</v>
      </c>
      <c r="C13" s="44">
        <v>-252.57887997</v>
      </c>
      <c r="D13" s="44">
        <v>-229.31690742</v>
      </c>
      <c r="E13" s="45">
        <v>-237.70630896999995</v>
      </c>
      <c r="F13" s="44">
        <v>-264.95964426</v>
      </c>
      <c r="G13" s="44">
        <v>-233.61289325</v>
      </c>
      <c r="H13" s="44">
        <v>-235.40816529999995</v>
      </c>
      <c r="I13" s="44">
        <v>-274.40107771</v>
      </c>
    </row>
    <row r="14" spans="1:9" ht="14.25">
      <c r="A14" s="43" t="str">
        <f>HLOOKUP(INDICE!$F$2,Nombres!$C$3:$D$636,39,FALSE)</f>
        <v>  Administration expenses</v>
      </c>
      <c r="B14" s="44">
        <v>-262.03969592</v>
      </c>
      <c r="C14" s="44">
        <v>-217.17585795999997</v>
      </c>
      <c r="D14" s="44">
        <v>-194.02888543</v>
      </c>
      <c r="E14" s="45">
        <v>-206.71428699</v>
      </c>
      <c r="F14" s="44">
        <v>-231.18662226000004</v>
      </c>
      <c r="G14" s="44">
        <v>-203.79787226000002</v>
      </c>
      <c r="H14" s="44">
        <v>-204.49014329</v>
      </c>
      <c r="I14" s="44">
        <v>-250.53305673</v>
      </c>
    </row>
    <row r="15" spans="1:9" ht="14.25">
      <c r="A15" s="46" t="str">
        <f>HLOOKUP(INDICE!$F$2,Nombres!$C$3:$D$636,40,FALSE)</f>
        <v>  Personnel expenses</v>
      </c>
      <c r="B15" s="44">
        <v>-156.81167561</v>
      </c>
      <c r="C15" s="44">
        <v>-150.30583696999997</v>
      </c>
      <c r="D15" s="44">
        <v>-130.36995616000002</v>
      </c>
      <c r="E15" s="45">
        <v>-123.43996326</v>
      </c>
      <c r="F15" s="44">
        <v>-141.8752291</v>
      </c>
      <c r="G15" s="44">
        <v>-139.68222913</v>
      </c>
      <c r="H15" s="44">
        <v>-139.68122918</v>
      </c>
      <c r="I15" s="44">
        <v>-172.01340153</v>
      </c>
    </row>
    <row r="16" spans="1:9" ht="14.25">
      <c r="A16" s="46" t="str">
        <f>HLOOKUP(INDICE!$F$2,Nombres!$C$3:$D$636,41,FALSE)</f>
        <v>  General and administrative expenses</v>
      </c>
      <c r="B16" s="44">
        <v>-105.22802031</v>
      </c>
      <c r="C16" s="44">
        <v>-66.87002099</v>
      </c>
      <c r="D16" s="44">
        <v>-63.65892927</v>
      </c>
      <c r="E16" s="45">
        <v>-83.27432372999999</v>
      </c>
      <c r="F16" s="44">
        <v>-89.31139316000001</v>
      </c>
      <c r="G16" s="44">
        <v>-64.11564313000002</v>
      </c>
      <c r="H16" s="44">
        <v>-64.80891410999998</v>
      </c>
      <c r="I16" s="44">
        <v>-78.51965519999999</v>
      </c>
    </row>
    <row r="17" spans="1:9" ht="14.25">
      <c r="A17" s="43" t="str">
        <f>HLOOKUP(INDICE!$F$2,Nombres!$C$3:$D$636,42,FALSE)</f>
        <v>  Depreciation</v>
      </c>
      <c r="B17" s="44">
        <v>-47.849022</v>
      </c>
      <c r="C17" s="44">
        <v>-35.403022009999994</v>
      </c>
      <c r="D17" s="44">
        <v>-35.28802199</v>
      </c>
      <c r="E17" s="45">
        <v>-30.992021979999997</v>
      </c>
      <c r="F17" s="44">
        <v>-33.773022</v>
      </c>
      <c r="G17" s="44">
        <v>-29.81502099</v>
      </c>
      <c r="H17" s="44">
        <v>-30.918022009999998</v>
      </c>
      <c r="I17" s="44">
        <v>-23.868020979999994</v>
      </c>
    </row>
    <row r="18" spans="1:9" ht="14.25">
      <c r="A18" s="41" t="str">
        <f>HLOOKUP(INDICE!$F$2,Nombres!$C$3:$D$636,43,FALSE)</f>
        <v>Operating income</v>
      </c>
      <c r="B18" s="41">
        <f>+B12+B13</f>
        <v>763.3892820100001</v>
      </c>
      <c r="C18" s="41">
        <f aca="true" t="shared" si="1" ref="C18:I18">+C12+C13</f>
        <v>631.0831200499996</v>
      </c>
      <c r="D18" s="41">
        <f t="shared" si="1"/>
        <v>680.1240926399998</v>
      </c>
      <c r="E18" s="42">
        <f t="shared" si="1"/>
        <v>469.33769101000024</v>
      </c>
      <c r="F18" s="50">
        <f t="shared" si="1"/>
        <v>569.09135575</v>
      </c>
      <c r="G18" s="50">
        <f t="shared" si="1"/>
        <v>503.5961067700002</v>
      </c>
      <c r="H18" s="50">
        <f t="shared" si="1"/>
        <v>607.0478346599999</v>
      </c>
      <c r="I18" s="50">
        <f t="shared" si="1"/>
        <v>733.95692234</v>
      </c>
    </row>
    <row r="19" spans="1:9" ht="14.25">
      <c r="A19" s="43" t="str">
        <f>HLOOKUP(INDICE!$F$2,Nombres!$C$3:$D$636,44,FALSE)</f>
        <v>Impaiment on financial assets not measured at fair value through profit or loss</v>
      </c>
      <c r="B19" s="44">
        <v>-403.24300001</v>
      </c>
      <c r="C19" s="44">
        <v>-215.16299999000003</v>
      </c>
      <c r="D19" s="44">
        <v>-61.251999999999995</v>
      </c>
      <c r="E19" s="45">
        <v>-215.31000000999998</v>
      </c>
      <c r="F19" s="44">
        <v>-122.84000001000001</v>
      </c>
      <c r="G19" s="44">
        <v>-44.93799996999999</v>
      </c>
      <c r="H19" s="44">
        <v>-67.13700002999998</v>
      </c>
      <c r="I19" s="44">
        <v>-259.22800002</v>
      </c>
    </row>
    <row r="20" spans="1:9" ht="14.25">
      <c r="A20" s="43" t="str">
        <f>HLOOKUP(INDICE!$F$2,Nombres!$C$3:$D$636,45,FALSE)</f>
        <v>Provisions or reversal of provisions and other results</v>
      </c>
      <c r="B20" s="44">
        <v>-20.217</v>
      </c>
      <c r="C20" s="44">
        <v>-40.53700000000002</v>
      </c>
      <c r="D20" s="44">
        <v>-9.180999989999956</v>
      </c>
      <c r="E20" s="45">
        <v>-56.78800001999997</v>
      </c>
      <c r="F20" s="44">
        <v>34.80999999999998</v>
      </c>
      <c r="G20" s="44">
        <v>12.811999999999989</v>
      </c>
      <c r="H20" s="44">
        <v>11.643000000000022</v>
      </c>
      <c r="I20" s="44">
        <v>-25.86500000000006</v>
      </c>
    </row>
    <row r="21" spans="1:9" ht="14.25">
      <c r="A21" s="41" t="str">
        <f>HLOOKUP(INDICE!$F$2,Nombres!$C$3:$D$636,46,FALSE)</f>
        <v>Profit/(loss) before tax</v>
      </c>
      <c r="B21" s="41">
        <f>+B18+B19+B20</f>
        <v>339.9292820000001</v>
      </c>
      <c r="C21" s="41">
        <f aca="true" t="shared" si="2" ref="C21:I21">+C18+C19+C20</f>
        <v>375.38312005999956</v>
      </c>
      <c r="D21" s="41">
        <f t="shared" si="2"/>
        <v>609.69109265</v>
      </c>
      <c r="E21" s="42">
        <f t="shared" si="2"/>
        <v>197.2396909800003</v>
      </c>
      <c r="F21" s="50">
        <f t="shared" si="2"/>
        <v>481.06135574</v>
      </c>
      <c r="G21" s="50">
        <f t="shared" si="2"/>
        <v>471.47010680000017</v>
      </c>
      <c r="H21" s="50">
        <f t="shared" si="2"/>
        <v>551.55383463</v>
      </c>
      <c r="I21" s="50">
        <f t="shared" si="2"/>
        <v>448.8639223199999</v>
      </c>
    </row>
    <row r="22" spans="1:9" ht="14.25">
      <c r="A22" s="43" t="str">
        <f>HLOOKUP(INDICE!$F$2,Nombres!$C$3:$D$636,47,FALSE)</f>
        <v>Income tax</v>
      </c>
      <c r="B22" s="44">
        <v>-78.24558461999999</v>
      </c>
      <c r="C22" s="44">
        <v>-96.93393603</v>
      </c>
      <c r="D22" s="44">
        <v>-132.35332775</v>
      </c>
      <c r="E22" s="45">
        <v>-72.21390731000001</v>
      </c>
      <c r="F22" s="44">
        <v>-93.89860671</v>
      </c>
      <c r="G22" s="44">
        <v>-80.64343203</v>
      </c>
      <c r="H22" s="44">
        <v>-148.35625043</v>
      </c>
      <c r="I22" s="44">
        <v>-132.30867666</v>
      </c>
    </row>
    <row r="23" spans="1:9" ht="14.25">
      <c r="A23" s="41" t="str">
        <f>HLOOKUP(INDICE!$F$2,Nombres!$C$3:$D$636,48,FALSE)</f>
        <v>Profit/(loss) for the year</v>
      </c>
      <c r="B23" s="41">
        <f>+B21+B22</f>
        <v>261.6836973800001</v>
      </c>
      <c r="C23" s="41">
        <f aca="true" t="shared" si="3" ref="C23:I23">+C21+C22</f>
        <v>278.44918402999957</v>
      </c>
      <c r="D23" s="41">
        <f t="shared" si="3"/>
        <v>477.33776489999997</v>
      </c>
      <c r="E23" s="42">
        <f t="shared" si="3"/>
        <v>125.02578367000028</v>
      </c>
      <c r="F23" s="50">
        <f t="shared" si="3"/>
        <v>387.16274903</v>
      </c>
      <c r="G23" s="50">
        <f t="shared" si="3"/>
        <v>390.8266747700002</v>
      </c>
      <c r="H23" s="50">
        <f t="shared" si="3"/>
        <v>403.1975842</v>
      </c>
      <c r="I23" s="50">
        <f t="shared" si="3"/>
        <v>316.5552456599999</v>
      </c>
    </row>
    <row r="24" spans="1:9" ht="14.25">
      <c r="A24" s="43" t="str">
        <f>HLOOKUP(INDICE!$F$2,Nombres!$C$3:$D$636,49,FALSE)</f>
        <v>Non-controlling interests</v>
      </c>
      <c r="B24" s="44">
        <v>-132.898</v>
      </c>
      <c r="C24" s="44">
        <v>-141.088</v>
      </c>
      <c r="D24" s="44">
        <v>-240.952</v>
      </c>
      <c r="E24" s="45">
        <v>-64.26400001</v>
      </c>
      <c r="F24" s="44">
        <v>-196.24699999999999</v>
      </c>
      <c r="G24" s="44">
        <v>-197.595</v>
      </c>
      <c r="H24" s="44">
        <v>-203.94899998000005</v>
      </c>
      <c r="I24" s="44">
        <v>-160.35000001999998</v>
      </c>
    </row>
    <row r="25" spans="1:9" ht="14.25">
      <c r="A25" s="47" t="str">
        <f>HLOOKUP(INDICE!$F$2,Nombres!$C$3:$D$636,50,FALSE)</f>
        <v>Net attributable profit</v>
      </c>
      <c r="B25" s="47">
        <f>+B23+B24</f>
        <v>128.78569738000013</v>
      </c>
      <c r="C25" s="47">
        <f aca="true" t="shared" si="4" ref="C25:I25">+C23+C24</f>
        <v>137.36118402999958</v>
      </c>
      <c r="D25" s="47">
        <f t="shared" si="4"/>
        <v>236.38576489999997</v>
      </c>
      <c r="E25" s="47">
        <f t="shared" si="4"/>
        <v>60.761783660000276</v>
      </c>
      <c r="F25" s="51">
        <f t="shared" si="4"/>
        <v>190.91574903</v>
      </c>
      <c r="G25" s="51">
        <f t="shared" si="4"/>
        <v>193.23167477000018</v>
      </c>
      <c r="H25" s="51">
        <f t="shared" si="4"/>
        <v>199.24858421999994</v>
      </c>
      <c r="I25" s="51">
        <f t="shared" si="4"/>
        <v>156.20524563999993</v>
      </c>
    </row>
    <row r="26" spans="1:9" ht="14.25">
      <c r="A26" s="62"/>
      <c r="B26" s="63">
        <v>0</v>
      </c>
      <c r="C26" s="63">
        <v>0</v>
      </c>
      <c r="D26" s="63">
        <v>0</v>
      </c>
      <c r="E26" s="63">
        <v>1.1368683772161603E-13</v>
      </c>
      <c r="F26" s="63">
        <v>0</v>
      </c>
      <c r="G26" s="63">
        <v>2.2737367544323206E-13</v>
      </c>
      <c r="H26" s="63">
        <v>0</v>
      </c>
      <c r="I26" s="63">
        <v>0</v>
      </c>
    </row>
    <row r="27" spans="1:9" ht="14.25">
      <c r="A27" s="41"/>
      <c r="B27" s="41"/>
      <c r="C27" s="41"/>
      <c r="D27" s="41"/>
      <c r="E27" s="41"/>
      <c r="F27" s="41"/>
      <c r="G27" s="41"/>
      <c r="H27" s="41"/>
      <c r="I27" s="41"/>
    </row>
    <row r="28" spans="1:9" ht="16.5">
      <c r="A28" s="33" t="str">
        <f>HLOOKUP(INDICE!$F$2,Nombres!$C$3:$D$636,51,FALSE)</f>
        <v>Balance sheets</v>
      </c>
      <c r="B28" s="34"/>
      <c r="C28" s="34"/>
      <c r="D28" s="34"/>
      <c r="E28" s="34"/>
      <c r="F28" s="34"/>
      <c r="G28" s="34"/>
      <c r="H28" s="34"/>
      <c r="I28" s="34"/>
    </row>
    <row r="29" spans="1:9" ht="14.25">
      <c r="A29" s="35" t="str">
        <f>HLOOKUP(INDICE!$F$2,Nombres!$C$3:$D$636,32,FALSE)</f>
        <v>(Million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4.25">
      <c r="A31" s="43" t="str">
        <f>HLOOKUP(INDICE!$F$2,Nombres!$C$3:$D$636,52,FALSE)</f>
        <v>Cash, cash balances at central banks and other demand deposits</v>
      </c>
      <c r="B31" s="44">
        <v>5194.189</v>
      </c>
      <c r="C31" s="44">
        <v>5489.2119999999995</v>
      </c>
      <c r="D31" s="44">
        <v>5510.271</v>
      </c>
      <c r="E31" s="45">
        <v>5477.186000000001</v>
      </c>
      <c r="F31" s="44">
        <v>6682.253</v>
      </c>
      <c r="G31" s="44">
        <v>6656.599999999999</v>
      </c>
      <c r="H31" s="44">
        <v>6257.517</v>
      </c>
      <c r="I31" s="44">
        <v>7763.787</v>
      </c>
    </row>
    <row r="32" spans="1:9" ht="14.25">
      <c r="A32" s="43" t="str">
        <f>HLOOKUP(INDICE!$F$2,Nombres!$C$3:$D$636,53,FALSE)</f>
        <v>Financial assets designated at fair value </v>
      </c>
      <c r="B32" s="58">
        <v>5058.879</v>
      </c>
      <c r="C32" s="58">
        <v>5712.279</v>
      </c>
      <c r="D32" s="58">
        <v>5429.875999999999</v>
      </c>
      <c r="E32" s="65">
        <v>5331.522999999999</v>
      </c>
      <c r="F32" s="44">
        <v>5492.143</v>
      </c>
      <c r="G32" s="44">
        <v>5153.531</v>
      </c>
      <c r="H32" s="44">
        <v>5417.218000000001</v>
      </c>
      <c r="I32" s="44">
        <v>5289.342999999999</v>
      </c>
    </row>
    <row r="33" spans="1:9" ht="14.25">
      <c r="A33" s="43" t="str">
        <f>HLOOKUP(INDICE!$F$2,Nombres!$C$3:$D$636,54,FALSE)</f>
        <v>Financial assets at amortized cost</v>
      </c>
      <c r="B33" s="44">
        <v>50862.558000000005</v>
      </c>
      <c r="C33" s="44">
        <v>50078.886999999995</v>
      </c>
      <c r="D33" s="44">
        <v>45251.355</v>
      </c>
      <c r="E33" s="45">
        <v>46705.471999999994</v>
      </c>
      <c r="F33" s="44">
        <v>44633.130000000005</v>
      </c>
      <c r="G33" s="44">
        <v>45507.883</v>
      </c>
      <c r="H33" s="44">
        <v>47893.36</v>
      </c>
      <c r="I33" s="44">
        <v>41543.922</v>
      </c>
    </row>
    <row r="34" spans="1:9" ht="14.25">
      <c r="A34" s="43" t="str">
        <f>HLOOKUP(INDICE!$F$2,Nombres!$C$3:$D$636,55,FALSE)</f>
        <v>    of which loans and advances to customers</v>
      </c>
      <c r="B34" s="44">
        <v>39916.31599999999</v>
      </c>
      <c r="C34" s="44">
        <v>41196.41400000001</v>
      </c>
      <c r="D34" s="44">
        <v>36797.241</v>
      </c>
      <c r="E34" s="45">
        <v>37295.429000000004</v>
      </c>
      <c r="F34" s="44">
        <v>36858.534</v>
      </c>
      <c r="G34" s="44">
        <v>36911.164</v>
      </c>
      <c r="H34" s="44">
        <v>38932.94</v>
      </c>
      <c r="I34" s="44">
        <v>31414.156</v>
      </c>
    </row>
    <row r="35" spans="1:9" ht="14.25">
      <c r="A35" s="43"/>
      <c r="B35" s="44"/>
      <c r="C35" s="44"/>
      <c r="D35" s="44"/>
      <c r="E35" s="45"/>
      <c r="F35" s="44"/>
      <c r="G35" s="44"/>
      <c r="H35" s="44"/>
      <c r="I35" s="44"/>
    </row>
    <row r="36" spans="1:9" ht="14.25">
      <c r="A36" s="43" t="str">
        <f>HLOOKUP(INDICE!$F$2,Nombres!$C$3:$D$636,56,FALSE)</f>
        <v>Tangible assets</v>
      </c>
      <c r="B36" s="44">
        <v>1033.449</v>
      </c>
      <c r="C36" s="44">
        <v>942.0169999999999</v>
      </c>
      <c r="D36" s="44">
        <v>827.0029999999999</v>
      </c>
      <c r="E36" s="45">
        <v>900.807</v>
      </c>
      <c r="F36" s="44">
        <v>871.2429999999999</v>
      </c>
      <c r="G36" s="44">
        <v>814.192</v>
      </c>
      <c r="H36" s="44">
        <v>851.2760000000001</v>
      </c>
      <c r="I36" s="44">
        <v>623.266</v>
      </c>
    </row>
    <row r="37" spans="1:9" ht="14.25">
      <c r="A37" s="43" t="str">
        <f>HLOOKUP(INDICE!$F$2,Nombres!$C$3:$D$636,57,FALSE)</f>
        <v>Other assets</v>
      </c>
      <c r="B37" s="58">
        <f>+B38-B36-B33-B32-B31</f>
        <v>1354.8760000399916</v>
      </c>
      <c r="C37" s="58">
        <f aca="true" t="shared" si="5" ref="C37:I37">+C38-C36-C33-C32-C31</f>
        <v>1302.464000000009</v>
      </c>
      <c r="D37" s="58">
        <f t="shared" si="5"/>
        <v>1109.6209999999974</v>
      </c>
      <c r="E37" s="65">
        <f t="shared" si="5"/>
        <v>1170.1390215599995</v>
      </c>
      <c r="F37" s="44">
        <f t="shared" si="5"/>
        <v>1197.1020000099898</v>
      </c>
      <c r="G37" s="44">
        <f t="shared" si="5"/>
        <v>1111.1410000100022</v>
      </c>
      <c r="H37" s="44">
        <f t="shared" si="5"/>
        <v>1129.5460000300009</v>
      </c>
      <c r="I37" s="44">
        <f t="shared" si="5"/>
        <v>1024.603000000001</v>
      </c>
    </row>
    <row r="38" spans="1:9" ht="14.25">
      <c r="A38" s="47" t="str">
        <f>HLOOKUP(INDICE!$F$2,Nombres!$C$3:$D$636,58,FALSE)</f>
        <v>Total assets / Liabilities and equity</v>
      </c>
      <c r="B38" s="51">
        <v>63503.95100004</v>
      </c>
      <c r="C38" s="51">
        <v>63524.859000000004</v>
      </c>
      <c r="D38" s="51">
        <v>58128.126</v>
      </c>
      <c r="E38" s="80">
        <v>59585.127021559994</v>
      </c>
      <c r="F38" s="51">
        <v>58875.871000009996</v>
      </c>
      <c r="G38" s="51">
        <v>59243.347000010006</v>
      </c>
      <c r="H38" s="51">
        <v>61548.91700003</v>
      </c>
      <c r="I38" s="51">
        <v>56244.921</v>
      </c>
    </row>
    <row r="39" spans="1:9" ht="14.25">
      <c r="A39" s="43" t="str">
        <f>HLOOKUP(INDICE!$F$2,Nombres!$C$3:$D$636,59,FALSE)</f>
        <v>Financial liabilities held for trading and designated at fair value through profit or loss</v>
      </c>
      <c r="B39" s="58">
        <v>2336.191</v>
      </c>
      <c r="C39" s="58">
        <v>2248.6989999999996</v>
      </c>
      <c r="D39" s="58">
        <v>2163.924</v>
      </c>
      <c r="E39" s="65">
        <v>2335.963</v>
      </c>
      <c r="F39" s="44">
        <v>2061.667</v>
      </c>
      <c r="G39" s="44">
        <v>1969.616</v>
      </c>
      <c r="H39" s="44">
        <v>1998.7019999999998</v>
      </c>
      <c r="I39" s="44">
        <v>2271.785999999999</v>
      </c>
    </row>
    <row r="40" spans="1:9" ht="15.75" customHeight="1">
      <c r="A40" s="43" t="str">
        <f>HLOOKUP(INDICE!$F$2,Nombres!$C$3:$D$636,60,FALSE)</f>
        <v>Deposits from central banks and credit institutions</v>
      </c>
      <c r="B40" s="58">
        <v>4414.611</v>
      </c>
      <c r="C40" s="58">
        <v>5571.6900000000005</v>
      </c>
      <c r="D40" s="58">
        <v>3726.4350000000004</v>
      </c>
      <c r="E40" s="65">
        <v>3380.7119999999995</v>
      </c>
      <c r="F40" s="44">
        <v>4671.436</v>
      </c>
      <c r="G40" s="44">
        <v>3749.326</v>
      </c>
      <c r="H40" s="44">
        <v>3879.982</v>
      </c>
      <c r="I40" s="44">
        <v>4086.755</v>
      </c>
    </row>
    <row r="41" spans="1:9" ht="14.25">
      <c r="A41" s="43" t="str">
        <f>HLOOKUP(INDICE!$F$2,Nombres!$C$3:$D$636,61,FALSE)</f>
        <v>Deposits from customers</v>
      </c>
      <c r="B41" s="58">
        <v>41058.386</v>
      </c>
      <c r="C41" s="58">
        <v>40131.886</v>
      </c>
      <c r="D41" s="58">
        <v>38130.409999999996</v>
      </c>
      <c r="E41" s="65">
        <v>39353.42600000001</v>
      </c>
      <c r="F41" s="44">
        <v>38089.234</v>
      </c>
      <c r="G41" s="44">
        <v>39858.453</v>
      </c>
      <c r="H41" s="44">
        <v>41281.827999999994</v>
      </c>
      <c r="I41" s="44">
        <v>38341.210999999996</v>
      </c>
    </row>
    <row r="42" spans="1:9" ht="14.25">
      <c r="A42" s="43" t="str">
        <f>HLOOKUP(INDICE!$F$2,Nombres!$C$3:$D$636,62,FALSE)</f>
        <v>Debt certificates</v>
      </c>
      <c r="B42" s="44">
        <v>5120.445076800001</v>
      </c>
      <c r="C42" s="44">
        <v>5018.526176</v>
      </c>
      <c r="D42" s="44">
        <v>4229.6461632</v>
      </c>
      <c r="E42" s="45">
        <v>4037.0064272399995</v>
      </c>
      <c r="F42" s="44">
        <v>4242.74763894</v>
      </c>
      <c r="G42" s="44">
        <v>3869.5861344400005</v>
      </c>
      <c r="H42" s="44">
        <v>3971.0202847</v>
      </c>
      <c r="I42" s="44">
        <v>3618.19992327</v>
      </c>
    </row>
    <row r="43" spans="1:9" ht="14.25">
      <c r="A43" s="43"/>
      <c r="B43" s="44"/>
      <c r="C43" s="44"/>
      <c r="D43" s="44"/>
      <c r="E43" s="45"/>
      <c r="F43" s="44"/>
      <c r="G43" s="44"/>
      <c r="H43" s="44"/>
      <c r="I43" s="44"/>
    </row>
    <row r="44" spans="1:9" ht="14.25">
      <c r="A44" s="43" t="str">
        <f>HLOOKUP(INDICE!$F$2,Nombres!$C$3:$D$636,63,FALSE)</f>
        <v>Other liabilities</v>
      </c>
      <c r="B44" s="58">
        <f>+B38-B39-B40-B41-B42-B45</f>
        <v>3479.0703696400014</v>
      </c>
      <c r="C44" s="58">
        <f aca="true" t="shared" si="6" ref="C44:I44">+C38-C39-C40-C41-C42-C45</f>
        <v>3715.6891158000035</v>
      </c>
      <c r="D44" s="58">
        <f t="shared" si="6"/>
        <v>3901.206617970004</v>
      </c>
      <c r="E44" s="65">
        <f t="shared" si="6"/>
        <v>4308.340876909984</v>
      </c>
      <c r="F44" s="44">
        <f t="shared" si="6"/>
        <v>3364.9573332099962</v>
      </c>
      <c r="G44" s="44">
        <f t="shared" si="6"/>
        <v>3685.0812602700025</v>
      </c>
      <c r="H44" s="44">
        <f t="shared" si="6"/>
        <v>3735.150638970006</v>
      </c>
      <c r="I44" s="44">
        <f t="shared" si="6"/>
        <v>2165.6852954000087</v>
      </c>
    </row>
    <row r="45" spans="1:9" ht="14.25">
      <c r="A45" s="43" t="str">
        <f>HLOOKUP(INDICE!$F$2,Nombres!$C$3:$D$636,282,FALSE)</f>
        <v>Regulatory capital allocated</v>
      </c>
      <c r="B45" s="44">
        <v>7095.2475536</v>
      </c>
      <c r="C45" s="44">
        <v>6838.3687082</v>
      </c>
      <c r="D45" s="44">
        <v>5976.50421883</v>
      </c>
      <c r="E45" s="44">
        <v>6169.678717410001</v>
      </c>
      <c r="F45" s="44">
        <v>6445.829027860001</v>
      </c>
      <c r="G45" s="44">
        <v>6111.284605299999</v>
      </c>
      <c r="H45" s="44">
        <v>6682.234076359999</v>
      </c>
      <c r="I45" s="44">
        <v>5761.28378133</v>
      </c>
    </row>
    <row r="46" spans="1:9" ht="14.25">
      <c r="A46" s="62"/>
      <c r="B46" s="58"/>
      <c r="C46" s="58"/>
      <c r="D46" s="58"/>
      <c r="E46" s="58"/>
      <c r="F46" s="77"/>
      <c r="G46" s="77"/>
      <c r="H46" s="77"/>
      <c r="I46" s="77"/>
    </row>
    <row r="47" spans="1:9" ht="14.25">
      <c r="A47" s="43"/>
      <c r="B47" s="58"/>
      <c r="C47" s="58"/>
      <c r="D47" s="58"/>
      <c r="E47" s="58"/>
      <c r="F47" s="77"/>
      <c r="G47" s="77"/>
      <c r="H47" s="77"/>
      <c r="I47" s="77"/>
    </row>
    <row r="48" spans="1:9" ht="16.5">
      <c r="A48" s="33" t="str">
        <f>HLOOKUP(INDICE!$F$2,Nombres!$C$3:$D$636,65,FALSE)</f>
        <v>Relevant business indicators</v>
      </c>
      <c r="B48" s="34"/>
      <c r="C48" s="34"/>
      <c r="D48" s="34"/>
      <c r="E48" s="34"/>
      <c r="F48" s="81"/>
      <c r="G48" s="81"/>
      <c r="H48" s="81"/>
      <c r="I48" s="81"/>
    </row>
    <row r="49" spans="1:9" ht="14.25">
      <c r="A49" s="35" t="str">
        <f>HLOOKUP(INDICE!$F$2,Nombres!$C$3:$D$636,32,FALSE)</f>
        <v>(Million euros)</v>
      </c>
      <c r="B49" s="30"/>
      <c r="C49" s="30"/>
      <c r="D49" s="30"/>
      <c r="E49" s="30"/>
      <c r="F49" s="79"/>
      <c r="G49" s="77"/>
      <c r="H49" s="77"/>
      <c r="I49" s="77"/>
    </row>
    <row r="50" spans="1:9" ht="14.25">
      <c r="A50" s="30"/>
      <c r="B50" s="53">
        <f aca="true" t="shared" si="7" ref="B50:I50">+B$30</f>
        <v>43921</v>
      </c>
      <c r="C50" s="53">
        <f t="shared" si="7"/>
        <v>44012</v>
      </c>
      <c r="D50" s="53">
        <f t="shared" si="7"/>
        <v>44104</v>
      </c>
      <c r="E50" s="68">
        <f t="shared" si="7"/>
        <v>44196</v>
      </c>
      <c r="F50" s="76">
        <f t="shared" si="7"/>
        <v>44286</v>
      </c>
      <c r="G50" s="76">
        <f t="shared" si="7"/>
        <v>44377</v>
      </c>
      <c r="H50" s="76">
        <f t="shared" si="7"/>
        <v>44469</v>
      </c>
      <c r="I50" s="76">
        <f t="shared" si="7"/>
        <v>44561</v>
      </c>
    </row>
    <row r="51" spans="1:9" ht="14.25">
      <c r="A51" s="43" t="str">
        <f>HLOOKUP(INDICE!$F$2,Nombres!$C$3:$D$636,66,FALSE)</f>
        <v>Loans and advances to customers (gross) (*)</v>
      </c>
      <c r="B51" s="44">
        <v>42779.227999999996</v>
      </c>
      <c r="C51" s="44">
        <v>44061.442</v>
      </c>
      <c r="D51" s="44">
        <v>39401.64</v>
      </c>
      <c r="E51" s="45">
        <v>39633.030999999995</v>
      </c>
      <c r="F51" s="44">
        <v>39266.594000000005</v>
      </c>
      <c r="G51" s="44">
        <v>39186.41300000001</v>
      </c>
      <c r="H51" s="44">
        <v>41346.916</v>
      </c>
      <c r="I51" s="44">
        <v>33450.820999999996</v>
      </c>
    </row>
    <row r="52" spans="1:9" ht="14.25">
      <c r="A52" s="43" t="str">
        <f>HLOOKUP(INDICE!$F$2,Nombres!$C$3:$D$636,67,FALSE)</f>
        <v>Customer deposits under management (*)</v>
      </c>
      <c r="B52" s="44">
        <v>41050.208999999995</v>
      </c>
      <c r="C52" s="44">
        <v>39929.238999999994</v>
      </c>
      <c r="D52" s="44">
        <v>38125.38</v>
      </c>
      <c r="E52" s="45">
        <v>39345.543000000005</v>
      </c>
      <c r="F52" s="44">
        <v>38086.758</v>
      </c>
      <c r="G52" s="44">
        <v>39856.34500000001</v>
      </c>
      <c r="H52" s="44">
        <v>41279.562999999995</v>
      </c>
      <c r="I52" s="44">
        <v>38334.89699999999</v>
      </c>
    </row>
    <row r="53" spans="1:9" ht="14.25">
      <c r="A53" s="43" t="str">
        <f>HLOOKUP(INDICE!$F$2,Nombres!$C$3:$D$636,68,FALSE)</f>
        <v>Mutual funds</v>
      </c>
      <c r="B53" s="44">
        <v>1502.553</v>
      </c>
      <c r="C53" s="44">
        <v>1754.509</v>
      </c>
      <c r="D53" s="44">
        <v>1216.837</v>
      </c>
      <c r="E53" s="45">
        <v>1087.446</v>
      </c>
      <c r="F53" s="44">
        <v>1232.623</v>
      </c>
      <c r="G53" s="44">
        <v>1453.084</v>
      </c>
      <c r="H53" s="44">
        <v>1978.496</v>
      </c>
      <c r="I53" s="44">
        <v>1721.798</v>
      </c>
    </row>
    <row r="54" spans="1:9" ht="14.25">
      <c r="A54" s="43" t="str">
        <f>HLOOKUP(INDICE!$F$2,Nombres!$C$3:$D$636,69,FALSE)</f>
        <v>Pension funds</v>
      </c>
      <c r="B54" s="44">
        <v>2360.204</v>
      </c>
      <c r="C54" s="44">
        <v>2457.219</v>
      </c>
      <c r="D54" s="44">
        <v>2214.174</v>
      </c>
      <c r="E54" s="45">
        <v>2337.185</v>
      </c>
      <c r="F54" s="44">
        <v>2434.119</v>
      </c>
      <c r="G54" s="44">
        <v>2482.271</v>
      </c>
      <c r="H54" s="44">
        <v>2586.371</v>
      </c>
      <c r="I54" s="44">
        <v>2172.906</v>
      </c>
    </row>
    <row r="55" spans="1:9" ht="14.25">
      <c r="A55" s="43" t="str">
        <f>HLOOKUP(INDICE!$F$2,Nombres!$C$3:$D$636,70,FALSE)</f>
        <v>Other off balance-sheet funds</v>
      </c>
      <c r="B55" s="44">
        <v>0</v>
      </c>
      <c r="C55" s="44">
        <v>0</v>
      </c>
      <c r="D55" s="44">
        <v>0</v>
      </c>
      <c r="E55" s="45">
        <v>0</v>
      </c>
      <c r="F55" s="44">
        <v>0</v>
      </c>
      <c r="G55" s="44">
        <v>0</v>
      </c>
      <c r="H55" s="44">
        <v>0</v>
      </c>
      <c r="I55" s="44">
        <v>0</v>
      </c>
    </row>
    <row r="56" spans="1:9" ht="14.25">
      <c r="A56" s="62" t="str">
        <f>HLOOKUP(INDICE!$F$2,Nombres!$C$3:$D$636,71,FALSE)</f>
        <v>(*) Excluding repos. </v>
      </c>
      <c r="B56" s="58"/>
      <c r="C56" s="58"/>
      <c r="D56" s="58"/>
      <c r="E56" s="58"/>
      <c r="F56" s="58"/>
      <c r="G56" s="58"/>
      <c r="H56" s="58"/>
      <c r="I56" s="58"/>
    </row>
    <row r="57" spans="1:9" ht="14.25">
      <c r="A57" s="62">
        <f>HLOOKUP(INDICE!$F$2,Nombres!$C$3:$D$636,72,FALSE)</f>
        <v>0</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Income statement  </v>
      </c>
      <c r="B59" s="34"/>
      <c r="C59" s="34"/>
      <c r="D59" s="34"/>
      <c r="E59" s="34"/>
      <c r="F59" s="34"/>
      <c r="G59" s="34"/>
      <c r="H59" s="34"/>
      <c r="I59" s="34"/>
    </row>
    <row r="60" spans="1:9" ht="14.25">
      <c r="A60" s="35" t="str">
        <f>HLOOKUP(INDICE!$F$2,Nombres!$C$3:$D$636,73,FALSE)</f>
        <v>(Constant million euros)    </v>
      </c>
      <c r="B60" s="30"/>
      <c r="C60" s="36"/>
      <c r="D60" s="36"/>
      <c r="E60" s="36"/>
      <c r="F60" s="30"/>
      <c r="G60" s="30"/>
      <c r="H60" s="30"/>
      <c r="I60" s="3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39" t="str">
        <f>+B$7</f>
        <v>1Q</v>
      </c>
      <c r="C63" s="39" t="str">
        <f aca="true" t="shared" si="8" ref="C63:I63">+C$7</f>
        <v>2Q</v>
      </c>
      <c r="D63" s="39" t="str">
        <f t="shared" si="8"/>
        <v>3Q</v>
      </c>
      <c r="E63" s="40" t="str">
        <f t="shared" si="8"/>
        <v>4Q</v>
      </c>
      <c r="F63" s="39" t="str">
        <f t="shared" si="8"/>
        <v>1Q</v>
      </c>
      <c r="G63" s="39" t="str">
        <f t="shared" si="8"/>
        <v>2Q</v>
      </c>
      <c r="H63" s="39" t="str">
        <f t="shared" si="8"/>
        <v>3Q</v>
      </c>
      <c r="I63" s="39" t="str">
        <f t="shared" si="8"/>
        <v>4Q</v>
      </c>
    </row>
    <row r="64" spans="1:9" ht="14.25">
      <c r="A64" s="41" t="str">
        <f>HLOOKUP(INDICE!$F$2,Nombres!$C$3:$D$636,33,FALSE)</f>
        <v>Net interest income</v>
      </c>
      <c r="B64" s="41">
        <v>525.9234969153135</v>
      </c>
      <c r="C64" s="41">
        <v>518.7671268339831</v>
      </c>
      <c r="D64" s="41">
        <v>559.3622307947628</v>
      </c>
      <c r="E64" s="42">
        <v>528.0721891616009</v>
      </c>
      <c r="F64" s="50">
        <v>449.37630298297165</v>
      </c>
      <c r="G64" s="50">
        <v>489.82419150869663</v>
      </c>
      <c r="H64" s="50">
        <v>586.47122074654</v>
      </c>
      <c r="I64" s="50">
        <v>844.5682847717916</v>
      </c>
    </row>
    <row r="65" spans="1:9" ht="14.25">
      <c r="A65" s="43" t="str">
        <f>HLOOKUP(INDICE!$F$2,Nombres!$C$3:$D$636,34,FALSE)</f>
        <v>Net fees and commissions</v>
      </c>
      <c r="B65" s="44">
        <v>105.93646511869483</v>
      </c>
      <c r="C65" s="44">
        <v>73.91519786031094</v>
      </c>
      <c r="D65" s="44">
        <v>103.16225312699835</v>
      </c>
      <c r="E65" s="45">
        <v>107.9478888427575</v>
      </c>
      <c r="F65" s="44">
        <v>131.01904847277677</v>
      </c>
      <c r="G65" s="44">
        <v>138.2210189019325</v>
      </c>
      <c r="H65" s="44">
        <v>140.08750468361103</v>
      </c>
      <c r="I65" s="44">
        <v>155.0954279716797</v>
      </c>
    </row>
    <row r="66" spans="1:9" ht="14.25">
      <c r="A66" s="43" t="str">
        <f>HLOOKUP(INDICE!$F$2,Nombres!$C$3:$D$636,35,FALSE)</f>
        <v>Net trading income</v>
      </c>
      <c r="B66" s="44">
        <v>42.89955138638466</v>
      </c>
      <c r="C66" s="44">
        <v>43.31804051338092</v>
      </c>
      <c r="D66" s="44">
        <v>62.78242957722621</v>
      </c>
      <c r="E66" s="45">
        <v>25.09186086826276</v>
      </c>
      <c r="F66" s="44">
        <v>106.6109688038578</v>
      </c>
      <c r="G66" s="44">
        <v>56.2350128483904</v>
      </c>
      <c r="H66" s="44">
        <v>57.81396382839762</v>
      </c>
      <c r="I66" s="44">
        <v>192.61505451935415</v>
      </c>
    </row>
    <row r="67" spans="1:9" ht="14.25">
      <c r="A67" s="43" t="str">
        <f>HLOOKUP(INDICE!$F$2,Nombres!$C$3:$D$636,36,FALSE)</f>
        <v>Other operating income and expenses</v>
      </c>
      <c r="B67" s="44">
        <v>14.034800729281379</v>
      </c>
      <c r="C67" s="44">
        <v>7.706677458198837</v>
      </c>
      <c r="D67" s="44">
        <v>14.955152667393792</v>
      </c>
      <c r="E67" s="45">
        <v>4.054831167320906</v>
      </c>
      <c r="F67" s="44">
        <v>20.738891229167344</v>
      </c>
      <c r="G67" s="44">
        <v>32.15179119371497</v>
      </c>
      <c r="H67" s="44">
        <v>22.092297004863347</v>
      </c>
      <c r="I67" s="44">
        <v>-0.8469794277456995</v>
      </c>
    </row>
    <row r="68" spans="1:9" ht="14.25">
      <c r="A68" s="41" t="str">
        <f>HLOOKUP(INDICE!$F$2,Nombres!$C$3:$D$636,37,FALSE)</f>
        <v>Gross income</v>
      </c>
      <c r="B68" s="41">
        <f>+SUM(B64:B67)</f>
        <v>688.7943141496745</v>
      </c>
      <c r="C68" s="41">
        <f aca="true" t="shared" si="9" ref="C68:I68">+SUM(C64:C67)</f>
        <v>643.7070426658737</v>
      </c>
      <c r="D68" s="41">
        <f t="shared" si="9"/>
        <v>740.2620661663813</v>
      </c>
      <c r="E68" s="42">
        <f t="shared" si="9"/>
        <v>665.1667700399421</v>
      </c>
      <c r="F68" s="50">
        <f t="shared" si="9"/>
        <v>707.7452114887735</v>
      </c>
      <c r="G68" s="50">
        <f t="shared" si="9"/>
        <v>716.4320144527345</v>
      </c>
      <c r="H68" s="50">
        <f t="shared" si="9"/>
        <v>806.464986263412</v>
      </c>
      <c r="I68" s="50">
        <f t="shared" si="9"/>
        <v>1191.4317878350796</v>
      </c>
    </row>
    <row r="69" spans="1:9" ht="14.25">
      <c r="A69" s="43" t="str">
        <f>HLOOKUP(INDICE!$F$2,Nombres!$C$3:$D$636,38,FALSE)</f>
        <v>Operating expenses</v>
      </c>
      <c r="B69" s="44">
        <v>-198.8763274159627</v>
      </c>
      <c r="C69" s="44">
        <v>-184.11387022543494</v>
      </c>
      <c r="D69" s="44">
        <v>-189.57219426836022</v>
      </c>
      <c r="E69" s="45">
        <v>-216.22539120133908</v>
      </c>
      <c r="F69" s="44">
        <v>-224.83507538572053</v>
      </c>
      <c r="G69" s="44">
        <v>-227.0669989928375</v>
      </c>
      <c r="H69" s="44">
        <v>-226.4081902253155</v>
      </c>
      <c r="I69" s="44">
        <v>-330.0715159161264</v>
      </c>
    </row>
    <row r="70" spans="1:9" ht="14.25">
      <c r="A70" s="43" t="str">
        <f>HLOOKUP(INDICE!$F$2,Nombres!$C$3:$D$636,39,FALSE)</f>
        <v>  Administration expenses</v>
      </c>
      <c r="B70" s="44">
        <v>-168.16840803871634</v>
      </c>
      <c r="C70" s="44">
        <v>-158.13458324795042</v>
      </c>
      <c r="D70" s="44">
        <v>-160.53963309678997</v>
      </c>
      <c r="E70" s="45">
        <v>-187.37484635024583</v>
      </c>
      <c r="F70" s="44">
        <v>-196.17652261410532</v>
      </c>
      <c r="G70" s="44">
        <v>-198.0898691487058</v>
      </c>
      <c r="H70" s="44">
        <v>-196.70583559920993</v>
      </c>
      <c r="I70" s="44">
        <v>-299.03546717797894</v>
      </c>
    </row>
    <row r="71" spans="1:9" ht="14.25">
      <c r="A71" s="46" t="str">
        <f>HLOOKUP(INDICE!$F$2,Nombres!$C$3:$D$636,40,FALSE)</f>
        <v>  Personnel expenses</v>
      </c>
      <c r="B71" s="44">
        <v>-100.6365457593426</v>
      </c>
      <c r="C71" s="44">
        <v>-108.48305025541626</v>
      </c>
      <c r="D71" s="44">
        <v>-107.2403098086675</v>
      </c>
      <c r="E71" s="45">
        <v>-113.4182907726461</v>
      </c>
      <c r="F71" s="44">
        <v>-120.39013684198426</v>
      </c>
      <c r="G71" s="44">
        <v>-134.81124281350708</v>
      </c>
      <c r="H71" s="44">
        <v>-134.08750004470207</v>
      </c>
      <c r="I71" s="44">
        <v>-203.9632092398066</v>
      </c>
    </row>
    <row r="72" spans="1:9" ht="14.25">
      <c r="A72" s="46" t="str">
        <f>HLOOKUP(INDICE!$F$2,Nombres!$C$3:$D$636,41,FALSE)</f>
        <v>  General and administrative expenses</v>
      </c>
      <c r="B72" s="44">
        <v>-67.53186227937371</v>
      </c>
      <c r="C72" s="44">
        <v>-49.651532992534165</v>
      </c>
      <c r="D72" s="44">
        <v>-53.299323288122466</v>
      </c>
      <c r="E72" s="45">
        <v>-73.95655557759972</v>
      </c>
      <c r="F72" s="44">
        <v>-75.78638577212106</v>
      </c>
      <c r="G72" s="44">
        <v>-63.27862633519875</v>
      </c>
      <c r="H72" s="44">
        <v>-62.61833555450785</v>
      </c>
      <c r="I72" s="44">
        <v>-95.07225793817233</v>
      </c>
    </row>
    <row r="73" spans="1:9" ht="14.25">
      <c r="A73" s="43" t="str">
        <f>HLOOKUP(INDICE!$F$2,Nombres!$C$3:$D$636,42,FALSE)</f>
        <v>  Depreciation</v>
      </c>
      <c r="B73" s="44">
        <v>-30.70791937724637</v>
      </c>
      <c r="C73" s="44">
        <v>-25.979286977484538</v>
      </c>
      <c r="D73" s="44">
        <v>-29.03256117157025</v>
      </c>
      <c r="E73" s="45">
        <v>-28.85054485109323</v>
      </c>
      <c r="F73" s="44">
        <v>-28.658552771615195</v>
      </c>
      <c r="G73" s="44">
        <v>-28.977129844131714</v>
      </c>
      <c r="H73" s="44">
        <v>-29.70235462610563</v>
      </c>
      <c r="I73" s="44">
        <v>-31.036048738147457</v>
      </c>
    </row>
    <row r="74" spans="1:9" ht="14.25">
      <c r="A74" s="41" t="str">
        <f>HLOOKUP(INDICE!$F$2,Nombres!$C$3:$D$636,43,FALSE)</f>
        <v>Operating income</v>
      </c>
      <c r="B74" s="41">
        <f>+B68+B69</f>
        <v>489.9179867337118</v>
      </c>
      <c r="C74" s="41">
        <f aca="true" t="shared" si="10" ref="C74:I74">+C68+C69</f>
        <v>459.59317244043876</v>
      </c>
      <c r="D74" s="41">
        <f t="shared" si="10"/>
        <v>550.689871898021</v>
      </c>
      <c r="E74" s="42">
        <f t="shared" si="10"/>
        <v>448.941378838603</v>
      </c>
      <c r="F74" s="50">
        <f t="shared" si="10"/>
        <v>482.910136103053</v>
      </c>
      <c r="G74" s="50">
        <f t="shared" si="10"/>
        <v>489.365015459897</v>
      </c>
      <c r="H74" s="50">
        <f t="shared" si="10"/>
        <v>580.0567960380965</v>
      </c>
      <c r="I74" s="50">
        <f t="shared" si="10"/>
        <v>861.3602719189532</v>
      </c>
    </row>
    <row r="75" spans="1:9" ht="14.25">
      <c r="A75" s="43" t="str">
        <f>HLOOKUP(INDICE!$F$2,Nombres!$C$3:$D$636,44,FALSE)</f>
        <v>Impaiment on financial assets not measured at fair value through profit or loss</v>
      </c>
      <c r="B75" s="44">
        <v>-258.78801731299825</v>
      </c>
      <c r="C75" s="44">
        <v>-162.2912360539572</v>
      </c>
      <c r="D75" s="44">
        <v>-70.4012031851</v>
      </c>
      <c r="E75" s="45">
        <v>-194.23700191499904</v>
      </c>
      <c r="F75" s="44">
        <v>-104.23753677570804</v>
      </c>
      <c r="G75" s="44">
        <v>-47.83507156471218</v>
      </c>
      <c r="H75" s="44">
        <v>-65.02472842355542</v>
      </c>
      <c r="I75" s="44">
        <v>-277.0456632660243</v>
      </c>
    </row>
    <row r="76" spans="1:9" ht="14.25">
      <c r="A76" s="43" t="str">
        <f>HLOOKUP(INDICE!$F$2,Nombres!$C$3:$D$636,45,FALSE)</f>
        <v>Provisions or reversal of provisions and other results</v>
      </c>
      <c r="B76" s="44">
        <v>-12.974601780780182</v>
      </c>
      <c r="C76" s="44">
        <v>-28.393446005069297</v>
      </c>
      <c r="D76" s="44">
        <v>-9.20398362414379</v>
      </c>
      <c r="E76" s="45">
        <v>-46.52213675602694</v>
      </c>
      <c r="F76" s="44">
        <v>29.53849442255789</v>
      </c>
      <c r="G76" s="44">
        <v>13.625697278682866</v>
      </c>
      <c r="H76" s="44">
        <v>11.605719384766157</v>
      </c>
      <c r="I76" s="44">
        <v>-21.36991108600695</v>
      </c>
    </row>
    <row r="77" spans="1:9" ht="14.25">
      <c r="A77" s="41" t="str">
        <f>HLOOKUP(INDICE!$F$2,Nombres!$C$3:$D$636,46,FALSE)</f>
        <v>Profit/(loss) before tax</v>
      </c>
      <c r="B77" s="41">
        <f>+B74+B75+B76</f>
        <v>218.1553676399334</v>
      </c>
      <c r="C77" s="41">
        <f aca="true" t="shared" si="11" ref="C77:I77">+C74+C75+C76</f>
        <v>268.90849038141226</v>
      </c>
      <c r="D77" s="41">
        <f t="shared" si="11"/>
        <v>471.0846850887772</v>
      </c>
      <c r="E77" s="42">
        <f t="shared" si="11"/>
        <v>208.182240167577</v>
      </c>
      <c r="F77" s="50">
        <f t="shared" si="11"/>
        <v>408.2110937499029</v>
      </c>
      <c r="G77" s="50">
        <f t="shared" si="11"/>
        <v>455.1556411738677</v>
      </c>
      <c r="H77" s="50">
        <f t="shared" si="11"/>
        <v>526.6377869993073</v>
      </c>
      <c r="I77" s="50">
        <f t="shared" si="11"/>
        <v>562.944697566922</v>
      </c>
    </row>
    <row r="78" spans="1:9" ht="14.25">
      <c r="A78" s="43" t="str">
        <f>HLOOKUP(INDICE!$F$2,Nombres!$C$3:$D$636,47,FALSE)</f>
        <v>Income tax</v>
      </c>
      <c r="B78" s="44">
        <v>-50.21542768703755</v>
      </c>
      <c r="C78" s="44">
        <v>-69.06617980138134</v>
      </c>
      <c r="D78" s="44">
        <v>-103.10433475957359</v>
      </c>
      <c r="E78" s="45">
        <v>-68.57304196558954</v>
      </c>
      <c r="F78" s="44">
        <v>-79.67892762393829</v>
      </c>
      <c r="G78" s="44">
        <v>-78.52455018251153</v>
      </c>
      <c r="H78" s="44">
        <v>-140.20385515001104</v>
      </c>
      <c r="I78" s="44">
        <v>-156.79963287353917</v>
      </c>
    </row>
    <row r="79" spans="1:9" ht="14.25">
      <c r="A79" s="41" t="str">
        <f>HLOOKUP(INDICE!$F$2,Nombres!$C$3:$D$636,48,FALSE)</f>
        <v>Profit/(loss) for the year</v>
      </c>
      <c r="B79" s="41">
        <f>+B77+B78</f>
        <v>167.93993995289583</v>
      </c>
      <c r="C79" s="41">
        <f aca="true" t="shared" si="12" ref="C79:I79">+C77+C78</f>
        <v>199.84231058003093</v>
      </c>
      <c r="D79" s="41">
        <f t="shared" si="12"/>
        <v>367.9803503292036</v>
      </c>
      <c r="E79" s="42">
        <f t="shared" si="12"/>
        <v>139.60919820198745</v>
      </c>
      <c r="F79" s="50">
        <f t="shared" si="12"/>
        <v>328.5321661259646</v>
      </c>
      <c r="G79" s="50">
        <f t="shared" si="12"/>
        <v>376.6310909913562</v>
      </c>
      <c r="H79" s="50">
        <f t="shared" si="12"/>
        <v>386.4339318492963</v>
      </c>
      <c r="I79" s="50">
        <f t="shared" si="12"/>
        <v>406.1450646933828</v>
      </c>
    </row>
    <row r="80" spans="1:9" ht="14.25">
      <c r="A80" s="43" t="str">
        <f>HLOOKUP(INDICE!$F$2,Nombres!$C$3:$D$636,49,FALSE)</f>
        <v>Non-controlling interests</v>
      </c>
      <c r="B80" s="44">
        <v>-85.28953986556482</v>
      </c>
      <c r="C80" s="44">
        <v>-101.27045520724926</v>
      </c>
      <c r="D80" s="44">
        <v>-185.80664128841815</v>
      </c>
      <c r="E80" s="45">
        <v>-71.41339083689589</v>
      </c>
      <c r="F80" s="44">
        <v>-166.52803547669401</v>
      </c>
      <c r="G80" s="44">
        <v>-190.4471354107124</v>
      </c>
      <c r="H80" s="44">
        <v>-195.47500909942852</v>
      </c>
      <c r="I80" s="44">
        <v>-205.69082001316514</v>
      </c>
    </row>
    <row r="81" spans="1:9" ht="14.25">
      <c r="A81" s="47" t="str">
        <f>HLOOKUP(INDICE!$F$2,Nombres!$C$3:$D$636,50,FALSE)</f>
        <v>Net attributable profit</v>
      </c>
      <c r="B81" s="47">
        <f>+B79+B80</f>
        <v>82.65040008733101</v>
      </c>
      <c r="C81" s="47">
        <f aca="true" t="shared" si="13" ref="C81:I81">+C79+C80</f>
        <v>98.57185537278167</v>
      </c>
      <c r="D81" s="47">
        <f t="shared" si="13"/>
        <v>182.17370904078544</v>
      </c>
      <c r="E81" s="47">
        <f t="shared" si="13"/>
        <v>68.19580736509157</v>
      </c>
      <c r="F81" s="51">
        <f t="shared" si="13"/>
        <v>162.00413064927056</v>
      </c>
      <c r="G81" s="51">
        <f t="shared" si="13"/>
        <v>186.18395558064378</v>
      </c>
      <c r="H81" s="51">
        <f t="shared" si="13"/>
        <v>190.95892274986778</v>
      </c>
      <c r="I81" s="51">
        <f t="shared" si="13"/>
        <v>200.45424468021764</v>
      </c>
    </row>
    <row r="82" spans="1:9" ht="14.25">
      <c r="A82" s="62"/>
      <c r="B82" s="63">
        <v>1.4210854715202004E-13</v>
      </c>
      <c r="C82" s="63">
        <v>0</v>
      </c>
      <c r="D82" s="63">
        <v>0</v>
      </c>
      <c r="E82" s="63">
        <v>0</v>
      </c>
      <c r="F82" s="63">
        <v>0</v>
      </c>
      <c r="G82" s="63">
        <v>0</v>
      </c>
      <c r="H82" s="63">
        <v>0</v>
      </c>
      <c r="I82" s="63">
        <v>-2.2737367544323206E-13</v>
      </c>
    </row>
    <row r="83" spans="1:9" ht="14.25">
      <c r="A83" s="41"/>
      <c r="B83" s="41"/>
      <c r="C83" s="41"/>
      <c r="D83" s="41"/>
      <c r="E83" s="41"/>
      <c r="F83" s="50"/>
      <c r="G83" s="50"/>
      <c r="H83" s="50"/>
      <c r="I83" s="50"/>
    </row>
    <row r="84" spans="1:9" ht="16.5">
      <c r="A84" s="33" t="str">
        <f>HLOOKUP(INDICE!$F$2,Nombres!$C$3:$D$636,51,FALSE)</f>
        <v>Balance sheets</v>
      </c>
      <c r="B84" s="34"/>
      <c r="C84" s="34"/>
      <c r="D84" s="34"/>
      <c r="E84" s="34"/>
      <c r="F84" s="69"/>
      <c r="G84" s="69"/>
      <c r="H84" s="69"/>
      <c r="I84" s="69"/>
    </row>
    <row r="85" spans="1:9" ht="14.25">
      <c r="A85" s="35" t="str">
        <f>HLOOKUP(INDICE!$F$2,Nombres!$C$3:$D$636,73,FALSE)</f>
        <v>(Constant million euros)    </v>
      </c>
      <c r="B85" s="30"/>
      <c r="C85" s="52"/>
      <c r="D85" s="52"/>
      <c r="E85" s="52"/>
      <c r="F85" s="70"/>
      <c r="G85" s="44"/>
      <c r="H85" s="44"/>
      <c r="I85" s="44"/>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43" t="str">
        <f>HLOOKUP(INDICE!$F$2,Nombres!$C$3:$D$636,52,FALSE)</f>
        <v>Cash, cash balances at central banks and other demand deposits</v>
      </c>
      <c r="B87" s="44">
        <v>2457.142757134178</v>
      </c>
      <c r="C87" s="44">
        <v>2765.992072295503</v>
      </c>
      <c r="D87" s="44">
        <v>3291.2958826886534</v>
      </c>
      <c r="E87" s="45">
        <v>3276.6037835498514</v>
      </c>
      <c r="F87" s="44">
        <v>4265.921188518235</v>
      </c>
      <c r="G87" s="44">
        <v>4509.9792300087565</v>
      </c>
      <c r="H87" s="44">
        <v>4230.185828477565</v>
      </c>
      <c r="I87" s="44">
        <v>7763.787</v>
      </c>
    </row>
    <row r="88" spans="1:9" ht="14.25">
      <c r="A88" s="43" t="str">
        <f>HLOOKUP(INDICE!$F$2,Nombres!$C$3:$D$636,53,FALSE)</f>
        <v>Financial assets designated at fair value </v>
      </c>
      <c r="B88" s="58">
        <v>2393.133537125467</v>
      </c>
      <c r="C88" s="58">
        <v>2878.3946454864713</v>
      </c>
      <c r="D88" s="58">
        <v>3243.2757884884313</v>
      </c>
      <c r="E88" s="65">
        <v>3189.464158033533</v>
      </c>
      <c r="F88" s="44">
        <v>3506.1601519834867</v>
      </c>
      <c r="G88" s="44">
        <v>3491.6200118989063</v>
      </c>
      <c r="H88" s="44">
        <v>3662.129693514789</v>
      </c>
      <c r="I88" s="44">
        <v>5289.342999999999</v>
      </c>
    </row>
    <row r="89" spans="1:9" ht="14.25">
      <c r="A89" s="43" t="str">
        <f>HLOOKUP(INDICE!$F$2,Nombres!$C$3:$D$636,54,FALSE)</f>
        <v>Financial assets at amortized cost</v>
      </c>
      <c r="B89" s="44">
        <v>24060.84299185437</v>
      </c>
      <c r="C89" s="44">
        <v>25234.551777446806</v>
      </c>
      <c r="D89" s="44">
        <v>27028.724793677593</v>
      </c>
      <c r="E89" s="45">
        <v>27940.50197814748</v>
      </c>
      <c r="F89" s="44">
        <v>28493.595644596047</v>
      </c>
      <c r="G89" s="44">
        <v>30832.498141944627</v>
      </c>
      <c r="H89" s="44">
        <v>32376.709923468738</v>
      </c>
      <c r="I89" s="44">
        <v>41543.922</v>
      </c>
    </row>
    <row r="90" spans="1:9" ht="14.25">
      <c r="A90" s="43" t="str">
        <f>HLOOKUP(INDICE!$F$2,Nombres!$C$3:$D$636,55,FALSE)</f>
        <v>    of which loans and advances to customers</v>
      </c>
      <c r="B90" s="44">
        <v>18882.656513053164</v>
      </c>
      <c r="C90" s="44">
        <v>20758.708997029713</v>
      </c>
      <c r="D90" s="44">
        <v>21979.065602690345</v>
      </c>
      <c r="E90" s="45">
        <v>22311.154627671007</v>
      </c>
      <c r="F90" s="44">
        <v>23530.327446195133</v>
      </c>
      <c r="G90" s="44">
        <v>25008.049604219414</v>
      </c>
      <c r="H90" s="44">
        <v>26319.31659937437</v>
      </c>
      <c r="I90" s="44">
        <v>31414.156</v>
      </c>
    </row>
    <row r="91" spans="1:9" ht="14.25">
      <c r="A91" s="43"/>
      <c r="B91" s="44"/>
      <c r="C91" s="44"/>
      <c r="D91" s="44"/>
      <c r="E91" s="45"/>
      <c r="F91" s="44"/>
      <c r="G91" s="44"/>
      <c r="H91" s="44"/>
      <c r="I91" s="44"/>
    </row>
    <row r="92" spans="1:9" ht="14.25">
      <c r="A92" s="43" t="str">
        <f>HLOOKUP(INDICE!$F$2,Nombres!$C$3:$D$636,56,FALSE)</f>
        <v>Tangible assets</v>
      </c>
      <c r="B92" s="44">
        <v>488.8793467502933</v>
      </c>
      <c r="C92" s="44">
        <v>474.67861579541716</v>
      </c>
      <c r="D92" s="44">
        <v>493.97054498248167</v>
      </c>
      <c r="E92" s="45">
        <v>538.8876011236775</v>
      </c>
      <c r="F92" s="44">
        <v>556.1977336159216</v>
      </c>
      <c r="G92" s="44">
        <v>551.6313146710468</v>
      </c>
      <c r="H92" s="44">
        <v>575.4767699908874</v>
      </c>
      <c r="I92" s="44">
        <v>623.266</v>
      </c>
    </row>
    <row r="93" spans="1:9" ht="14.25">
      <c r="A93" s="43" t="str">
        <f>HLOOKUP(INDICE!$F$2,Nombres!$C$3:$D$636,57,FALSE)</f>
        <v>Other assets</v>
      </c>
      <c r="B93" s="58">
        <f>+B94-B92-B89-B88-B87</f>
        <v>640.9323477280459</v>
      </c>
      <c r="C93" s="58">
        <f aca="true" t="shared" si="15" ref="C93:I93">+C94-C92-C89-C88-C87</f>
        <v>656.3064240277631</v>
      </c>
      <c r="D93" s="58">
        <f t="shared" si="15"/>
        <v>662.7788413028748</v>
      </c>
      <c r="E93" s="65">
        <f t="shared" si="15"/>
        <v>700.0094474284338</v>
      </c>
      <c r="F93" s="44">
        <f t="shared" si="15"/>
        <v>764.2246988643346</v>
      </c>
      <c r="G93" s="44">
        <f t="shared" si="15"/>
        <v>752.8201832251088</v>
      </c>
      <c r="H93" s="44">
        <f t="shared" si="15"/>
        <v>763.5919298246363</v>
      </c>
      <c r="I93" s="44">
        <f t="shared" si="15"/>
        <v>1024.603000000001</v>
      </c>
    </row>
    <row r="94" spans="1:9" ht="14.25">
      <c r="A94" s="47" t="str">
        <f>HLOOKUP(INDICE!$F$2,Nombres!$C$3:$D$636,58,FALSE)</f>
        <v>Total assets / Liabilities and equity</v>
      </c>
      <c r="B94" s="47">
        <v>30040.930980592355</v>
      </c>
      <c r="C94" s="47">
        <v>32009.92353505196</v>
      </c>
      <c r="D94" s="47">
        <v>34720.045851140036</v>
      </c>
      <c r="E94" s="47">
        <v>35645.46696828298</v>
      </c>
      <c r="F94" s="47">
        <v>37586.09941757802</v>
      </c>
      <c r="G94" s="47">
        <v>40138.548881748444</v>
      </c>
      <c r="H94" s="47">
        <v>41608.09414527661</v>
      </c>
      <c r="I94" s="47">
        <v>56244.921</v>
      </c>
    </row>
    <row r="95" spans="1:9" ht="14.25">
      <c r="A95" s="43" t="str">
        <f>HLOOKUP(INDICE!$F$2,Nombres!$C$3:$D$636,59,FALSE)</f>
        <v>Financial liabilities held for trading and designated at fair value through profit or loss</v>
      </c>
      <c r="B95" s="58">
        <v>1105.1493880819608</v>
      </c>
      <c r="C95" s="58">
        <v>1133.1104732298236</v>
      </c>
      <c r="D95" s="58">
        <v>1292.5161306315354</v>
      </c>
      <c r="E95" s="65">
        <v>1397.4375170082706</v>
      </c>
      <c r="F95" s="44">
        <v>1316.1592263820041</v>
      </c>
      <c r="G95" s="44">
        <v>1334.4541133751352</v>
      </c>
      <c r="H95" s="44">
        <v>1351.155877922468</v>
      </c>
      <c r="I95" s="44">
        <v>2271.785999999999</v>
      </c>
    </row>
    <row r="96" spans="1:9" ht="14.25">
      <c r="A96" s="43" t="str">
        <f>HLOOKUP(INDICE!$F$2,Nombres!$C$3:$D$636,60,FALSE)</f>
        <v>Deposits from central banks and credit institutions</v>
      </c>
      <c r="B96" s="58">
        <v>2088.358633891618</v>
      </c>
      <c r="C96" s="58">
        <v>2807.5524081212625</v>
      </c>
      <c r="D96" s="58">
        <v>2225.8070742086725</v>
      </c>
      <c r="E96" s="65">
        <v>2022.4351939650005</v>
      </c>
      <c r="F96" s="44">
        <v>2982.224380490663</v>
      </c>
      <c r="G96" s="44">
        <v>2540.2431250986706</v>
      </c>
      <c r="H96" s="44">
        <v>2622.9325259760444</v>
      </c>
      <c r="I96" s="44">
        <v>4086.755</v>
      </c>
    </row>
    <row r="97" spans="1:9" ht="14.25">
      <c r="A97" s="43" t="str">
        <f>HLOOKUP(INDICE!$F$2,Nombres!$C$3:$D$636,61,FALSE)</f>
        <v>Deposits from customers</v>
      </c>
      <c r="B97" s="58">
        <v>19422.91968573329</v>
      </c>
      <c r="C97" s="58">
        <v>20222.29757609414</v>
      </c>
      <c r="D97" s="58">
        <v>22775.370111239587</v>
      </c>
      <c r="E97" s="65">
        <v>23542.305214255844</v>
      </c>
      <c r="F97" s="44">
        <v>24316.000961805723</v>
      </c>
      <c r="G97" s="44">
        <v>27004.896669512997</v>
      </c>
      <c r="H97" s="44">
        <v>27907.20405222205</v>
      </c>
      <c r="I97" s="44">
        <v>38341.210999999996</v>
      </c>
    </row>
    <row r="98" spans="1:9" ht="14.25">
      <c r="A98" s="43" t="str">
        <f>HLOOKUP(INDICE!$F$2,Nombres!$C$3:$D$636,62,FALSE)</f>
        <v>Debt certificates</v>
      </c>
      <c r="B98" s="44">
        <v>2422.2577449073337</v>
      </c>
      <c r="C98" s="44">
        <v>2528.815359549507</v>
      </c>
      <c r="D98" s="44">
        <v>2526.37610784842</v>
      </c>
      <c r="E98" s="45">
        <v>2415.048627837297</v>
      </c>
      <c r="F98" s="44">
        <v>2708.5515993617514</v>
      </c>
      <c r="G98" s="44">
        <v>2621.721764121965</v>
      </c>
      <c r="H98" s="44">
        <v>2684.475924385805</v>
      </c>
      <c r="I98" s="44">
        <v>3618.19992327</v>
      </c>
    </row>
    <row r="99" spans="1:9" ht="14.25">
      <c r="A99" s="43"/>
      <c r="B99" s="44"/>
      <c r="C99" s="44"/>
      <c r="D99" s="44"/>
      <c r="E99" s="45"/>
      <c r="F99" s="44"/>
      <c r="G99" s="44"/>
      <c r="H99" s="44"/>
      <c r="I99" s="44"/>
    </row>
    <row r="100" spans="1:9" ht="14.25">
      <c r="A100" s="43" t="str">
        <f>HLOOKUP(INDICE!$F$2,Nombres!$C$3:$D$636,63,FALSE)</f>
        <v>Other liabilities</v>
      </c>
      <c r="B100" s="58">
        <f>+B94-B95-B96-B97-B98-B101</f>
        <v>1645.7954380021738</v>
      </c>
      <c r="C100" s="58">
        <f aca="true" t="shared" si="16" ref="C100:I100">+C94-C95-C96-C97-C98-C101</f>
        <v>1872.3209519722523</v>
      </c>
      <c r="D100" s="58">
        <f t="shared" si="16"/>
        <v>2330.1985109702173</v>
      </c>
      <c r="E100" s="65">
        <f t="shared" si="16"/>
        <v>2577.3683818854697</v>
      </c>
      <c r="F100" s="44">
        <f t="shared" si="16"/>
        <v>2148.1740943062723</v>
      </c>
      <c r="G100" s="44">
        <f t="shared" si="16"/>
        <v>2496.716032916537</v>
      </c>
      <c r="H100" s="44">
        <f t="shared" si="16"/>
        <v>2525.0241110331617</v>
      </c>
      <c r="I100" s="44">
        <f t="shared" si="16"/>
        <v>2165.6852954000087</v>
      </c>
    </row>
    <row r="101" spans="1:9" ht="14.25">
      <c r="A101" s="43" t="str">
        <f>HLOOKUP(INDICE!$F$2,Nombres!$C$3:$D$636,282,FALSE)</f>
        <v>Regulatory capital allocated</v>
      </c>
      <c r="B101" s="44">
        <v>3356.450089975978</v>
      </c>
      <c r="C101" s="44">
        <v>3445.826766084976</v>
      </c>
      <c r="D101" s="44">
        <v>3569.7779162416055</v>
      </c>
      <c r="E101" s="44">
        <v>3690.872033331094</v>
      </c>
      <c r="F101" s="44">
        <v>4114.989155231608</v>
      </c>
      <c r="G101" s="44">
        <v>4140.517176723141</v>
      </c>
      <c r="H101" s="44">
        <v>4517.301653737089</v>
      </c>
      <c r="I101" s="44">
        <v>5761.28378133</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Relevant business indicators</v>
      </c>
      <c r="B104" s="34"/>
      <c r="C104" s="34"/>
      <c r="D104" s="34"/>
      <c r="E104" s="34"/>
      <c r="F104" s="69"/>
      <c r="G104" s="69"/>
      <c r="H104" s="69"/>
      <c r="I104" s="69"/>
    </row>
    <row r="105" spans="1:9" ht="14.25">
      <c r="A105" s="35" t="str">
        <f>HLOOKUP(INDICE!$F$2,Nombres!$C$3:$D$636,73,FALSE)</f>
        <v>(Constant million euros)    </v>
      </c>
      <c r="B105" s="30"/>
      <c r="C105" s="30"/>
      <c r="D105" s="30"/>
      <c r="E105" s="30"/>
      <c r="F105" s="70"/>
      <c r="G105" s="44"/>
      <c r="H105" s="44"/>
      <c r="I105" s="44"/>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43" t="str">
        <f>HLOOKUP(INDICE!$F$2,Nombres!$C$3:$D$636,66,FALSE)</f>
        <v>Loans and advances to customers (gross) (*)</v>
      </c>
      <c r="B107" s="44">
        <v>20236.97447974874</v>
      </c>
      <c r="C107" s="44">
        <v>22202.38519953467</v>
      </c>
      <c r="D107" s="44">
        <v>23534.678331279996</v>
      </c>
      <c r="E107" s="45">
        <v>23709.572639700124</v>
      </c>
      <c r="F107" s="44">
        <v>25067.62245391532</v>
      </c>
      <c r="G107" s="44">
        <v>26549.576169297412</v>
      </c>
      <c r="H107" s="44">
        <v>27951.204625485207</v>
      </c>
      <c r="I107" s="44">
        <v>33450.820999999996</v>
      </c>
    </row>
    <row r="108" spans="1:9" ht="14.25">
      <c r="A108" s="43" t="str">
        <f>HLOOKUP(INDICE!$F$2,Nombres!$C$3:$D$636,67,FALSE)</f>
        <v>Customer deposits under management (*)</v>
      </c>
      <c r="B108" s="44">
        <v>19419.05150605691</v>
      </c>
      <c r="C108" s="44">
        <v>20120.1845596039</v>
      </c>
      <c r="D108" s="44">
        <v>22772.365682185206</v>
      </c>
      <c r="E108" s="45">
        <v>23537.589386159863</v>
      </c>
      <c r="F108" s="44">
        <v>24314.420294198142</v>
      </c>
      <c r="G108" s="44">
        <v>27003.468457480296</v>
      </c>
      <c r="H108" s="44">
        <v>27905.67287445593</v>
      </c>
      <c r="I108" s="44">
        <v>38334.89699999999</v>
      </c>
    </row>
    <row r="109" spans="1:9" ht="14.25">
      <c r="A109" s="43" t="str">
        <f>HLOOKUP(INDICE!$F$2,Nombres!$C$3:$D$636,68,FALSE)</f>
        <v>Mutual funds</v>
      </c>
      <c r="B109" s="44">
        <v>710.7918524258995</v>
      </c>
      <c r="C109" s="44">
        <v>884.0900997759079</v>
      </c>
      <c r="D109" s="44">
        <v>726.8191724151523</v>
      </c>
      <c r="E109" s="45">
        <v>650.5402003886944</v>
      </c>
      <c r="F109" s="44">
        <v>786.9011504285925</v>
      </c>
      <c r="G109" s="44">
        <v>984.4933839284387</v>
      </c>
      <c r="H109" s="44">
        <v>1337.4962850120182</v>
      </c>
      <c r="I109" s="44">
        <v>1721.798</v>
      </c>
    </row>
    <row r="110" spans="1:9" ht="14.25">
      <c r="A110" s="43" t="str">
        <f>HLOOKUP(INDICE!$F$2,Nombres!$C$3:$D$636,69,FALSE)</f>
        <v>Pension funds</v>
      </c>
      <c r="B110" s="44">
        <v>1116.5088840546841</v>
      </c>
      <c r="C110" s="44">
        <v>1238.1828710375705</v>
      </c>
      <c r="D110" s="44">
        <v>1322.5305560754211</v>
      </c>
      <c r="E110" s="45">
        <v>1398.1685511238725</v>
      </c>
      <c r="F110" s="44">
        <v>1553.930959733913</v>
      </c>
      <c r="G110" s="44">
        <v>1681.7880980159641</v>
      </c>
      <c r="H110" s="44">
        <v>1748.4299205875668</v>
      </c>
      <c r="I110" s="44">
        <v>2172.906</v>
      </c>
    </row>
    <row r="111" spans="1:9" ht="14.25">
      <c r="A111" s="43" t="str">
        <f>HLOOKUP(INDICE!$F$2,Nombres!$C$3:$D$636,70,FALSE)</f>
        <v>Other off balance-sheet funds</v>
      </c>
      <c r="B111" s="44">
        <v>0</v>
      </c>
      <c r="C111" s="44">
        <v>0</v>
      </c>
      <c r="D111" s="44">
        <v>0</v>
      </c>
      <c r="E111" s="45">
        <v>0</v>
      </c>
      <c r="F111" s="44">
        <v>0</v>
      </c>
      <c r="G111" s="44">
        <v>0</v>
      </c>
      <c r="H111" s="44">
        <v>0</v>
      </c>
      <c r="I111" s="44">
        <v>0</v>
      </c>
    </row>
    <row r="112" spans="1:9" ht="14.25">
      <c r="A112" s="62" t="str">
        <f>HLOOKUP(INDICE!$F$2,Nombres!$C$3:$D$636,71,FALSE)</f>
        <v>(*) Excluding repos. </v>
      </c>
      <c r="B112" s="58"/>
      <c r="C112" s="58"/>
      <c r="D112" s="58"/>
      <c r="E112" s="58"/>
      <c r="F112" s="58"/>
      <c r="G112" s="58"/>
      <c r="H112" s="58"/>
      <c r="I112" s="58"/>
    </row>
    <row r="113" spans="1:9" ht="14.25">
      <c r="A113" s="62">
        <f>HLOOKUP(INDICE!$F$2,Nombres!$C$3:$D$636,72,FALSE)</f>
        <v>0</v>
      </c>
      <c r="B113" s="30"/>
      <c r="C113" s="30"/>
      <c r="D113" s="30"/>
      <c r="E113" s="30"/>
      <c r="F113" s="30"/>
      <c r="G113" s="30"/>
      <c r="H113" s="30"/>
      <c r="I113" s="30"/>
    </row>
    <row r="114" spans="1:9" ht="14.25">
      <c r="A114" s="62"/>
      <c r="B114" s="58"/>
      <c r="C114" s="44"/>
      <c r="D114" s="44"/>
      <c r="E114" s="44"/>
      <c r="F114" s="44"/>
      <c r="G114" s="30"/>
      <c r="H114" s="30"/>
      <c r="I114" s="30"/>
    </row>
    <row r="115" spans="1:9" ht="16.5">
      <c r="A115" s="33" t="str">
        <f>HLOOKUP(INDICE!$F$2,Nombres!$C$3:$D$636,31,FALSE)</f>
        <v>Income statement  </v>
      </c>
      <c r="B115" s="34"/>
      <c r="C115" s="34"/>
      <c r="D115" s="34"/>
      <c r="E115" s="34"/>
      <c r="F115" s="34"/>
      <c r="G115" s="34"/>
      <c r="H115" s="34"/>
      <c r="I115" s="34"/>
    </row>
    <row r="116" spans="1:9" ht="14.25">
      <c r="A116" s="35" t="str">
        <f>HLOOKUP(INDICE!$F$2,Nombres!$C$3:$D$636,77,FALSE)</f>
        <v>(Million Turkish liras)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6">
        <f>+B$6</f>
        <v>2020</v>
      </c>
      <c r="C118" s="306"/>
      <c r="D118" s="306"/>
      <c r="E118" s="307"/>
      <c r="F118" s="306">
        <f>+F$6</f>
        <v>2021</v>
      </c>
      <c r="G118" s="306"/>
      <c r="H118" s="306"/>
      <c r="I118" s="306"/>
    </row>
    <row r="119" spans="1:9" ht="14.25">
      <c r="A119" s="38"/>
      <c r="B119" s="39" t="str">
        <f>+B$7</f>
        <v>1Q</v>
      </c>
      <c r="C119" s="39" t="str">
        <f aca="true" t="shared" si="18" ref="C119:I119">+C$7</f>
        <v>2Q</v>
      </c>
      <c r="D119" s="39" t="str">
        <f t="shared" si="18"/>
        <v>3Q</v>
      </c>
      <c r="E119" s="40" t="str">
        <f t="shared" si="18"/>
        <v>4Q</v>
      </c>
      <c r="F119" s="39" t="str">
        <f t="shared" si="18"/>
        <v>1Q</v>
      </c>
      <c r="G119" s="39" t="str">
        <f t="shared" si="18"/>
        <v>2Q</v>
      </c>
      <c r="H119" s="39" t="str">
        <f t="shared" si="18"/>
        <v>3Q</v>
      </c>
      <c r="I119" s="39" t="str">
        <f t="shared" si="18"/>
        <v>4Q</v>
      </c>
    </row>
    <row r="120" spans="1:9" ht="14.25">
      <c r="A120" s="41" t="str">
        <f>HLOOKUP(INDICE!$F$2,Nombres!$C$3:$D$636,33,FALSE)</f>
        <v>Net interest income</v>
      </c>
      <c r="B120" s="41">
        <v>5525.709360629243</v>
      </c>
      <c r="C120" s="41">
        <v>5450.519677379742</v>
      </c>
      <c r="D120" s="41">
        <v>5877.039403665936</v>
      </c>
      <c r="E120" s="42">
        <v>5548.284980330708</v>
      </c>
      <c r="F120" s="50">
        <v>4721.45256563392</v>
      </c>
      <c r="G120" s="50">
        <v>5146.425546600156</v>
      </c>
      <c r="H120" s="50">
        <v>6161.864859102583</v>
      </c>
      <c r="I120" s="50">
        <v>8873.607861649794</v>
      </c>
    </row>
    <row r="121" spans="1:9" ht="14.25">
      <c r="A121" s="43" t="str">
        <f>HLOOKUP(INDICE!$F$2,Nombres!$C$3:$D$636,34,FALSE)</f>
        <v>Net fees and commissions</v>
      </c>
      <c r="B121" s="44">
        <v>1113.0404333933097</v>
      </c>
      <c r="C121" s="44">
        <v>776.6032571373223</v>
      </c>
      <c r="D121" s="44">
        <v>1083.8926785186961</v>
      </c>
      <c r="E121" s="45">
        <v>1134.1738167949545</v>
      </c>
      <c r="F121" s="44">
        <v>1376.5750851845605</v>
      </c>
      <c r="G121" s="44">
        <v>1452.243876650953</v>
      </c>
      <c r="H121" s="44">
        <v>1471.8544436170516</v>
      </c>
      <c r="I121" s="44">
        <v>1629.5378760609156</v>
      </c>
    </row>
    <row r="122" spans="1:9" ht="14.25">
      <c r="A122" s="43" t="str">
        <f>HLOOKUP(INDICE!$F$2,Nombres!$C$3:$D$636,35,FALSE)</f>
        <v>Net trading income</v>
      </c>
      <c r="B122" s="44">
        <v>450.73181565932595</v>
      </c>
      <c r="C122" s="44">
        <v>455.1287465816515</v>
      </c>
      <c r="D122" s="44">
        <v>659.6348344059388</v>
      </c>
      <c r="E122" s="45">
        <v>263.63212765466676</v>
      </c>
      <c r="F122" s="44">
        <v>1120.1272270976117</v>
      </c>
      <c r="G122" s="44">
        <v>590.8432285570483</v>
      </c>
      <c r="H122" s="44">
        <v>607.4327596606674</v>
      </c>
      <c r="I122" s="44">
        <v>2023.7445483959646</v>
      </c>
    </row>
    <row r="123" spans="1:9" ht="14.25">
      <c r="A123" s="43" t="str">
        <f>HLOOKUP(INDICE!$F$2,Nombres!$C$3:$D$636,36,FALSE)</f>
        <v>Other operating income and expenses</v>
      </c>
      <c r="B123" s="44">
        <v>147.45914609105975</v>
      </c>
      <c r="C123" s="44">
        <v>80.97158620957545</v>
      </c>
      <c r="D123" s="44">
        <v>157.12898847180452</v>
      </c>
      <c r="E123" s="45">
        <v>42.60280947410109</v>
      </c>
      <c r="F123" s="44">
        <v>217.8968729600887</v>
      </c>
      <c r="G123" s="44">
        <v>337.8085493463238</v>
      </c>
      <c r="H123" s="44">
        <v>232.11667300202782</v>
      </c>
      <c r="I123" s="44">
        <v>-8.898940966899346</v>
      </c>
    </row>
    <row r="124" spans="1:9" ht="14.25">
      <c r="A124" s="41" t="str">
        <f>HLOOKUP(INDICE!$F$2,Nombres!$C$3:$D$636,37,FALSE)</f>
        <v>Gross income</v>
      </c>
      <c r="B124" s="41">
        <f>+SUM(B120:B123)</f>
        <v>7236.940755772938</v>
      </c>
      <c r="C124" s="41">
        <f aca="true" t="shared" si="19" ref="C124:I124">+SUM(C120:C123)</f>
        <v>6763.223267308291</v>
      </c>
      <c r="D124" s="41">
        <f t="shared" si="19"/>
        <v>7777.6959050623755</v>
      </c>
      <c r="E124" s="42">
        <f t="shared" si="19"/>
        <v>6988.693734254431</v>
      </c>
      <c r="F124" s="50">
        <f t="shared" si="19"/>
        <v>7436.05175087618</v>
      </c>
      <c r="G124" s="50">
        <f t="shared" si="19"/>
        <v>7527.321201154481</v>
      </c>
      <c r="H124" s="50">
        <f t="shared" si="19"/>
        <v>8473.268735382331</v>
      </c>
      <c r="I124" s="50">
        <f t="shared" si="19"/>
        <v>12517.991345139775</v>
      </c>
    </row>
    <row r="125" spans="1:9" ht="14.25">
      <c r="A125" s="43" t="str">
        <f>HLOOKUP(INDICE!$F$2,Nombres!$C$3:$D$636,38,FALSE)</f>
        <v>Operating expenses</v>
      </c>
      <c r="B125" s="44">
        <v>-2089.5297328518227</v>
      </c>
      <c r="C125" s="44">
        <v>-1934.4253339001957</v>
      </c>
      <c r="D125" s="44">
        <v>-1991.7741924970137</v>
      </c>
      <c r="E125" s="45">
        <v>-2271.810776994723</v>
      </c>
      <c r="F125" s="44">
        <v>-2362.26996501111</v>
      </c>
      <c r="G125" s="44">
        <v>-2385.720069903536</v>
      </c>
      <c r="H125" s="44">
        <v>-2378.798177660819</v>
      </c>
      <c r="I125" s="44">
        <v>-3467.9554647631826</v>
      </c>
    </row>
    <row r="126" spans="1:9" ht="14.25">
      <c r="A126" s="43" t="str">
        <f>HLOOKUP(INDICE!$F$2,Nombres!$C$3:$D$636,39,FALSE)</f>
        <v>  Administration expenses</v>
      </c>
      <c r="B126" s="44">
        <v>-1766.8914811982345</v>
      </c>
      <c r="C126" s="44">
        <v>-1661.4693049797474</v>
      </c>
      <c r="D126" s="44">
        <v>-1686.7383917204238</v>
      </c>
      <c r="E126" s="45">
        <v>-1968.6873632701404</v>
      </c>
      <c r="F126" s="44">
        <v>-2061.163750436139</v>
      </c>
      <c r="G126" s="44">
        <v>-2081.2666682908853</v>
      </c>
      <c r="H126" s="44">
        <v>-2066.7250720611464</v>
      </c>
      <c r="I126" s="44">
        <v>-3141.869663244141</v>
      </c>
    </row>
    <row r="127" spans="1:9" ht="14.25">
      <c r="A127" s="46" t="str">
        <f>HLOOKUP(INDICE!$F$2,Nombres!$C$3:$D$636,40,FALSE)</f>
        <v>  Personnel expenses</v>
      </c>
      <c r="B127" s="44">
        <v>-1057.3558819588861</v>
      </c>
      <c r="C127" s="44">
        <v>-1139.7965859709284</v>
      </c>
      <c r="D127" s="44">
        <v>-1126.739511016664</v>
      </c>
      <c r="E127" s="45">
        <v>-1191.6495738730932</v>
      </c>
      <c r="F127" s="44">
        <v>-1264.9005225608093</v>
      </c>
      <c r="G127" s="44">
        <v>-1416.4184538281047</v>
      </c>
      <c r="H127" s="44">
        <v>-1408.8143208777228</v>
      </c>
      <c r="I127" s="44">
        <v>-2142.9759672857167</v>
      </c>
    </row>
    <row r="128" spans="1:9" ht="14.25">
      <c r="A128" s="46" t="str">
        <f>HLOOKUP(INDICE!$F$2,Nombres!$C$3:$D$636,41,FALSE)</f>
        <v>  General and administrative expenses</v>
      </c>
      <c r="B128" s="44">
        <v>-709.5355992393481</v>
      </c>
      <c r="C128" s="44">
        <v>-521.6727190088191</v>
      </c>
      <c r="D128" s="44">
        <v>-559.9988807037596</v>
      </c>
      <c r="E128" s="45">
        <v>-777.037789397047</v>
      </c>
      <c r="F128" s="44">
        <v>-796.2632278753299</v>
      </c>
      <c r="G128" s="44">
        <v>-664.8482144627809</v>
      </c>
      <c r="H128" s="44">
        <v>-657.9107511834238</v>
      </c>
      <c r="I128" s="44">
        <v>-998.8936959584247</v>
      </c>
    </row>
    <row r="129" spans="1:9" ht="14.25">
      <c r="A129" s="43" t="str">
        <f>HLOOKUP(INDICE!$F$2,Nombres!$C$3:$D$636,42,FALSE)</f>
        <v>  Depreciation</v>
      </c>
      <c r="B129" s="44">
        <v>-322.63825165358895</v>
      </c>
      <c r="C129" s="44">
        <v>-272.95602892044855</v>
      </c>
      <c r="D129" s="44">
        <v>-305.03580077658967</v>
      </c>
      <c r="E129" s="45">
        <v>-303.12341372458246</v>
      </c>
      <c r="F129" s="44">
        <v>-301.10621457497064</v>
      </c>
      <c r="G129" s="44">
        <v>-304.4534016126509</v>
      </c>
      <c r="H129" s="44">
        <v>-312.07310559967175</v>
      </c>
      <c r="I129" s="44">
        <v>-326.085801519041</v>
      </c>
    </row>
    <row r="130" spans="1:9" ht="14.25">
      <c r="A130" s="41" t="str">
        <f>HLOOKUP(INDICE!$F$2,Nombres!$C$3:$D$636,43,FALSE)</f>
        <v>Operating income</v>
      </c>
      <c r="B130" s="41">
        <f>+B124+B125</f>
        <v>5147.411022921116</v>
      </c>
      <c r="C130" s="41">
        <f aca="true" t="shared" si="20" ref="C130:I130">+C124+C125</f>
        <v>4828.797933408096</v>
      </c>
      <c r="D130" s="41">
        <f t="shared" si="20"/>
        <v>5785.921712565361</v>
      </c>
      <c r="E130" s="42">
        <f t="shared" si="20"/>
        <v>4716.882957259708</v>
      </c>
      <c r="F130" s="50">
        <f t="shared" si="20"/>
        <v>5073.781785865071</v>
      </c>
      <c r="G130" s="50">
        <f t="shared" si="20"/>
        <v>5141.601131250945</v>
      </c>
      <c r="H130" s="50">
        <f t="shared" si="20"/>
        <v>6094.470557721512</v>
      </c>
      <c r="I130" s="50">
        <f t="shared" si="20"/>
        <v>9050.035880376592</v>
      </c>
    </row>
    <row r="131" spans="1:9" ht="14.25">
      <c r="A131" s="43" t="str">
        <f>HLOOKUP(INDICE!$F$2,Nombres!$C$3:$D$636,44,FALSE)</f>
        <v>Impaiment on financial assets not measured at fair value through profit or loss</v>
      </c>
      <c r="B131" s="44">
        <v>-2719.002626945532</v>
      </c>
      <c r="C131" s="44">
        <v>-1705.1419217267726</v>
      </c>
      <c r="D131" s="44">
        <v>-739.6828430772881</v>
      </c>
      <c r="E131" s="45">
        <v>-2040.7858290368383</v>
      </c>
      <c r="F131" s="44">
        <v>-1095.190338649602</v>
      </c>
      <c r="G131" s="44">
        <v>-502.587741870872</v>
      </c>
      <c r="H131" s="44">
        <v>-683.1939486063164</v>
      </c>
      <c r="I131" s="44">
        <v>-2910.829852269021</v>
      </c>
    </row>
    <row r="132" spans="1:9" ht="14.25">
      <c r="A132" s="43" t="str">
        <f>HLOOKUP(INDICE!$F$2,Nombres!$C$3:$D$636,45,FALSE)</f>
        <v>Provisions or reversal of provisions and other results</v>
      </c>
      <c r="B132" s="44">
        <v>-136.31997606305518</v>
      </c>
      <c r="C132" s="44">
        <v>-298.32082287815376</v>
      </c>
      <c r="D132" s="44">
        <v>-96.70330145982993</v>
      </c>
      <c r="E132" s="45">
        <v>-488.7931572881339</v>
      </c>
      <c r="F132" s="44">
        <v>310.35147904012643</v>
      </c>
      <c r="G132" s="44">
        <v>143.16082745784246</v>
      </c>
      <c r="H132" s="44">
        <v>121.93756813943114</v>
      </c>
      <c r="I132" s="44">
        <v>-224.5267960385086</v>
      </c>
    </row>
    <row r="133" spans="1:9" ht="14.25">
      <c r="A133" s="41" t="str">
        <f>HLOOKUP(INDICE!$F$2,Nombres!$C$3:$D$636,46,FALSE)</f>
        <v>Profit/(loss) before tax</v>
      </c>
      <c r="B133" s="41">
        <f>+B130+B131+B132</f>
        <v>2292.0884199125285</v>
      </c>
      <c r="C133" s="41">
        <f aca="true" t="shared" si="21" ref="C133:I133">+C130+C131+C132</f>
        <v>2825.3351888031693</v>
      </c>
      <c r="D133" s="41">
        <f t="shared" si="21"/>
        <v>4949.535568028243</v>
      </c>
      <c r="E133" s="42">
        <f t="shared" si="21"/>
        <v>2187.3039709347354</v>
      </c>
      <c r="F133" s="50">
        <f t="shared" si="21"/>
        <v>4288.942926255595</v>
      </c>
      <c r="G133" s="50">
        <f t="shared" si="21"/>
        <v>4782.174216837915</v>
      </c>
      <c r="H133" s="50">
        <f t="shared" si="21"/>
        <v>5533.2141772546265</v>
      </c>
      <c r="I133" s="50">
        <f t="shared" si="21"/>
        <v>5914.679232069062</v>
      </c>
    </row>
    <row r="134" spans="1:9" ht="14.25">
      <c r="A134" s="43" t="str">
        <f>HLOOKUP(INDICE!$F$2,Nombres!$C$3:$D$636,47,FALSE)</f>
        <v>Income tax</v>
      </c>
      <c r="B134" s="44">
        <v>-527.5973795537502</v>
      </c>
      <c r="C134" s="44">
        <v>-725.6561809271068</v>
      </c>
      <c r="D134" s="44">
        <v>-1083.2841488239624</v>
      </c>
      <c r="E134" s="45">
        <v>-720.4749399837041</v>
      </c>
      <c r="F134" s="44">
        <v>-837.1609156063096</v>
      </c>
      <c r="G134" s="44">
        <v>-825.0322423844357</v>
      </c>
      <c r="H134" s="44">
        <v>-1473.0769006190128</v>
      </c>
      <c r="I134" s="44">
        <v>-1647.4434099149225</v>
      </c>
    </row>
    <row r="135" spans="1:9" ht="14.25">
      <c r="A135" s="41" t="str">
        <f>HLOOKUP(INDICE!$F$2,Nombres!$C$3:$D$636,48,FALSE)</f>
        <v>Profit/(loss) for the year</v>
      </c>
      <c r="B135" s="41">
        <f>+B133+B134</f>
        <v>1764.4910403587783</v>
      </c>
      <c r="C135" s="41">
        <f aca="true" t="shared" si="22" ref="C135:I135">+C133+C134</f>
        <v>2099.6790078760623</v>
      </c>
      <c r="D135" s="41">
        <f t="shared" si="22"/>
        <v>3866.2514192042804</v>
      </c>
      <c r="E135" s="42">
        <f t="shared" si="22"/>
        <v>1466.8290309510312</v>
      </c>
      <c r="F135" s="50">
        <f t="shared" si="22"/>
        <v>3451.7820106492854</v>
      </c>
      <c r="G135" s="50">
        <f t="shared" si="22"/>
        <v>3957.1419744534796</v>
      </c>
      <c r="H135" s="50">
        <f t="shared" si="22"/>
        <v>4060.1372766356135</v>
      </c>
      <c r="I135" s="50">
        <f t="shared" si="22"/>
        <v>4267.23582215414</v>
      </c>
    </row>
    <row r="136" spans="1:9" ht="14.25">
      <c r="A136" s="43" t="str">
        <f>HLOOKUP(INDICE!$F$2,Nombres!$C$3:$D$636,49,FALSE)</f>
        <v>Non-controlling interests</v>
      </c>
      <c r="B136" s="44">
        <v>-896.1098174223639</v>
      </c>
      <c r="C136" s="44">
        <v>-1064.0161650430875</v>
      </c>
      <c r="D136" s="44">
        <v>-1952.210736079393</v>
      </c>
      <c r="E136" s="45">
        <v>-750.3175738224381</v>
      </c>
      <c r="F136" s="44">
        <v>-1749.6566132487123</v>
      </c>
      <c r="G136" s="44">
        <v>-2000.9669182235716</v>
      </c>
      <c r="H136" s="44">
        <v>-2053.7931731232907</v>
      </c>
      <c r="I136" s="44">
        <v>-2161.1274191182792</v>
      </c>
    </row>
    <row r="137" spans="1:9" ht="14.25">
      <c r="A137" s="47" t="str">
        <f>HLOOKUP(INDICE!$F$2,Nombres!$C$3:$D$636,50,FALSE)</f>
        <v>Net attributable profit</v>
      </c>
      <c r="B137" s="47">
        <f>+B135+B136</f>
        <v>868.3812229364144</v>
      </c>
      <c r="C137" s="47">
        <f aca="true" t="shared" si="23" ref="C137:I137">+C135+C136</f>
        <v>1035.6628428329748</v>
      </c>
      <c r="D137" s="47">
        <f t="shared" si="23"/>
        <v>1914.0406831248874</v>
      </c>
      <c r="E137" s="47">
        <f t="shared" si="23"/>
        <v>716.5114571285931</v>
      </c>
      <c r="F137" s="51">
        <f t="shared" si="23"/>
        <v>1702.125397400573</v>
      </c>
      <c r="G137" s="51">
        <f t="shared" si="23"/>
        <v>1956.175056229908</v>
      </c>
      <c r="H137" s="51">
        <f t="shared" si="23"/>
        <v>2006.3441035123228</v>
      </c>
      <c r="I137" s="51">
        <f t="shared" si="23"/>
        <v>2106.1084030358606</v>
      </c>
    </row>
    <row r="138" spans="1:9" ht="14.25">
      <c r="A138" s="62"/>
      <c r="B138" s="63">
        <v>0</v>
      </c>
      <c r="C138" s="63">
        <v>0</v>
      </c>
      <c r="D138" s="63">
        <v>-1.8189894035458565E-12</v>
      </c>
      <c r="E138" s="63">
        <v>0</v>
      </c>
      <c r="F138" s="63">
        <v>0</v>
      </c>
      <c r="G138" s="63">
        <v>0</v>
      </c>
      <c r="H138" s="63">
        <v>0</v>
      </c>
      <c r="I138" s="63">
        <v>0</v>
      </c>
    </row>
    <row r="139" spans="1:9" ht="14.25">
      <c r="A139" s="41"/>
      <c r="B139" s="41"/>
      <c r="C139" s="41"/>
      <c r="D139" s="41"/>
      <c r="E139" s="41"/>
      <c r="F139" s="50"/>
      <c r="G139" s="50"/>
      <c r="H139" s="50"/>
      <c r="I139" s="50"/>
    </row>
    <row r="140" spans="1:9" ht="16.5">
      <c r="A140" s="33" t="str">
        <f>HLOOKUP(INDICE!$F$2,Nombres!$C$3:$D$636,51,FALSE)</f>
        <v>Balance sheets</v>
      </c>
      <c r="B140" s="34"/>
      <c r="C140" s="34"/>
      <c r="D140" s="34"/>
      <c r="E140" s="34"/>
      <c r="F140" s="69"/>
      <c r="G140" s="69"/>
      <c r="H140" s="69"/>
      <c r="I140" s="69"/>
    </row>
    <row r="141" spans="1:9" ht="14.25">
      <c r="A141" s="35" t="str">
        <f>HLOOKUP(INDICE!$F$2,Nombres!$C$3:$D$636,77,FALSE)</f>
        <v>(Million Turkish liras)</v>
      </c>
      <c r="B141" s="30"/>
      <c r="C141" s="52"/>
      <c r="D141" s="52"/>
      <c r="E141" s="52"/>
      <c r="F141" s="70"/>
      <c r="G141" s="44"/>
      <c r="H141" s="44"/>
      <c r="I141" s="44"/>
    </row>
    <row r="142" spans="1:9" ht="14.25">
      <c r="A142" s="30"/>
      <c r="B142" s="53">
        <f aca="true" t="shared" si="24" ref="B142:I142">+B$30</f>
        <v>43921</v>
      </c>
      <c r="C142" s="53">
        <f t="shared" si="24"/>
        <v>44012</v>
      </c>
      <c r="D142" s="53">
        <f t="shared" si="24"/>
        <v>44104</v>
      </c>
      <c r="E142" s="68">
        <f t="shared" si="24"/>
        <v>44196</v>
      </c>
      <c r="F142" s="53">
        <f t="shared" si="24"/>
        <v>44286</v>
      </c>
      <c r="G142" s="53">
        <f t="shared" si="24"/>
        <v>44377</v>
      </c>
      <c r="H142" s="53">
        <f t="shared" si="24"/>
        <v>44469</v>
      </c>
      <c r="I142" s="53">
        <f t="shared" si="24"/>
        <v>44561</v>
      </c>
    </row>
    <row r="143" spans="1:9" ht="14.25">
      <c r="A143" s="43" t="str">
        <f>HLOOKUP(INDICE!$F$2,Nombres!$C$3:$D$636,52,FALSE)</f>
        <v>Cash, cash balances at central banks and other demand deposits</v>
      </c>
      <c r="B143" s="44">
        <v>37430.8841906874</v>
      </c>
      <c r="C143" s="44">
        <v>42135.74023318286</v>
      </c>
      <c r="D143" s="44">
        <v>50137.955828782106</v>
      </c>
      <c r="E143" s="45">
        <v>49914.14373655185</v>
      </c>
      <c r="F143" s="44">
        <v>64984.91042509099</v>
      </c>
      <c r="G143" s="44">
        <v>68702.7686001253</v>
      </c>
      <c r="H143" s="44">
        <v>64440.53581791313</v>
      </c>
      <c r="I143" s="44">
        <v>118269.6492641332</v>
      </c>
    </row>
    <row r="144" spans="1:9" ht="14.25">
      <c r="A144" s="43" t="str">
        <f>HLOOKUP(INDICE!$F$2,Nombres!$C$3:$D$636,53,FALSE)</f>
        <v>Financial assets designated at fair value </v>
      </c>
      <c r="B144" s="58">
        <v>36455.79973768773</v>
      </c>
      <c r="C144" s="58">
        <v>43848.02483188216</v>
      </c>
      <c r="D144" s="58">
        <v>49406.441723785276</v>
      </c>
      <c r="E144" s="65">
        <v>48586.702251253126</v>
      </c>
      <c r="F144" s="44">
        <v>53411.09067507478</v>
      </c>
      <c r="G144" s="44">
        <v>53189.59345109702</v>
      </c>
      <c r="H144" s="44">
        <v>55787.05268598451</v>
      </c>
      <c r="I144" s="44">
        <v>80575.2065902501</v>
      </c>
    </row>
    <row r="145" spans="1:9" ht="14.25">
      <c r="A145" s="43" t="str">
        <f>HLOOKUP(INDICE!$F$2,Nombres!$C$3:$D$636,54,FALSE)</f>
        <v>Financial assets at amortized cost</v>
      </c>
      <c r="B145" s="44">
        <v>366530.85171527666</v>
      </c>
      <c r="C145" s="44">
        <v>384410.5445005436</v>
      </c>
      <c r="D145" s="44">
        <v>411742.0791432106</v>
      </c>
      <c r="E145" s="45">
        <v>425631.6368827893</v>
      </c>
      <c r="F145" s="44">
        <v>434057.1892506077</v>
      </c>
      <c r="G145" s="44">
        <v>469686.8604438566</v>
      </c>
      <c r="H145" s="44">
        <v>493210.6106176312</v>
      </c>
      <c r="I145" s="44">
        <v>632859.3357850373</v>
      </c>
    </row>
    <row r="146" spans="1:9" ht="14.25">
      <c r="A146" s="43" t="str">
        <f>HLOOKUP(INDICE!$F$2,Nombres!$C$3:$D$636,55,FALSE)</f>
        <v>    of which loans and advances to customers</v>
      </c>
      <c r="B146" s="44">
        <v>287648.9479907032</v>
      </c>
      <c r="C146" s="44">
        <v>316227.7935052714</v>
      </c>
      <c r="D146" s="44">
        <v>334818.09585754486</v>
      </c>
      <c r="E146" s="45">
        <v>339876.97401957214</v>
      </c>
      <c r="F146" s="44">
        <v>358449.2431505018</v>
      </c>
      <c r="G146" s="44">
        <v>380960.123644695</v>
      </c>
      <c r="H146" s="44">
        <v>400935.30941532605</v>
      </c>
      <c r="I146" s="44">
        <v>478547.54542451585</v>
      </c>
    </row>
    <row r="147" spans="1:9" ht="14.25">
      <c r="A147" s="43"/>
      <c r="B147" s="44"/>
      <c r="C147" s="44"/>
      <c r="D147" s="44"/>
      <c r="E147" s="45"/>
      <c r="F147" s="44"/>
      <c r="G147" s="44"/>
      <c r="H147" s="44"/>
      <c r="I147" s="44"/>
    </row>
    <row r="148" spans="1:9" ht="14.25">
      <c r="A148" s="43" t="str">
        <f>HLOOKUP(INDICE!$F$2,Nombres!$C$3:$D$636,56,FALSE)</f>
        <v>Tangible assets</v>
      </c>
      <c r="B148" s="44">
        <v>7447.343528697495</v>
      </c>
      <c r="C148" s="44">
        <v>7231.016693697059</v>
      </c>
      <c r="D148" s="44">
        <v>7524.9002969672965</v>
      </c>
      <c r="E148" s="45">
        <v>8209.14427169208</v>
      </c>
      <c r="F148" s="44">
        <v>8472.838175011862</v>
      </c>
      <c r="G148" s="44">
        <v>8403.275632015326</v>
      </c>
      <c r="H148" s="44">
        <v>8766.525375628993</v>
      </c>
      <c r="I148" s="44">
        <v>9494.522610970555</v>
      </c>
    </row>
    <row r="149" spans="1:9" ht="14.25">
      <c r="A149" s="43" t="str">
        <f>HLOOKUP(INDICE!$F$2,Nombres!$C$3:$D$636,57,FALSE)</f>
        <v>Other assets</v>
      </c>
      <c r="B149" s="58">
        <f>+B150-B148-B145-B144-B143</f>
        <v>9763.642919084872</v>
      </c>
      <c r="C149" s="58">
        <f aca="true" t="shared" si="25" ref="C149:I149">+C150-C148-C145-C144-C143</f>
        <v>9997.843910396019</v>
      </c>
      <c r="D149" s="58">
        <f t="shared" si="25"/>
        <v>10096.441478956061</v>
      </c>
      <c r="E149" s="65">
        <f t="shared" si="25"/>
        <v>10663.593917368285</v>
      </c>
      <c r="F149" s="44">
        <f t="shared" si="25"/>
        <v>11641.816950113454</v>
      </c>
      <c r="G149" s="44">
        <f t="shared" si="25"/>
        <v>11468.086261124205</v>
      </c>
      <c r="H149" s="44">
        <f t="shared" si="25"/>
        <v>11632.17766294752</v>
      </c>
      <c r="I149" s="44">
        <f t="shared" si="25"/>
        <v>15608.289800451501</v>
      </c>
    </row>
    <row r="150" spans="1:9" ht="14.25">
      <c r="A150" s="47" t="str">
        <f>HLOOKUP(INDICE!$F$2,Nombres!$C$3:$D$636,58,FALSE)</f>
        <v>Total assets / Liabilities and equity</v>
      </c>
      <c r="B150" s="47">
        <v>457628.52209143416</v>
      </c>
      <c r="C150" s="47">
        <v>487623.17016970174</v>
      </c>
      <c r="D150" s="47">
        <v>528907.8184717014</v>
      </c>
      <c r="E150" s="71">
        <v>543005.2210596546</v>
      </c>
      <c r="F150" s="51">
        <v>572567.8454758988</v>
      </c>
      <c r="G150" s="51">
        <v>611450.5843882185</v>
      </c>
      <c r="H150" s="51">
        <v>633836.9021601053</v>
      </c>
      <c r="I150" s="51">
        <v>856807.0040508426</v>
      </c>
    </row>
    <row r="151" spans="1:9" ht="14.25">
      <c r="A151" s="43" t="str">
        <f>HLOOKUP(INDICE!$F$2,Nombres!$C$3:$D$636,59,FALSE)</f>
        <v>Financial liabilities held for trading and designated at fair value through profit or loss</v>
      </c>
      <c r="B151" s="58">
        <v>16835.29320329433</v>
      </c>
      <c r="C151" s="58">
        <v>17261.238393892974</v>
      </c>
      <c r="D151" s="58">
        <v>19689.544475914427</v>
      </c>
      <c r="E151" s="65">
        <v>21287.864415279462</v>
      </c>
      <c r="F151" s="44">
        <v>20049.71157502807</v>
      </c>
      <c r="G151" s="44">
        <v>20328.40673603707</v>
      </c>
      <c r="H151" s="44">
        <v>20582.83306626808</v>
      </c>
      <c r="I151" s="44">
        <v>34607.25203089266</v>
      </c>
    </row>
    <row r="152" spans="1:9" ht="14.25">
      <c r="A152" s="43" t="str">
        <f>HLOOKUP(INDICE!$F$2,Nombres!$C$3:$D$636,60,FALSE)</f>
        <v>Deposits from central banks and credit institutions</v>
      </c>
      <c r="B152" s="58">
        <v>31813.011249289295</v>
      </c>
      <c r="C152" s="58">
        <v>42768.84960898261</v>
      </c>
      <c r="D152" s="58">
        <v>33906.83206485265</v>
      </c>
      <c r="E152" s="65">
        <v>30808.766527170275</v>
      </c>
      <c r="F152" s="44">
        <v>45429.71510006361</v>
      </c>
      <c r="G152" s="44">
        <v>38696.79364607059</v>
      </c>
      <c r="H152" s="44">
        <v>39956.44263433215</v>
      </c>
      <c r="I152" s="44">
        <v>62255.5822923069</v>
      </c>
    </row>
    <row r="153" spans="1:9" ht="14.25">
      <c r="A153" s="43" t="str">
        <f>HLOOKUP(INDICE!$F$2,Nombres!$C$3:$D$636,61,FALSE)</f>
        <v>Deposits from customers</v>
      </c>
      <c r="B153" s="58">
        <v>295879.0470317004</v>
      </c>
      <c r="C153" s="58">
        <v>308056.37012447463</v>
      </c>
      <c r="D153" s="58">
        <v>346948.6005884922</v>
      </c>
      <c r="E153" s="65">
        <v>358631.706480254</v>
      </c>
      <c r="F153" s="44">
        <v>370417.8006505186</v>
      </c>
      <c r="G153" s="44">
        <v>411379.0934137504</v>
      </c>
      <c r="H153" s="44">
        <v>425124.392928206</v>
      </c>
      <c r="I153" s="44">
        <v>584070.8377666885</v>
      </c>
    </row>
    <row r="154" spans="1:9" ht="14.25">
      <c r="A154" s="43" t="str">
        <f>HLOOKUP(INDICE!$F$2,Nombres!$C$3:$D$636,62,FALSE)</f>
        <v>Debt certificates</v>
      </c>
      <c r="B154" s="44">
        <v>36899.463356931425</v>
      </c>
      <c r="C154" s="44">
        <v>38522.70877957793</v>
      </c>
      <c r="D154" s="44">
        <v>38485.55043878954</v>
      </c>
      <c r="E154" s="45">
        <v>36789.64327204535</v>
      </c>
      <c r="F154" s="44">
        <v>41260.72078874927</v>
      </c>
      <c r="G154" s="44">
        <v>39937.99849362808</v>
      </c>
      <c r="H154" s="44">
        <v>40893.96399400432</v>
      </c>
      <c r="I154" s="44">
        <v>55117.8485309626</v>
      </c>
    </row>
    <row r="155" spans="1:9" ht="14.25">
      <c r="A155" s="43"/>
      <c r="B155" s="44"/>
      <c r="C155" s="44"/>
      <c r="D155" s="44"/>
      <c r="E155" s="45"/>
      <c r="F155" s="44"/>
      <c r="G155" s="44"/>
      <c r="H155" s="44"/>
      <c r="I155" s="44"/>
    </row>
    <row r="156" spans="1:9" ht="15.75" customHeight="1">
      <c r="A156" s="43" t="str">
        <f>HLOOKUP(INDICE!$F$2,Nombres!$C$3:$D$636,63,FALSE)</f>
        <v>Other liabilities</v>
      </c>
      <c r="B156" s="58">
        <f>+B150-B151-B152-B153-B154-B157</f>
        <v>25071.224804728277</v>
      </c>
      <c r="C156" s="58">
        <f aca="true" t="shared" si="26" ref="C156:I156">+C150-C151-C152-C153-C154-C157</f>
        <v>28522.001221780898</v>
      </c>
      <c r="D156" s="58">
        <f t="shared" si="26"/>
        <v>35497.07901675472</v>
      </c>
      <c r="E156" s="65">
        <f t="shared" si="26"/>
        <v>39262.34124533068</v>
      </c>
      <c r="F156" s="44">
        <f t="shared" si="26"/>
        <v>32724.21006551305</v>
      </c>
      <c r="G156" s="44">
        <f t="shared" si="26"/>
        <v>38033.72368731588</v>
      </c>
      <c r="H156" s="44">
        <f t="shared" si="26"/>
        <v>38464.95479530422</v>
      </c>
      <c r="I156" s="44">
        <f t="shared" si="26"/>
        <v>32990.96694737353</v>
      </c>
    </row>
    <row r="157" spans="1:9" ht="15.75" customHeight="1">
      <c r="A157" s="43" t="str">
        <f>HLOOKUP(INDICE!$F$2,Nombres!$C$3:$D$636,282,FALSE)</f>
        <v>Regulatory capital allocated</v>
      </c>
      <c r="B157" s="44">
        <v>51130.482445490474</v>
      </c>
      <c r="C157" s="44">
        <v>52492.002040992666</v>
      </c>
      <c r="D157" s="44">
        <v>54380.211886897836</v>
      </c>
      <c r="E157" s="44">
        <v>56224.899119574824</v>
      </c>
      <c r="F157" s="44">
        <v>62685.68729602627</v>
      </c>
      <c r="G157" s="44">
        <v>63074.568411416345</v>
      </c>
      <c r="H157" s="44">
        <v>68814.3147419905</v>
      </c>
      <c r="I157" s="44">
        <v>87764.51648261835</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Relevant business indicators</v>
      </c>
      <c r="B160" s="34"/>
      <c r="C160" s="34"/>
      <c r="D160" s="34"/>
      <c r="E160" s="34"/>
      <c r="F160" s="69"/>
      <c r="G160" s="69"/>
      <c r="H160" s="69"/>
      <c r="I160" s="69"/>
    </row>
    <row r="161" spans="1:9" ht="14.25">
      <c r="A161" s="35" t="str">
        <f>HLOOKUP(INDICE!$F$2,Nombres!$C$3:$D$636,77,FALSE)</f>
        <v>(Million Turkish liras)</v>
      </c>
      <c r="B161" s="30"/>
      <c r="C161" s="30"/>
      <c r="D161" s="30"/>
      <c r="E161" s="30"/>
      <c r="F161" s="70"/>
      <c r="G161" s="44"/>
      <c r="H161" s="44"/>
      <c r="I161" s="44"/>
    </row>
    <row r="162" spans="1:9" ht="14.25">
      <c r="A162" s="30"/>
      <c r="B162" s="53">
        <f aca="true" t="shared" si="27" ref="B162:I162">+B$30</f>
        <v>43921</v>
      </c>
      <c r="C162" s="53">
        <f t="shared" si="27"/>
        <v>44012</v>
      </c>
      <c r="D162" s="53">
        <f t="shared" si="27"/>
        <v>44104</v>
      </c>
      <c r="E162" s="68">
        <f t="shared" si="27"/>
        <v>44196</v>
      </c>
      <c r="F162" s="53">
        <f t="shared" si="27"/>
        <v>44286</v>
      </c>
      <c r="G162" s="53">
        <f t="shared" si="27"/>
        <v>44377</v>
      </c>
      <c r="H162" s="53">
        <f t="shared" si="27"/>
        <v>44469</v>
      </c>
      <c r="I162" s="53">
        <f t="shared" si="27"/>
        <v>44561</v>
      </c>
    </row>
    <row r="163" spans="1:9" ht="14.25">
      <c r="A163" s="43" t="str">
        <f>HLOOKUP(INDICE!$F$2,Nombres!$C$3:$D$636,66,FALSE)</f>
        <v>Loans and advances to customers (gross) (*)</v>
      </c>
      <c r="B163" s="44">
        <v>308279.95073629625</v>
      </c>
      <c r="C163" s="44">
        <v>338220.0349360624</v>
      </c>
      <c r="D163" s="44">
        <v>358515.52235844184</v>
      </c>
      <c r="E163" s="45">
        <v>361179.7748057516</v>
      </c>
      <c r="F163" s="44">
        <v>381867.6266505346</v>
      </c>
      <c r="G163" s="44">
        <v>404442.9685737377</v>
      </c>
      <c r="H163" s="44">
        <v>425794.67566100816</v>
      </c>
      <c r="I163" s="44">
        <v>509573.0817019196</v>
      </c>
    </row>
    <row r="164" spans="1:9" ht="14.25">
      <c r="A164" s="43" t="str">
        <f>HLOOKUP(INDICE!$F$2,Nombres!$C$3:$D$636,67,FALSE)</f>
        <v>Customer deposits under management (*)</v>
      </c>
      <c r="B164" s="44">
        <v>295820.1211166004</v>
      </c>
      <c r="C164" s="44">
        <v>306500.8314877754</v>
      </c>
      <c r="D164" s="44">
        <v>346902.83261849236</v>
      </c>
      <c r="E164" s="45">
        <v>358559.86791295424</v>
      </c>
      <c r="F164" s="44">
        <v>370393.72155051853</v>
      </c>
      <c r="G164" s="44">
        <v>411357.33674575033</v>
      </c>
      <c r="H164" s="44">
        <v>425101.0677317059</v>
      </c>
      <c r="I164" s="44">
        <v>583974.6534476888</v>
      </c>
    </row>
    <row r="165" spans="1:9" ht="14.25">
      <c r="A165" s="43" t="str">
        <f>HLOOKUP(INDICE!$F$2,Nombres!$C$3:$D$636,68,FALSE)</f>
        <v>Mutual funds</v>
      </c>
      <c r="B165" s="44">
        <v>10827.847683896356</v>
      </c>
      <c r="C165" s="44">
        <v>13467.786534894522</v>
      </c>
      <c r="D165" s="44">
        <v>11071.999862951881</v>
      </c>
      <c r="E165" s="45">
        <v>9910.004142590438</v>
      </c>
      <c r="F165" s="44">
        <v>11987.258675016783</v>
      </c>
      <c r="G165" s="44">
        <v>14997.279964027355</v>
      </c>
      <c r="H165" s="44">
        <v>20374.749657667388</v>
      </c>
      <c r="I165" s="44">
        <v>26229.00983291865</v>
      </c>
    </row>
    <row r="166" spans="1:9" ht="14.25">
      <c r="A166" s="43" t="str">
        <f>HLOOKUP(INDICE!$F$2,Nombres!$C$3:$D$636,69,FALSE)</f>
        <v>Pension funds</v>
      </c>
      <c r="B166" s="44">
        <v>17008.33808519428</v>
      </c>
      <c r="C166" s="44">
        <v>18861.858765892328</v>
      </c>
      <c r="D166" s="44">
        <v>20146.76922591244</v>
      </c>
      <c r="E166" s="45">
        <v>21299.000623479453</v>
      </c>
      <c r="F166" s="44">
        <v>23671.807275033145</v>
      </c>
      <c r="G166" s="44">
        <v>25619.51899104673</v>
      </c>
      <c r="H166" s="44">
        <v>26634.70719518809</v>
      </c>
      <c r="I166" s="44">
        <v>33100.96355089734</v>
      </c>
    </row>
    <row r="167" spans="1:15" ht="14.25">
      <c r="A167" s="43" t="str">
        <f>HLOOKUP(INDICE!$F$2,Nombres!$C$3:$D$636,70,FALSE)</f>
        <v>Other off balance-sheet funds</v>
      </c>
      <c r="B167" s="44">
        <v>0</v>
      </c>
      <c r="C167" s="44">
        <v>0</v>
      </c>
      <c r="D167" s="44">
        <v>0</v>
      </c>
      <c r="E167" s="45">
        <v>0</v>
      </c>
      <c r="F167" s="44">
        <v>0</v>
      </c>
      <c r="G167" s="44">
        <v>0</v>
      </c>
      <c r="H167" s="44">
        <v>0</v>
      </c>
      <c r="I167" s="44">
        <v>0</v>
      </c>
      <c r="K167" s="74"/>
      <c r="L167" s="74"/>
      <c r="M167" s="74"/>
      <c r="N167" s="74"/>
      <c r="O167" s="74"/>
    </row>
    <row r="168" spans="1:15" ht="14.25">
      <c r="A168" s="62" t="str">
        <f>HLOOKUP(INDICE!$F$2,Nombres!$C$3:$D$636,71,FALSE)</f>
        <v>(*) Excluding repos. </v>
      </c>
      <c r="B168" s="58"/>
      <c r="C168" s="58"/>
      <c r="D168" s="58"/>
      <c r="E168" s="58"/>
      <c r="F168" s="44"/>
      <c r="G168" s="44"/>
      <c r="H168" s="44"/>
      <c r="I168" s="44"/>
      <c r="K168" s="74"/>
      <c r="L168" s="74"/>
      <c r="M168" s="74"/>
      <c r="N168" s="74"/>
      <c r="O168" s="74"/>
    </row>
    <row r="169" spans="1:15" ht="14.25">
      <c r="A169" s="62">
        <f>HLOOKUP(INDICE!$F$2,Nombres!$C$3:$D$636,72,FALSE)</f>
        <v>0</v>
      </c>
      <c r="B169" s="30"/>
      <c r="C169" s="30"/>
      <c r="D169" s="30"/>
      <c r="E169" s="30"/>
      <c r="F169" s="30"/>
      <c r="G169" s="30"/>
      <c r="H169" s="30"/>
      <c r="I169" s="30"/>
      <c r="K169" s="74"/>
      <c r="L169" s="74"/>
      <c r="M169" s="74"/>
      <c r="N169" s="74"/>
      <c r="O169" s="74"/>
    </row>
    <row r="170" spans="1:15" ht="14.25">
      <c r="A170" s="30"/>
      <c r="B170" s="30"/>
      <c r="C170" s="30"/>
      <c r="D170" s="30"/>
      <c r="E170" s="30"/>
      <c r="F170" s="30"/>
      <c r="G170" s="30"/>
      <c r="H170" s="30"/>
      <c r="I170" s="30"/>
      <c r="K170" s="74"/>
      <c r="L170" s="74"/>
      <c r="M170" s="74"/>
      <c r="N170" s="74"/>
      <c r="O170" s="74"/>
    </row>
    <row r="171" spans="1:15" ht="14.25">
      <c r="A171" s="30"/>
      <c r="B171" s="30"/>
      <c r="C171" s="30"/>
      <c r="D171" s="30"/>
      <c r="E171" s="30"/>
      <c r="F171" s="30"/>
      <c r="G171" s="30"/>
      <c r="H171" s="30"/>
      <c r="I171" s="30"/>
      <c r="K171" s="74"/>
      <c r="L171" s="74"/>
      <c r="M171" s="74"/>
      <c r="N171" s="74"/>
      <c r="O171" s="74"/>
    </row>
    <row r="172" spans="1:15" ht="14.25">
      <c r="A172" s="73"/>
      <c r="B172" s="74"/>
      <c r="C172" s="75"/>
      <c r="D172" s="75"/>
      <c r="E172" s="75"/>
      <c r="F172" s="74"/>
      <c r="G172" s="74"/>
      <c r="H172" s="74"/>
      <c r="I172" s="74"/>
      <c r="K172" s="74"/>
      <c r="L172" s="74"/>
      <c r="M172" s="74"/>
      <c r="N172" s="74"/>
      <c r="O172" s="74"/>
    </row>
    <row r="173" spans="1:15" ht="14.25">
      <c r="A173" s="73"/>
      <c r="B173" s="74"/>
      <c r="C173" s="75"/>
      <c r="D173" s="75"/>
      <c r="E173" s="75"/>
      <c r="F173" s="74"/>
      <c r="G173" s="74"/>
      <c r="H173" s="74"/>
      <c r="I173" s="74"/>
      <c r="J173" s="74"/>
      <c r="K173" s="74"/>
      <c r="L173" s="74"/>
      <c r="M173" s="74"/>
      <c r="N173" s="74"/>
      <c r="O173" s="74"/>
    </row>
    <row r="174" spans="1:15" ht="14.25">
      <c r="A174" s="74"/>
      <c r="B174" s="74"/>
      <c r="C174" s="74"/>
      <c r="D174" s="74"/>
      <c r="E174" s="74"/>
      <c r="F174" s="74"/>
      <c r="G174" s="74"/>
      <c r="H174" s="74"/>
      <c r="I174" s="74"/>
      <c r="J174" s="74"/>
      <c r="K174" s="74"/>
      <c r="L174" s="74"/>
      <c r="M174" s="74"/>
      <c r="N174" s="74"/>
      <c r="O174" s="74"/>
    </row>
    <row r="175" spans="1:10" ht="14.25">
      <c r="A175" s="74"/>
      <c r="B175" s="74"/>
      <c r="C175" s="74"/>
      <c r="D175" s="74"/>
      <c r="E175" s="74"/>
      <c r="F175" s="74"/>
      <c r="G175" s="74"/>
      <c r="H175" s="74"/>
      <c r="I175" s="74"/>
      <c r="J175" s="74"/>
    </row>
    <row r="176" spans="1:10" ht="14.25">
      <c r="A176" s="74"/>
      <c r="B176" s="74"/>
      <c r="C176" s="74"/>
      <c r="D176" s="74"/>
      <c r="E176" s="74"/>
      <c r="F176" s="74"/>
      <c r="G176" s="74"/>
      <c r="H176" s="74"/>
      <c r="I176" s="74"/>
      <c r="J176" s="74"/>
    </row>
    <row r="177" spans="1:10" ht="14.25">
      <c r="A177" s="74"/>
      <c r="B177" s="74"/>
      <c r="C177" s="74"/>
      <c r="D177" s="74"/>
      <c r="E177" s="74"/>
      <c r="F177" s="74"/>
      <c r="G177" s="74"/>
      <c r="H177" s="74"/>
      <c r="I177" s="74"/>
      <c r="J177" s="74"/>
    </row>
    <row r="178" spans="1:10" ht="14.25">
      <c r="A178" s="74"/>
      <c r="B178" s="74"/>
      <c r="C178" s="74"/>
      <c r="D178" s="74"/>
      <c r="E178" s="74"/>
      <c r="F178" s="74"/>
      <c r="G178" s="74"/>
      <c r="H178" s="74"/>
      <c r="I178" s="74"/>
      <c r="J178" s="74"/>
    </row>
    <row r="179" spans="1:10" ht="14.25">
      <c r="A179" s="74"/>
      <c r="B179" s="74"/>
      <c r="C179" s="74"/>
      <c r="D179" s="74"/>
      <c r="E179" s="74"/>
      <c r="F179" s="74"/>
      <c r="G179" s="74"/>
      <c r="H179" s="74"/>
      <c r="I179" s="74"/>
      <c r="J179" s="74"/>
    </row>
    <row r="180" spans="1:10" ht="14.25">
      <c r="A180" s="74"/>
      <c r="B180" s="74"/>
      <c r="C180" s="74"/>
      <c r="D180" s="74"/>
      <c r="E180" s="74"/>
      <c r="F180" s="74"/>
      <c r="G180" s="74"/>
      <c r="H180" s="74"/>
      <c r="I180" s="74"/>
      <c r="J180" s="74"/>
    </row>
    <row r="1006" ht="14.25">
      <c r="A1006" s="31" t="s">
        <v>396</v>
      </c>
    </row>
  </sheetData>
  <sheetProtection/>
  <mergeCells count="6">
    <mergeCell ref="B118:E118"/>
    <mergeCell ref="F118:I118"/>
    <mergeCell ref="B6:E6"/>
    <mergeCell ref="F6:I6"/>
    <mergeCell ref="B62:E62"/>
    <mergeCell ref="F62:I62"/>
  </mergeCells>
  <conditionalFormatting sqref="B26:I26">
    <cfRule type="cellIs" priority="3" dxfId="114" operator="notBetween">
      <formula>0.5</formula>
      <formula>-0.5</formula>
    </cfRule>
  </conditionalFormatting>
  <conditionalFormatting sqref="B82:I82">
    <cfRule type="cellIs" priority="2" dxfId="114" operator="notBetween">
      <formula>0.5</formula>
      <formula>-0.5</formula>
    </cfRule>
  </conditionalFormatting>
  <conditionalFormatting sqref="B138:I138">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O998"/>
  <sheetViews>
    <sheetView showGridLines="0" zoomScalePageLayoutView="0" workbookViewId="0" topLeftCell="A1">
      <selection activeCell="A1" sqref="A1"/>
    </sheetView>
  </sheetViews>
  <sheetFormatPr defaultColWidth="11.421875" defaultRowHeight="15"/>
  <cols>
    <col min="1" max="1" width="62.00390625" style="31" customWidth="1"/>
    <col min="2" max="16384" width="11.421875" style="31" customWidth="1"/>
  </cols>
  <sheetData>
    <row r="1" spans="1:9" ht="16.5">
      <c r="A1" s="29" t="str">
        <f>HLOOKUP(INDICE!$F$2,Nombres!$C$3:$D$636,300,FALSE)</f>
        <v>South America (Paraguay Included)</v>
      </c>
      <c r="B1" s="30"/>
      <c r="C1" s="30"/>
      <c r="D1" s="30"/>
      <c r="E1" s="30"/>
      <c r="F1" s="30"/>
      <c r="G1" s="30"/>
      <c r="H1" s="30"/>
      <c r="I1" s="30"/>
    </row>
    <row r="2" spans="1:9" ht="19.5">
      <c r="A2" s="32"/>
      <c r="B2" s="30"/>
      <c r="C2" s="30"/>
      <c r="D2" s="30"/>
      <c r="E2" s="30"/>
      <c r="F2" s="30"/>
      <c r="G2" s="30"/>
      <c r="H2" s="30"/>
      <c r="I2" s="30"/>
    </row>
    <row r="3" spans="1:9" ht="16.5">
      <c r="A3" s="33" t="str">
        <f>HLOOKUP(INDICE!$F$2,Nombres!$C$3:$D$636,31,FALSE)</f>
        <v>Income statement  </v>
      </c>
      <c r="B3" s="34"/>
      <c r="C3" s="34"/>
      <c r="D3" s="34"/>
      <c r="E3" s="34"/>
      <c r="F3" s="34"/>
      <c r="G3" s="34"/>
      <c r="H3" s="34"/>
      <c r="I3" s="34"/>
    </row>
    <row r="4" spans="1:9" ht="14.25">
      <c r="A4" s="35"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4.25">
      <c r="A8" s="41" t="str">
        <f>HLOOKUP(INDICE!$F$2,Nombres!$C$3:$D$636,33,FALSE)</f>
        <v>Net interest income</v>
      </c>
      <c r="B8" s="41">
        <v>763.1889958799999</v>
      </c>
      <c r="C8" s="41">
        <v>679.60597805</v>
      </c>
      <c r="D8" s="41">
        <v>626.5529847900001</v>
      </c>
      <c r="E8" s="42">
        <v>632.04092009</v>
      </c>
      <c r="F8" s="50">
        <v>659.8777555500001</v>
      </c>
      <c r="G8" s="50">
        <v>667.9077535700001</v>
      </c>
      <c r="H8" s="50">
        <v>732.88197284</v>
      </c>
      <c r="I8" s="50">
        <v>798.53109522</v>
      </c>
    </row>
    <row r="9" spans="1:9" ht="14.25">
      <c r="A9" s="43" t="str">
        <f>HLOOKUP(INDICE!$F$2,Nombres!$C$3:$D$636,34,FALSE)</f>
        <v>Net fees and commissions</v>
      </c>
      <c r="B9" s="44">
        <v>119.18508365</v>
      </c>
      <c r="C9" s="44">
        <v>112.75746720000001</v>
      </c>
      <c r="D9" s="44">
        <v>135.58780038</v>
      </c>
      <c r="E9" s="45">
        <v>115.94195891000001</v>
      </c>
      <c r="F9" s="44">
        <v>120.15356925</v>
      </c>
      <c r="G9" s="44">
        <v>146.68809574</v>
      </c>
      <c r="H9" s="44">
        <v>159.10616693999998</v>
      </c>
      <c r="I9" s="44">
        <v>162.84024069999998</v>
      </c>
    </row>
    <row r="10" spans="1:9" ht="14.25">
      <c r="A10" s="43" t="str">
        <f>HLOOKUP(INDICE!$F$2,Nombres!$C$3:$D$636,35,FALSE)</f>
        <v>Net trading income</v>
      </c>
      <c r="B10" s="44">
        <v>80.40936833</v>
      </c>
      <c r="C10" s="44">
        <v>91.73590292999998</v>
      </c>
      <c r="D10" s="44">
        <v>97.76752325000004</v>
      </c>
      <c r="E10" s="45">
        <v>137.30968869000003</v>
      </c>
      <c r="F10" s="44">
        <v>74.42403224</v>
      </c>
      <c r="G10" s="44">
        <v>105.54285952999999</v>
      </c>
      <c r="H10" s="44">
        <v>70.48393611000002</v>
      </c>
      <c r="I10" s="44">
        <v>73.96165569</v>
      </c>
    </row>
    <row r="11" spans="1:9" ht="14.25">
      <c r="A11" s="43" t="str">
        <f>HLOOKUP(INDICE!$F$2,Nombres!$C$3:$D$636,36,FALSE)</f>
        <v>Other operating income and expenses</v>
      </c>
      <c r="B11" s="44">
        <v>-100.265</v>
      </c>
      <c r="C11" s="44">
        <v>-82.466</v>
      </c>
      <c r="D11" s="44">
        <v>-83.26500000000001</v>
      </c>
      <c r="E11" s="45">
        <v>-101.06199999999995</v>
      </c>
      <c r="F11" s="44">
        <v>-140.19099999999997</v>
      </c>
      <c r="G11" s="44">
        <v>-154.58100000000002</v>
      </c>
      <c r="H11" s="44">
        <v>-148.22700000000003</v>
      </c>
      <c r="I11" s="44">
        <v>-167.86100000000005</v>
      </c>
    </row>
    <row r="12" spans="1:9" ht="14.25">
      <c r="A12" s="41" t="str">
        <f>HLOOKUP(INDICE!$F$2,Nombres!$C$3:$D$636,37,FALSE)</f>
        <v>Gross income</v>
      </c>
      <c r="B12" s="41">
        <f>+SUM(B8:B11)</f>
        <v>862.5184478599999</v>
      </c>
      <c r="C12" s="41">
        <f aca="true" t="shared" si="0" ref="C12:I12">+SUM(C8:C11)</f>
        <v>801.63334818</v>
      </c>
      <c r="D12" s="41">
        <f t="shared" si="0"/>
        <v>776.6433084200002</v>
      </c>
      <c r="E12" s="42">
        <f t="shared" si="0"/>
        <v>784.23056769</v>
      </c>
      <c r="F12" s="50">
        <f t="shared" si="0"/>
        <v>714.26435704</v>
      </c>
      <c r="G12" s="50">
        <f t="shared" si="0"/>
        <v>765.55770884</v>
      </c>
      <c r="H12" s="50">
        <f t="shared" si="0"/>
        <v>814.24507589</v>
      </c>
      <c r="I12" s="50">
        <f t="shared" si="0"/>
        <v>867.4719916099998</v>
      </c>
    </row>
    <row r="13" spans="1:9" ht="14.25">
      <c r="A13" s="43" t="str">
        <f>HLOOKUP(INDICE!$F$2,Nombres!$C$3:$D$636,38,FALSE)</f>
        <v>Operating expenses</v>
      </c>
      <c r="B13" s="44">
        <v>-389.59941787</v>
      </c>
      <c r="C13" s="44">
        <v>-329.52753055999995</v>
      </c>
      <c r="D13" s="44">
        <v>-324.68345208999995</v>
      </c>
      <c r="E13" s="45">
        <v>-328.58780636999995</v>
      </c>
      <c r="F13" s="44">
        <v>-337.19646658000005</v>
      </c>
      <c r="G13" s="44">
        <v>-345.48890659000006</v>
      </c>
      <c r="H13" s="44">
        <v>-391.16090333</v>
      </c>
      <c r="I13" s="44">
        <v>-427.08563130000005</v>
      </c>
    </row>
    <row r="14" spans="1:9" ht="14.25">
      <c r="A14" s="43" t="str">
        <f>HLOOKUP(INDICE!$F$2,Nombres!$C$3:$D$636,39,FALSE)</f>
        <v>  Administration expenses</v>
      </c>
      <c r="B14" s="44">
        <v>-345.63841787</v>
      </c>
      <c r="C14" s="44">
        <v>-290.74753056000003</v>
      </c>
      <c r="D14" s="44">
        <v>-288.91045209</v>
      </c>
      <c r="E14" s="45">
        <v>-293.39180637000004</v>
      </c>
      <c r="F14" s="44">
        <v>-302.79846658</v>
      </c>
      <c r="G14" s="44">
        <v>-310.00090659</v>
      </c>
      <c r="H14" s="44">
        <v>-354.54590333</v>
      </c>
      <c r="I14" s="44">
        <v>-388.5636313</v>
      </c>
    </row>
    <row r="15" spans="1:9" ht="14.25">
      <c r="A15" s="46" t="str">
        <f>HLOOKUP(INDICE!$F$2,Nombres!$C$3:$D$636,40,FALSE)</f>
        <v>  Personnel expenses</v>
      </c>
      <c r="B15" s="44">
        <v>-197.31927843</v>
      </c>
      <c r="C15" s="44">
        <v>-159.60420292</v>
      </c>
      <c r="D15" s="44">
        <v>-158.28397114</v>
      </c>
      <c r="E15" s="45">
        <v>-154.46618740000002</v>
      </c>
      <c r="F15" s="44">
        <v>-165.87710144000002</v>
      </c>
      <c r="G15" s="44">
        <v>-166.23455489999998</v>
      </c>
      <c r="H15" s="44">
        <v>-186.48427492000002</v>
      </c>
      <c r="I15" s="44">
        <v>-205.72601752</v>
      </c>
    </row>
    <row r="16" spans="1:9" ht="14.25">
      <c r="A16" s="46" t="str">
        <f>HLOOKUP(INDICE!$F$2,Nombres!$C$3:$D$636,41,FALSE)</f>
        <v>  General and administrative expenses</v>
      </c>
      <c r="B16" s="44">
        <v>-148.31913944000001</v>
      </c>
      <c r="C16" s="44">
        <v>-131.14332764</v>
      </c>
      <c r="D16" s="44">
        <v>-130.62648094999997</v>
      </c>
      <c r="E16" s="45">
        <v>-138.92561897000002</v>
      </c>
      <c r="F16" s="44">
        <v>-136.92136514</v>
      </c>
      <c r="G16" s="44">
        <v>-143.76635169</v>
      </c>
      <c r="H16" s="44">
        <v>-168.06162841000003</v>
      </c>
      <c r="I16" s="44">
        <v>-182.83761377999997</v>
      </c>
    </row>
    <row r="17" spans="1:9" ht="14.25">
      <c r="A17" s="43" t="str">
        <f>HLOOKUP(INDICE!$F$2,Nombres!$C$3:$D$636,42,FALSE)</f>
        <v>  Depreciation</v>
      </c>
      <c r="B17" s="44">
        <v>-43.961</v>
      </c>
      <c r="C17" s="44">
        <v>-38.78</v>
      </c>
      <c r="D17" s="44">
        <v>-35.772999999999996</v>
      </c>
      <c r="E17" s="45">
        <v>-35.196</v>
      </c>
      <c r="F17" s="44">
        <v>-34.397999999999996</v>
      </c>
      <c r="G17" s="44">
        <v>-35.488</v>
      </c>
      <c r="H17" s="44">
        <v>-36.615</v>
      </c>
      <c r="I17" s="44">
        <v>-38.522000000000006</v>
      </c>
    </row>
    <row r="18" spans="1:9" ht="14.25">
      <c r="A18" s="41" t="str">
        <f>HLOOKUP(INDICE!$F$2,Nombres!$C$3:$D$636,43,FALSE)</f>
        <v>Operating income</v>
      </c>
      <c r="B18" s="41">
        <f>+B12+B13</f>
        <v>472.9190299899999</v>
      </c>
      <c r="C18" s="41">
        <f aca="true" t="shared" si="1" ref="C18:I18">+C12+C13</f>
        <v>472.10581762000004</v>
      </c>
      <c r="D18" s="41">
        <f t="shared" si="1"/>
        <v>451.9598563300002</v>
      </c>
      <c r="E18" s="42">
        <f t="shared" si="1"/>
        <v>455.6427613200001</v>
      </c>
      <c r="F18" s="50">
        <f t="shared" si="1"/>
        <v>377.06789046</v>
      </c>
      <c r="G18" s="50">
        <f t="shared" si="1"/>
        <v>420.06880225</v>
      </c>
      <c r="H18" s="50">
        <f t="shared" si="1"/>
        <v>423.08417255999996</v>
      </c>
      <c r="I18" s="50">
        <f t="shared" si="1"/>
        <v>440.38636030999976</v>
      </c>
    </row>
    <row r="19" spans="1:9" ht="14.25">
      <c r="A19" s="43" t="str">
        <f>HLOOKUP(INDICE!$F$2,Nombres!$C$3:$D$636,44,FALSE)</f>
        <v>Impaiment on financial assets not measured at fair value through profit or loss</v>
      </c>
      <c r="B19" s="44">
        <v>-318.74199999999996</v>
      </c>
      <c r="C19" s="44">
        <v>-283.932</v>
      </c>
      <c r="D19" s="44">
        <v>-72.37499999999997</v>
      </c>
      <c r="E19" s="45">
        <v>-189.16700000000003</v>
      </c>
      <c r="F19" s="44">
        <v>-159.254</v>
      </c>
      <c r="G19" s="44">
        <v>-184.08600000000004</v>
      </c>
      <c r="H19" s="44">
        <v>-164.624</v>
      </c>
      <c r="I19" s="44">
        <v>-114.34799999999998</v>
      </c>
    </row>
    <row r="20" spans="1:9" ht="14.25">
      <c r="A20" s="43" t="str">
        <f>HLOOKUP(INDICE!$F$2,Nombres!$C$3:$D$636,45,FALSE)</f>
        <v>Provisions or reversal of provisions and other results</v>
      </c>
      <c r="B20" s="44">
        <v>-17.688000000000002</v>
      </c>
      <c r="C20" s="44">
        <v>-27.756999999999998</v>
      </c>
      <c r="D20" s="44">
        <v>-29.577999999999996</v>
      </c>
      <c r="E20" s="45">
        <v>-17.711512999999997</v>
      </c>
      <c r="F20" s="44">
        <v>-15.966793999999998</v>
      </c>
      <c r="G20" s="44">
        <v>-13.527615</v>
      </c>
      <c r="H20" s="44">
        <v>-17.842942999999998</v>
      </c>
      <c r="I20" s="44">
        <v>-29.586426000000003</v>
      </c>
    </row>
    <row r="21" spans="1:9" ht="14.25">
      <c r="A21" s="41" t="str">
        <f>HLOOKUP(INDICE!$F$2,Nombres!$C$3:$D$636,46,FALSE)</f>
        <v>Profit/(loss) before tax</v>
      </c>
      <c r="B21" s="41">
        <f>+B18+B19+B20</f>
        <v>136.48902998999995</v>
      </c>
      <c r="C21" s="41">
        <f aca="true" t="shared" si="2" ref="C21:I21">+C18+C19+C20</f>
        <v>160.41681762000002</v>
      </c>
      <c r="D21" s="41">
        <f t="shared" si="2"/>
        <v>350.00685633000023</v>
      </c>
      <c r="E21" s="42">
        <f t="shared" si="2"/>
        <v>248.76424832000006</v>
      </c>
      <c r="F21" s="50">
        <f t="shared" si="2"/>
        <v>201.84709646000002</v>
      </c>
      <c r="G21" s="50">
        <f t="shared" si="2"/>
        <v>222.45518724999994</v>
      </c>
      <c r="H21" s="50">
        <f t="shared" si="2"/>
        <v>240.61722955999994</v>
      </c>
      <c r="I21" s="50">
        <f t="shared" si="2"/>
        <v>296.4519343099998</v>
      </c>
    </row>
    <row r="22" spans="1:9" ht="14.25">
      <c r="A22" s="43" t="str">
        <f>HLOOKUP(INDICE!$F$2,Nombres!$C$3:$D$636,47,FALSE)</f>
        <v>Income tax</v>
      </c>
      <c r="B22" s="44">
        <v>-29.373916749999992</v>
      </c>
      <c r="C22" s="44">
        <v>-51.951764289999986</v>
      </c>
      <c r="D22" s="44">
        <v>-111.81223175000002</v>
      </c>
      <c r="E22" s="45">
        <v>-84.26761391000001</v>
      </c>
      <c r="F22" s="44">
        <v>-59.07668183999999</v>
      </c>
      <c r="G22" s="44">
        <v>-71.93390375</v>
      </c>
      <c r="H22" s="44">
        <v>-75.98728387</v>
      </c>
      <c r="I22" s="44">
        <v>-80.18764600000002</v>
      </c>
    </row>
    <row r="23" spans="1:9" ht="14.25">
      <c r="A23" s="41" t="str">
        <f>HLOOKUP(INDICE!$F$2,Nombres!$C$3:$D$636,48,FALSE)</f>
        <v>Profit/(loss) for the year</v>
      </c>
      <c r="B23" s="41">
        <f>+B21+B22</f>
        <v>107.11511323999996</v>
      </c>
      <c r="C23" s="41">
        <f aca="true" t="shared" si="3" ref="C23:I23">+C21+C22</f>
        <v>108.46505333000003</v>
      </c>
      <c r="D23" s="41">
        <f t="shared" si="3"/>
        <v>238.1946245800002</v>
      </c>
      <c r="E23" s="42">
        <f t="shared" si="3"/>
        <v>164.49663441000007</v>
      </c>
      <c r="F23" s="50">
        <f t="shared" si="3"/>
        <v>142.77041462000003</v>
      </c>
      <c r="G23" s="50">
        <f t="shared" si="3"/>
        <v>150.52128349999992</v>
      </c>
      <c r="H23" s="50">
        <f t="shared" si="3"/>
        <v>164.62994568999994</v>
      </c>
      <c r="I23" s="50">
        <f t="shared" si="3"/>
        <v>216.26428830999976</v>
      </c>
    </row>
    <row r="24" spans="1:9" ht="14.25">
      <c r="A24" s="43" t="str">
        <f>HLOOKUP(INDICE!$F$2,Nombres!$C$3:$D$636,49,FALSE)</f>
        <v>Non-controlling interests</v>
      </c>
      <c r="B24" s="44">
        <v>-37.355934810000015</v>
      </c>
      <c r="C24" s="44">
        <v>-19.17750641999999</v>
      </c>
      <c r="D24" s="44">
        <v>-71.41591481</v>
      </c>
      <c r="E24" s="45">
        <v>-44.756895869999994</v>
      </c>
      <c r="F24" s="44">
        <v>-39.13709874999999</v>
      </c>
      <c r="G24" s="44">
        <v>-36.190655830000004</v>
      </c>
      <c r="H24" s="44">
        <v>-43.94528358999999</v>
      </c>
      <c r="I24" s="44">
        <v>-64.34477244000001</v>
      </c>
    </row>
    <row r="25" spans="1:9" ht="14.25">
      <c r="A25" s="47" t="str">
        <f>HLOOKUP(INDICE!$F$2,Nombres!$C$3:$D$636,50,FALSE)</f>
        <v>Net attributable profit</v>
      </c>
      <c r="B25" s="47">
        <f>+B23+B24</f>
        <v>69.75917842999993</v>
      </c>
      <c r="C25" s="47">
        <f aca="true" t="shared" si="4" ref="C25:I25">+C23+C24</f>
        <v>89.28754691000005</v>
      </c>
      <c r="D25" s="47">
        <f t="shared" si="4"/>
        <v>166.7787097700002</v>
      </c>
      <c r="E25" s="47">
        <f t="shared" si="4"/>
        <v>119.73973854000008</v>
      </c>
      <c r="F25" s="51">
        <f t="shared" si="4"/>
        <v>103.63331587000003</v>
      </c>
      <c r="G25" s="51">
        <f t="shared" si="4"/>
        <v>114.33062766999993</v>
      </c>
      <c r="H25" s="51">
        <f t="shared" si="4"/>
        <v>120.68466209999995</v>
      </c>
      <c r="I25" s="51">
        <f t="shared" si="4"/>
        <v>151.91951586999974</v>
      </c>
    </row>
    <row r="26" spans="1:9" ht="14.25">
      <c r="A26" s="62"/>
      <c r="B26" s="63"/>
      <c r="C26" s="63"/>
      <c r="D26" s="63"/>
      <c r="E26" s="63"/>
      <c r="F26" s="63"/>
      <c r="G26" s="63"/>
      <c r="H26" s="63"/>
      <c r="I26" s="63"/>
    </row>
    <row r="27" spans="1:15" ht="14.25">
      <c r="A27" s="41"/>
      <c r="B27" s="41"/>
      <c r="C27" s="41"/>
      <c r="D27" s="41"/>
      <c r="E27" s="41"/>
      <c r="F27" s="41"/>
      <c r="G27" s="41"/>
      <c r="H27" s="41"/>
      <c r="I27" s="41"/>
      <c r="K27" s="163"/>
      <c r="L27" s="163"/>
      <c r="M27" s="163"/>
      <c r="N27" s="163"/>
      <c r="O27" s="163"/>
    </row>
    <row r="28" spans="1:15" ht="16.5">
      <c r="A28" s="33" t="str">
        <f>HLOOKUP(INDICE!$F$2,Nombres!$C$3:$D$636,51,FALSE)</f>
        <v>Balance sheets</v>
      </c>
      <c r="B28" s="34"/>
      <c r="C28" s="34"/>
      <c r="D28" s="34"/>
      <c r="E28" s="34"/>
      <c r="F28" s="34"/>
      <c r="G28" s="34"/>
      <c r="H28" s="34"/>
      <c r="I28" s="34"/>
      <c r="K28" s="163"/>
      <c r="L28" s="163"/>
      <c r="M28" s="163"/>
      <c r="N28" s="163"/>
      <c r="O28" s="163"/>
    </row>
    <row r="29" spans="1:9" ht="14.25">
      <c r="A29" s="35" t="str">
        <f>HLOOKUP(INDICE!$F$2,Nombres!$C$3:$D$636,32,FALSE)</f>
        <v>(Million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10" ht="14.25">
      <c r="A31" s="43" t="str">
        <f>HLOOKUP(INDICE!$F$2,Nombres!$C$3:$D$636,52,FALSE)</f>
        <v>Cash, cash balances at central banks and other demand deposits</v>
      </c>
      <c r="B31" s="44">
        <v>8313.738</v>
      </c>
      <c r="C31" s="44">
        <v>8399.082</v>
      </c>
      <c r="D31" s="44">
        <v>6825.591</v>
      </c>
      <c r="E31" s="45">
        <v>7126.786</v>
      </c>
      <c r="F31" s="44">
        <v>6794.749999999998</v>
      </c>
      <c r="G31" s="44">
        <v>7127.522</v>
      </c>
      <c r="H31" s="44">
        <v>7852.526999999999</v>
      </c>
      <c r="I31" s="44">
        <v>8549.476</v>
      </c>
      <c r="J31" s="82"/>
    </row>
    <row r="32" spans="1:10" ht="14.25">
      <c r="A32" s="43" t="str">
        <f>HLOOKUP(INDICE!$F$2,Nombres!$C$3:$D$636,53,FALSE)</f>
        <v>Financial assets designated at fair value </v>
      </c>
      <c r="B32" s="58">
        <v>7561.228999999999</v>
      </c>
      <c r="C32" s="58">
        <v>8250.433</v>
      </c>
      <c r="D32" s="58">
        <v>8153.83</v>
      </c>
      <c r="E32" s="65">
        <v>7328.645</v>
      </c>
      <c r="F32" s="44">
        <v>7432.951999999999</v>
      </c>
      <c r="G32" s="44">
        <v>7266.091</v>
      </c>
      <c r="H32" s="44">
        <v>7357.267</v>
      </c>
      <c r="I32" s="44">
        <v>7174.592</v>
      </c>
      <c r="J32" s="82"/>
    </row>
    <row r="33" spans="1:10" ht="14.25">
      <c r="A33" s="43" t="str">
        <f>HLOOKUP(INDICE!$F$2,Nombres!$C$3:$D$636,54,FALSE)</f>
        <v>Financial assets at amortized cost</v>
      </c>
      <c r="B33" s="44">
        <v>36145.817</v>
      </c>
      <c r="C33" s="44">
        <v>38741.912</v>
      </c>
      <c r="D33" s="44">
        <v>38223.009</v>
      </c>
      <c r="E33" s="45">
        <v>38548.833000000006</v>
      </c>
      <c r="F33" s="44">
        <v>36380.903999999995</v>
      </c>
      <c r="G33" s="44">
        <v>36356.060999999994</v>
      </c>
      <c r="H33" s="44">
        <v>36364.706</v>
      </c>
      <c r="I33" s="44">
        <v>37746.981999999996</v>
      </c>
      <c r="J33" s="82"/>
    </row>
    <row r="34" spans="1:10" ht="14.25">
      <c r="A34" s="43" t="str">
        <f>HLOOKUP(INDICE!$F$2,Nombres!$C$3:$D$636,55,FALSE)</f>
        <v>    of which loans and advances to customers</v>
      </c>
      <c r="B34" s="44">
        <v>34202.08700000001</v>
      </c>
      <c r="C34" s="44">
        <v>35335.912</v>
      </c>
      <c r="D34" s="44">
        <v>33678.044</v>
      </c>
      <c r="E34" s="45">
        <v>33615.106</v>
      </c>
      <c r="F34" s="44">
        <v>32443.496999999996</v>
      </c>
      <c r="G34" s="44">
        <v>32634.762</v>
      </c>
      <c r="H34" s="44">
        <v>32421.622000000003</v>
      </c>
      <c r="I34" s="44">
        <v>34608.019</v>
      </c>
      <c r="J34" s="82"/>
    </row>
    <row r="35" spans="1:10" ht="14.25">
      <c r="A35" s="43"/>
      <c r="B35" s="44"/>
      <c r="C35" s="44"/>
      <c r="D35" s="44"/>
      <c r="E35" s="45"/>
      <c r="F35" s="44"/>
      <c r="G35" s="44"/>
      <c r="H35" s="44"/>
      <c r="I35" s="44"/>
      <c r="J35" s="82"/>
    </row>
    <row r="36" spans="1:10" ht="14.25">
      <c r="A36" s="43" t="str">
        <f>HLOOKUP(INDICE!$F$2,Nombres!$C$3:$D$636,56,FALSE)</f>
        <v>Tangible assets</v>
      </c>
      <c r="B36" s="44">
        <v>920.8204417600001</v>
      </c>
      <c r="C36" s="44">
        <v>874.267</v>
      </c>
      <c r="D36" s="44">
        <v>809.60891768</v>
      </c>
      <c r="E36" s="45">
        <v>808.0144728399999</v>
      </c>
      <c r="F36" s="44">
        <v>805.5433658399999</v>
      </c>
      <c r="G36" s="44">
        <v>799.439</v>
      </c>
      <c r="H36" s="44">
        <v>813.9630000000001</v>
      </c>
      <c r="I36" s="44">
        <v>894.5609999999999</v>
      </c>
      <c r="J36" s="82"/>
    </row>
    <row r="37" spans="1:10" ht="14.25">
      <c r="A37" s="43" t="str">
        <f>HLOOKUP(INDICE!$F$2,Nombres!$C$3:$D$636,57,FALSE)</f>
        <v>Other assets</v>
      </c>
      <c r="B37" s="58">
        <f aca="true" t="shared" si="5" ref="B37:I37">+B38-B36-B33-B32-B31</f>
        <v>1830.2178972300007</v>
      </c>
      <c r="C37" s="58">
        <f t="shared" si="5"/>
        <v>1626.9002275999937</v>
      </c>
      <c r="D37" s="58">
        <f t="shared" si="5"/>
        <v>1521.1875777600017</v>
      </c>
      <c r="E37" s="65">
        <f t="shared" si="5"/>
        <v>1623.8986307299892</v>
      </c>
      <c r="F37" s="44">
        <f t="shared" si="5"/>
        <v>1750.073712999998</v>
      </c>
      <c r="G37" s="44">
        <f t="shared" si="5"/>
        <v>1794.0877786900064</v>
      </c>
      <c r="H37" s="44">
        <f t="shared" si="5"/>
        <v>1750.8512422000013</v>
      </c>
      <c r="I37" s="44">
        <f t="shared" si="5"/>
        <v>1758.201612859999</v>
      </c>
      <c r="J37" s="82"/>
    </row>
    <row r="38" spans="1:10" ht="14.25">
      <c r="A38" s="47" t="str">
        <f>HLOOKUP(INDICE!$F$2,Nombres!$C$3:$D$636,58,FALSE)</f>
        <v>Total assets / Liabilities and equity</v>
      </c>
      <c r="B38" s="47">
        <v>54771.82233899</v>
      </c>
      <c r="C38" s="47">
        <v>57892.59422759999</v>
      </c>
      <c r="D38" s="47">
        <v>55533.22649544</v>
      </c>
      <c r="E38" s="47">
        <v>55436.17710356999</v>
      </c>
      <c r="F38" s="51">
        <v>53164.22307883999</v>
      </c>
      <c r="G38" s="51">
        <v>53343.20077869</v>
      </c>
      <c r="H38" s="51">
        <v>54139.3142422</v>
      </c>
      <c r="I38" s="51">
        <v>56123.81261286</v>
      </c>
      <c r="J38" s="82"/>
    </row>
    <row r="39" spans="1:10" ht="14.25">
      <c r="A39" s="43" t="str">
        <f>HLOOKUP(INDICE!$F$2,Nombres!$C$3:$D$636,59,FALSE)</f>
        <v>Financial liabilities held for trading and designated at fair value through profit or loss</v>
      </c>
      <c r="B39" s="58">
        <v>2005.9350000000002</v>
      </c>
      <c r="C39" s="58">
        <v>1942.9720000000002</v>
      </c>
      <c r="D39" s="58">
        <v>1618.1270000000002</v>
      </c>
      <c r="E39" s="65">
        <v>1326.236</v>
      </c>
      <c r="F39" s="44">
        <v>1222.644</v>
      </c>
      <c r="G39" s="44">
        <v>1176.6830000000002</v>
      </c>
      <c r="H39" s="44">
        <v>1588.1860000000001</v>
      </c>
      <c r="I39" s="44">
        <v>1883.662</v>
      </c>
      <c r="J39" s="82"/>
    </row>
    <row r="40" spans="1:10" ht="15.75" customHeight="1">
      <c r="A40" s="43" t="str">
        <f>HLOOKUP(INDICE!$F$2,Nombres!$C$3:$D$636,60,FALSE)</f>
        <v>Deposits from central banks and credit institutions</v>
      </c>
      <c r="B40" s="58">
        <v>4055.4549999999995</v>
      </c>
      <c r="C40" s="58">
        <v>4289.307999999999</v>
      </c>
      <c r="D40" s="58">
        <v>5877.398999999999</v>
      </c>
      <c r="E40" s="65">
        <v>5378.188999999999</v>
      </c>
      <c r="F40" s="44">
        <v>5196.62500001</v>
      </c>
      <c r="G40" s="44">
        <v>5348.602999999999</v>
      </c>
      <c r="H40" s="44">
        <v>5239.848999989999</v>
      </c>
      <c r="I40" s="44">
        <v>5501.245</v>
      </c>
      <c r="J40" s="82"/>
    </row>
    <row r="41" spans="1:10" ht="14.25">
      <c r="A41" s="43" t="str">
        <f>HLOOKUP(INDICE!$F$2,Nombres!$C$3:$D$636,61,FALSE)</f>
        <v>Deposits from customers</v>
      </c>
      <c r="B41" s="58">
        <v>35948.85399999999</v>
      </c>
      <c r="C41" s="58">
        <v>39356.901</v>
      </c>
      <c r="D41" s="58">
        <v>36023.834</v>
      </c>
      <c r="E41" s="65">
        <v>36874.061</v>
      </c>
      <c r="F41" s="44">
        <v>34919.717999989996</v>
      </c>
      <c r="G41" s="44">
        <v>35236.349</v>
      </c>
      <c r="H41" s="44">
        <v>35458.31500001</v>
      </c>
      <c r="I41" s="44">
        <v>36340.104999999996</v>
      </c>
      <c r="J41" s="82"/>
    </row>
    <row r="42" spans="1:10" ht="14.25">
      <c r="A42" s="43" t="str">
        <f>HLOOKUP(INDICE!$F$2,Nombres!$C$3:$D$636,62,FALSE)</f>
        <v>Debt certificates</v>
      </c>
      <c r="B42" s="44">
        <v>4260.41774522</v>
      </c>
      <c r="C42" s="44">
        <v>4125.4932297000005</v>
      </c>
      <c r="D42" s="44">
        <v>3566.7334447400003</v>
      </c>
      <c r="E42" s="45">
        <v>3268.8553259699993</v>
      </c>
      <c r="F42" s="44">
        <v>3233.9270526300006</v>
      </c>
      <c r="G42" s="44">
        <v>3133.04524343</v>
      </c>
      <c r="H42" s="44">
        <v>3159.1872175900003</v>
      </c>
      <c r="I42" s="44">
        <v>3214.71881898</v>
      </c>
      <c r="J42" s="82"/>
    </row>
    <row r="43" spans="1:10" ht="14.25">
      <c r="A43" s="43"/>
      <c r="B43" s="44"/>
      <c r="C43" s="44"/>
      <c r="D43" s="44"/>
      <c r="E43" s="45"/>
      <c r="F43" s="44"/>
      <c r="G43" s="44"/>
      <c r="H43" s="44"/>
      <c r="I43" s="44"/>
      <c r="J43" s="82"/>
    </row>
    <row r="44" spans="1:10" ht="14.25">
      <c r="A44" s="43" t="str">
        <f>HLOOKUP(INDICE!$F$2,Nombres!$C$3:$D$636,63,FALSE)</f>
        <v>Other liabilities</v>
      </c>
      <c r="B44" s="58">
        <f aca="true" t="shared" si="6" ref="B44:I44">+B38-B39-B40-B41-B42-B45</f>
        <v>3150.914846060009</v>
      </c>
      <c r="C44" s="58">
        <f t="shared" si="6"/>
        <v>2934.163866549995</v>
      </c>
      <c r="D44" s="58">
        <f>+D38-D39-D40-D41-D42-D45</f>
        <v>3685.2393622300006</v>
      </c>
      <c r="E44" s="65">
        <f t="shared" si="6"/>
        <v>3812.805354639998</v>
      </c>
      <c r="F44" s="44">
        <f t="shared" si="6"/>
        <v>4044.611532879997</v>
      </c>
      <c r="G44" s="44">
        <f t="shared" si="6"/>
        <v>3992.8996804399976</v>
      </c>
      <c r="H44" s="44">
        <f t="shared" si="6"/>
        <v>4076.4370374000027</v>
      </c>
      <c r="I44" s="44">
        <f t="shared" si="6"/>
        <v>4206.903089640003</v>
      </c>
      <c r="J44" s="82"/>
    </row>
    <row r="45" spans="1:10" ht="14.25">
      <c r="A45" s="43" t="str">
        <f>HLOOKUP(INDICE!$F$2,Nombres!$C$3:$D$636,282,FALSE)</f>
        <v>Regulatory capital allocated</v>
      </c>
      <c r="B45" s="44">
        <v>5350.245747710001</v>
      </c>
      <c r="C45" s="44">
        <v>5243.756131349999</v>
      </c>
      <c r="D45" s="58">
        <v>4761.89368847</v>
      </c>
      <c r="E45" s="65">
        <v>4776.03042296</v>
      </c>
      <c r="F45" s="44">
        <v>4546.697493329999</v>
      </c>
      <c r="G45" s="44">
        <v>4455.620854819999</v>
      </c>
      <c r="H45" s="44">
        <v>4617.33998721</v>
      </c>
      <c r="I45" s="44">
        <v>4977.17870424</v>
      </c>
      <c r="J45" s="82"/>
    </row>
    <row r="46" spans="1:10" ht="14.25">
      <c r="A46" s="62"/>
      <c r="B46" s="58"/>
      <c r="C46" s="58"/>
      <c r="D46" s="58"/>
      <c r="E46" s="58"/>
      <c r="F46" s="44"/>
      <c r="G46" s="44"/>
      <c r="H46" s="44"/>
      <c r="I46" s="44"/>
      <c r="J46" s="82"/>
    </row>
    <row r="47" spans="1:10" ht="14.25">
      <c r="A47" s="43"/>
      <c r="B47" s="58"/>
      <c r="C47" s="58"/>
      <c r="D47" s="58"/>
      <c r="E47" s="58"/>
      <c r="F47" s="44"/>
      <c r="G47" s="44"/>
      <c r="H47" s="44"/>
      <c r="I47" s="44"/>
      <c r="J47" s="82"/>
    </row>
    <row r="48" spans="1:10" ht="16.5">
      <c r="A48" s="33" t="str">
        <f>HLOOKUP(INDICE!$F$2,Nombres!$C$3:$D$636,65,FALSE)</f>
        <v>Relevant business indicators</v>
      </c>
      <c r="B48" s="34"/>
      <c r="C48" s="34"/>
      <c r="D48" s="34"/>
      <c r="E48" s="34"/>
      <c r="F48" s="69"/>
      <c r="G48" s="69"/>
      <c r="H48" s="69"/>
      <c r="I48" s="69"/>
      <c r="J48" s="82"/>
    </row>
    <row r="49" spans="1:10" ht="14.25">
      <c r="A49" s="35" t="str">
        <f>HLOOKUP(INDICE!$F$2,Nombres!$C$3:$D$636,32,FALSE)</f>
        <v>(Million euros)</v>
      </c>
      <c r="B49" s="30"/>
      <c r="C49" s="30"/>
      <c r="D49" s="30"/>
      <c r="E49" s="30"/>
      <c r="F49" s="70"/>
      <c r="G49" s="44"/>
      <c r="H49" s="44"/>
      <c r="I49" s="44"/>
      <c r="J49" s="82"/>
    </row>
    <row r="50" spans="1:10" ht="14.2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c r="J50" s="82"/>
    </row>
    <row r="51" spans="1:10" ht="14.25">
      <c r="A51" s="43" t="str">
        <f>HLOOKUP(INDICE!$F$2,Nombres!$C$3:$D$636,66,FALSE)</f>
        <v>Loans and advances to customers (gross) (*)</v>
      </c>
      <c r="B51" s="44">
        <v>35917.39800456</v>
      </c>
      <c r="C51" s="44">
        <v>37122.318925789994</v>
      </c>
      <c r="D51" s="44">
        <v>35480.540991320006</v>
      </c>
      <c r="E51" s="45">
        <v>35441.98570991</v>
      </c>
      <c r="F51" s="44">
        <v>34337.82003087</v>
      </c>
      <c r="G51" s="44">
        <v>34509.81434494999</v>
      </c>
      <c r="H51" s="44">
        <v>34229.01637454</v>
      </c>
      <c r="I51" s="44">
        <v>36329.22122551</v>
      </c>
      <c r="J51" s="82"/>
    </row>
    <row r="52" spans="1:10" ht="14.25">
      <c r="A52" s="43" t="str">
        <f>HLOOKUP(INDICE!$F$2,Nombres!$C$3:$D$636,67,FALSE)</f>
        <v>Customer deposits under management (*)</v>
      </c>
      <c r="B52" s="44">
        <v>35963.780299909995</v>
      </c>
      <c r="C52" s="44">
        <v>39375.98712307001</v>
      </c>
      <c r="D52" s="44">
        <v>36036.08106172</v>
      </c>
      <c r="E52" s="45">
        <v>36885.8285584</v>
      </c>
      <c r="F52" s="44">
        <v>34931.854498429995</v>
      </c>
      <c r="G52" s="44">
        <v>35235.706468820004</v>
      </c>
      <c r="H52" s="44">
        <v>35452.64485391999</v>
      </c>
      <c r="I52" s="44">
        <v>36364.32316639999</v>
      </c>
      <c r="J52" s="82"/>
    </row>
    <row r="53" spans="1:10" ht="14.25">
      <c r="A53" s="43" t="str">
        <f>HLOOKUP(INDICE!$F$2,Nombres!$C$3:$D$636,68,FALSE)</f>
        <v>Mutual funds</v>
      </c>
      <c r="B53" s="44">
        <v>3501.24404655</v>
      </c>
      <c r="C53" s="44">
        <v>4488.529605320001</v>
      </c>
      <c r="D53" s="44">
        <v>4680.553746400001</v>
      </c>
      <c r="E53" s="45">
        <v>4687.02710085</v>
      </c>
      <c r="F53" s="44">
        <v>4788.23855366</v>
      </c>
      <c r="G53" s="44">
        <v>4237.59487643</v>
      </c>
      <c r="H53" s="44">
        <v>4278.745868699999</v>
      </c>
      <c r="I53" s="44">
        <v>4261.20111652</v>
      </c>
      <c r="J53" s="82"/>
    </row>
    <row r="54" spans="1:10" ht="14.25">
      <c r="A54" s="43" t="str">
        <f>HLOOKUP(INDICE!$F$2,Nombres!$C$3:$D$636,69,FALSE)</f>
        <v>Pension funds</v>
      </c>
      <c r="B54" s="44">
        <v>9433.94754052</v>
      </c>
      <c r="C54" s="44">
        <v>9349.92267847</v>
      </c>
      <c r="D54" s="44">
        <v>9180.04306231</v>
      </c>
      <c r="E54" s="45">
        <v>9035.21080128</v>
      </c>
      <c r="F54" s="44">
        <v>9644.26944677</v>
      </c>
      <c r="G54" s="44">
        <v>9723.71141773</v>
      </c>
      <c r="H54" s="44">
        <v>10139.32699649</v>
      </c>
      <c r="I54" s="44">
        <v>10494.68899456</v>
      </c>
      <c r="J54" s="82"/>
    </row>
    <row r="55" spans="1:10" ht="14.25">
      <c r="A55" s="43" t="str">
        <f>HLOOKUP(INDICE!$F$2,Nombres!$C$3:$D$636,70,FALSE)</f>
        <v>Other off balance-sheet funds</v>
      </c>
      <c r="B55" s="44">
        <v>0</v>
      </c>
      <c r="C55" s="44">
        <v>0</v>
      </c>
      <c r="D55" s="44">
        <v>0</v>
      </c>
      <c r="E55" s="45">
        <v>0</v>
      </c>
      <c r="F55" s="44">
        <v>0</v>
      </c>
      <c r="G55" s="44">
        <v>0</v>
      </c>
      <c r="H55" s="44">
        <v>0</v>
      </c>
      <c r="I55" s="44">
        <v>0</v>
      </c>
      <c r="J55" s="82"/>
    </row>
    <row r="56" spans="1:9" ht="14.25">
      <c r="A56" s="62" t="str">
        <f>HLOOKUP(INDICE!$F$2,Nombres!$C$3:$D$636,71,FALSE)</f>
        <v>(*) Excluding repos. </v>
      </c>
      <c r="B56" s="58"/>
      <c r="C56" s="58"/>
      <c r="D56" s="58"/>
      <c r="E56" s="58"/>
      <c r="F56" s="58"/>
      <c r="G56" s="58"/>
      <c r="H56" s="58"/>
      <c r="I56" s="58"/>
    </row>
    <row r="57" spans="1:9" ht="14.25">
      <c r="A57" s="62">
        <f>HLOOKUP(INDICE!$F$2,Nombres!$C$3:$D$636,72,FALSE)</f>
        <v>0</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Income statement  </v>
      </c>
      <c r="B59" s="34"/>
      <c r="C59" s="34"/>
      <c r="D59" s="34"/>
      <c r="E59" s="34"/>
      <c r="F59" s="34"/>
      <c r="G59" s="34"/>
      <c r="H59" s="34"/>
      <c r="I59" s="34"/>
    </row>
    <row r="60" spans="1:9" ht="14.25">
      <c r="A60" s="35" t="str">
        <f>HLOOKUP(INDICE!$F$2,Nombres!$C$3:$D$636,73,FALSE)</f>
        <v>(Constant million euros)    </v>
      </c>
      <c r="B60" s="30"/>
      <c r="C60" s="36"/>
      <c r="D60" s="36"/>
      <c r="E60" s="36"/>
      <c r="F60" s="30"/>
      <c r="G60" s="30"/>
      <c r="H60" s="30"/>
      <c r="I60" s="3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39" t="str">
        <f>+B$7</f>
        <v>1Q</v>
      </c>
      <c r="C63" s="39" t="str">
        <f aca="true" t="shared" si="8" ref="C63:I63">+C$7</f>
        <v>2Q</v>
      </c>
      <c r="D63" s="39" t="str">
        <f t="shared" si="8"/>
        <v>3Q</v>
      </c>
      <c r="E63" s="40" t="str">
        <f t="shared" si="8"/>
        <v>4Q</v>
      </c>
      <c r="F63" s="39" t="str">
        <f t="shared" si="8"/>
        <v>1Q</v>
      </c>
      <c r="G63" s="39" t="str">
        <f t="shared" si="8"/>
        <v>2Q</v>
      </c>
      <c r="H63" s="39" t="str">
        <f t="shared" si="8"/>
        <v>3Q</v>
      </c>
      <c r="I63" s="39" t="str">
        <f t="shared" si="8"/>
        <v>4Q</v>
      </c>
    </row>
    <row r="64" spans="1:9" ht="14.25">
      <c r="A64" s="41" t="str">
        <f>HLOOKUP(INDICE!$F$2,Nombres!$C$3:$D$636,33,FALSE)</f>
        <v>Net interest income</v>
      </c>
      <c r="B64" s="41">
        <v>599.1428892589115</v>
      </c>
      <c r="C64" s="41">
        <v>590.2437205936125</v>
      </c>
      <c r="D64" s="41">
        <v>611.1096077186451</v>
      </c>
      <c r="E64" s="42">
        <v>675.546948700797</v>
      </c>
      <c r="F64" s="50">
        <v>631.3141283546058</v>
      </c>
      <c r="G64" s="50">
        <v>673.3702984855141</v>
      </c>
      <c r="H64" s="50">
        <v>742.3811431767319</v>
      </c>
      <c r="I64" s="50">
        <v>812.133007163148</v>
      </c>
    </row>
    <row r="65" spans="1:9" ht="14.25">
      <c r="A65" s="43" t="str">
        <f>HLOOKUP(INDICE!$F$2,Nombres!$C$3:$D$636,34,FALSE)</f>
        <v>Net fees and commissions</v>
      </c>
      <c r="B65" s="44">
        <v>95.22480234144764</v>
      </c>
      <c r="C65" s="44">
        <v>92.99887954493812</v>
      </c>
      <c r="D65" s="44">
        <v>126.43757951811168</v>
      </c>
      <c r="E65" s="45">
        <v>121.84691981609771</v>
      </c>
      <c r="F65" s="44">
        <v>115.40620705889378</v>
      </c>
      <c r="G65" s="44">
        <v>147.50907932652953</v>
      </c>
      <c r="H65" s="44">
        <v>161.022622532889</v>
      </c>
      <c r="I65" s="44">
        <v>164.85016371168766</v>
      </c>
    </row>
    <row r="66" spans="1:9" ht="14.25">
      <c r="A66" s="43" t="str">
        <f>HLOOKUP(INDICE!$F$2,Nombres!$C$3:$D$636,35,FALSE)</f>
        <v>Net trading income</v>
      </c>
      <c r="B66" s="44">
        <v>62.01398269358654</v>
      </c>
      <c r="C66" s="44">
        <v>78.21116375526523</v>
      </c>
      <c r="D66" s="44">
        <v>92.20710254561692</v>
      </c>
      <c r="E66" s="45">
        <v>134.473042700779</v>
      </c>
      <c r="F66" s="44">
        <v>71.10895654514819</v>
      </c>
      <c r="G66" s="44">
        <v>105.7180695095704</v>
      </c>
      <c r="H66" s="44">
        <v>72.36163702824379</v>
      </c>
      <c r="I66" s="44">
        <v>75.22382048703761</v>
      </c>
    </row>
    <row r="67" spans="1:9" ht="14.25">
      <c r="A67" s="43" t="str">
        <f>HLOOKUP(INDICE!$F$2,Nombres!$C$3:$D$636,36,FALSE)</f>
        <v>Other operating income and expenses</v>
      </c>
      <c r="B67" s="44">
        <v>-90.37793779584096</v>
      </c>
      <c r="C67" s="44">
        <v>-77.27909281948072</v>
      </c>
      <c r="D67" s="44">
        <v>-82.98522220286884</v>
      </c>
      <c r="E67" s="45">
        <v>-104.6644285953097</v>
      </c>
      <c r="F67" s="44">
        <v>-137.66852843139537</v>
      </c>
      <c r="G67" s="44">
        <v>-155.2742314367948</v>
      </c>
      <c r="H67" s="44">
        <v>-148.34733054417268</v>
      </c>
      <c r="I67" s="44">
        <v>-169.56990958763717</v>
      </c>
    </row>
    <row r="68" spans="1:9" ht="14.25">
      <c r="A68" s="41" t="str">
        <f>HLOOKUP(INDICE!$F$2,Nombres!$C$3:$D$636,37,FALSE)</f>
        <v>Gross income</v>
      </c>
      <c r="B68" s="41">
        <f>+SUM(B64:B67)</f>
        <v>666.0037364981048</v>
      </c>
      <c r="C68" s="41">
        <f aca="true" t="shared" si="9" ref="C68:I68">+SUM(C64:C67)</f>
        <v>684.1746710743352</v>
      </c>
      <c r="D68" s="41">
        <f t="shared" si="9"/>
        <v>746.7690675795048</v>
      </c>
      <c r="E68" s="42">
        <f t="shared" si="9"/>
        <v>827.2024826223641</v>
      </c>
      <c r="F68" s="50">
        <f t="shared" si="9"/>
        <v>680.1607635272524</v>
      </c>
      <c r="G68" s="50">
        <f t="shared" si="9"/>
        <v>771.3232158848192</v>
      </c>
      <c r="H68" s="50">
        <f t="shared" si="9"/>
        <v>827.4180721936921</v>
      </c>
      <c r="I68" s="50">
        <f t="shared" si="9"/>
        <v>882.637081774236</v>
      </c>
    </row>
    <row r="69" spans="1:9" ht="14.25">
      <c r="A69" s="43" t="str">
        <f>HLOOKUP(INDICE!$F$2,Nombres!$C$3:$D$636,38,FALSE)</f>
        <v>Operating expenses</v>
      </c>
      <c r="B69" s="44">
        <v>-309.30778875019223</v>
      </c>
      <c r="C69" s="44">
        <v>-285.9541930849933</v>
      </c>
      <c r="D69" s="44">
        <v>-314.0161529985228</v>
      </c>
      <c r="E69" s="45">
        <v>-348.0677003474673</v>
      </c>
      <c r="F69" s="44">
        <v>-323.3771809651544</v>
      </c>
      <c r="G69" s="44">
        <v>-348.6467580069184</v>
      </c>
      <c r="H69" s="44">
        <v>-395.6015718080049</v>
      </c>
      <c r="I69" s="44">
        <v>-433.3063970199223</v>
      </c>
    </row>
    <row r="70" spans="1:9" ht="14.25">
      <c r="A70" s="43" t="str">
        <f>HLOOKUP(INDICE!$F$2,Nombres!$C$3:$D$636,39,FALSE)</f>
        <v>  Administration expenses</v>
      </c>
      <c r="B70" s="44">
        <v>-272.3105686861267</v>
      </c>
      <c r="C70" s="44">
        <v>-251.555981806935</v>
      </c>
      <c r="D70" s="44">
        <v>-279.5302523333253</v>
      </c>
      <c r="E70" s="45">
        <v>-312.3015530482691</v>
      </c>
      <c r="F70" s="44">
        <v>-290.1257507338587</v>
      </c>
      <c r="G70" s="44">
        <v>-313.0151566020604</v>
      </c>
      <c r="H70" s="44">
        <v>-358.29053412992346</v>
      </c>
      <c r="I70" s="44">
        <v>-394.47746633415755</v>
      </c>
    </row>
    <row r="71" spans="1:9" ht="14.25">
      <c r="A71" s="46" t="str">
        <f>HLOOKUP(INDICE!$F$2,Nombres!$C$3:$D$636,40,FALSE)</f>
        <v>  Personnel expenses</v>
      </c>
      <c r="B71" s="44">
        <v>-153.90390956741922</v>
      </c>
      <c r="C71" s="44">
        <v>-138.31917291561692</v>
      </c>
      <c r="D71" s="44">
        <v>-153.51801622643745</v>
      </c>
      <c r="E71" s="45">
        <v>-165.78332364155</v>
      </c>
      <c r="F71" s="44">
        <v>-158.92314611786463</v>
      </c>
      <c r="G71" s="44">
        <v>-168.0890753491432</v>
      </c>
      <c r="H71" s="44">
        <v>-188.48049894472837</v>
      </c>
      <c r="I71" s="44">
        <v>-208.82922836826378</v>
      </c>
    </row>
    <row r="72" spans="1:9" ht="14.25">
      <c r="A72" s="46" t="str">
        <f>HLOOKUP(INDICE!$F$2,Nombres!$C$3:$D$636,41,FALSE)</f>
        <v>  General and administrative expenses</v>
      </c>
      <c r="B72" s="44">
        <v>-118.4066591187075</v>
      </c>
      <c r="C72" s="44">
        <v>-113.23680889131808</v>
      </c>
      <c r="D72" s="44">
        <v>-126.01223610688783</v>
      </c>
      <c r="E72" s="45">
        <v>-146.51822940671912</v>
      </c>
      <c r="F72" s="44">
        <v>-131.202604615994</v>
      </c>
      <c r="G72" s="44">
        <v>-144.9260812529172</v>
      </c>
      <c r="H72" s="44">
        <v>-169.81003518519503</v>
      </c>
      <c r="I72" s="44">
        <v>-185.6482379658937</v>
      </c>
    </row>
    <row r="73" spans="1:9" ht="14.25">
      <c r="A73" s="43" t="str">
        <f>HLOOKUP(INDICE!$F$2,Nombres!$C$3:$D$636,42,FALSE)</f>
        <v>  Depreciation</v>
      </c>
      <c r="B73" s="44">
        <v>-36.99722006406553</v>
      </c>
      <c r="C73" s="44">
        <v>-34.39821127805826</v>
      </c>
      <c r="D73" s="44">
        <v>-34.485900665197484</v>
      </c>
      <c r="E73" s="45">
        <v>-35.76614729919815</v>
      </c>
      <c r="F73" s="44">
        <v>-33.25143023129577</v>
      </c>
      <c r="G73" s="44">
        <v>-35.631601404857975</v>
      </c>
      <c r="H73" s="44">
        <v>-37.311037678081476</v>
      </c>
      <c r="I73" s="44">
        <v>-38.82893068576478</v>
      </c>
    </row>
    <row r="74" spans="1:9" ht="14.25">
      <c r="A74" s="41" t="str">
        <f>HLOOKUP(INDICE!$F$2,Nombres!$C$3:$D$636,43,FALSE)</f>
        <v>Operating income</v>
      </c>
      <c r="B74" s="41">
        <f>+B68+B69</f>
        <v>356.69594774791256</v>
      </c>
      <c r="C74" s="41">
        <f aca="true" t="shared" si="10" ref="C74:I74">+C68+C69</f>
        <v>398.2204779893419</v>
      </c>
      <c r="D74" s="41">
        <f t="shared" si="10"/>
        <v>432.75291458098206</v>
      </c>
      <c r="E74" s="42">
        <f t="shared" si="10"/>
        <v>479.1347822748968</v>
      </c>
      <c r="F74" s="50">
        <f t="shared" si="10"/>
        <v>356.78358256209793</v>
      </c>
      <c r="G74" s="50">
        <f t="shared" si="10"/>
        <v>422.6764578779008</v>
      </c>
      <c r="H74" s="50">
        <f t="shared" si="10"/>
        <v>431.81650038568716</v>
      </c>
      <c r="I74" s="50">
        <f t="shared" si="10"/>
        <v>449.33068475431367</v>
      </c>
    </row>
    <row r="75" spans="1:9" ht="14.25">
      <c r="A75" s="43" t="str">
        <f>HLOOKUP(INDICE!$F$2,Nombres!$C$3:$D$636,44,FALSE)</f>
        <v>Impaiment on financial assets not measured at fair value through profit or loss</v>
      </c>
      <c r="B75" s="44">
        <v>-259.2454820453175</v>
      </c>
      <c r="C75" s="44">
        <v>-254.71008057149012</v>
      </c>
      <c r="D75" s="44">
        <v>-90.94480727706342</v>
      </c>
      <c r="E75" s="45">
        <v>-186.2766846857985</v>
      </c>
      <c r="F75" s="44">
        <v>-153.0853017741579</v>
      </c>
      <c r="G75" s="44">
        <v>-184.50780379178053</v>
      </c>
      <c r="H75" s="44">
        <v>-168.76151567835257</v>
      </c>
      <c r="I75" s="44">
        <v>-115.95737875570894</v>
      </c>
    </row>
    <row r="76" spans="1:9" ht="14.25">
      <c r="A76" s="43" t="str">
        <f>HLOOKUP(INDICE!$F$2,Nombres!$C$3:$D$636,45,FALSE)</f>
        <v>Provisions or reversal of provisions and other results</v>
      </c>
      <c r="B76" s="44">
        <v>-12.52572391069574</v>
      </c>
      <c r="C76" s="44">
        <v>-25.626227665396943</v>
      </c>
      <c r="D76" s="44">
        <v>-26.646748583276313</v>
      </c>
      <c r="E76" s="45">
        <v>-18.51901124721015</v>
      </c>
      <c r="F76" s="44">
        <v>-15.321924190668806</v>
      </c>
      <c r="G76" s="44">
        <v>-13.603820215692672</v>
      </c>
      <c r="H76" s="44">
        <v>-18.229351817057704</v>
      </c>
      <c r="I76" s="44">
        <v>-29.768681776580824</v>
      </c>
    </row>
    <row r="77" spans="1:9" ht="14.25">
      <c r="A77" s="41" t="str">
        <f>HLOOKUP(INDICE!$F$2,Nombres!$C$3:$D$636,46,FALSE)</f>
        <v>Profit/(loss) before tax</v>
      </c>
      <c r="B77" s="41">
        <f>+B74+B75+B76</f>
        <v>84.92474179189932</v>
      </c>
      <c r="C77" s="41">
        <f aca="true" t="shared" si="11" ref="C77:I77">+C74+C75+C76</f>
        <v>117.88416975245481</v>
      </c>
      <c r="D77" s="41">
        <f t="shared" si="11"/>
        <v>315.16135872064234</v>
      </c>
      <c r="E77" s="42">
        <f t="shared" si="11"/>
        <v>274.33908634188816</v>
      </c>
      <c r="F77" s="50">
        <f t="shared" si="11"/>
        <v>188.37635659727124</v>
      </c>
      <c r="G77" s="50">
        <f t="shared" si="11"/>
        <v>224.5648338704276</v>
      </c>
      <c r="H77" s="50">
        <f t="shared" si="11"/>
        <v>244.8256328902769</v>
      </c>
      <c r="I77" s="50">
        <f t="shared" si="11"/>
        <v>303.6046242220239</v>
      </c>
    </row>
    <row r="78" spans="1:9" ht="14.25">
      <c r="A78" s="43" t="str">
        <f>HLOOKUP(INDICE!$F$2,Nombres!$C$3:$D$636,47,FALSE)</f>
        <v>Income tax</v>
      </c>
      <c r="B78" s="44">
        <v>-17.250527037562037</v>
      </c>
      <c r="C78" s="44">
        <v>-38.11331258193448</v>
      </c>
      <c r="D78" s="44">
        <v>-100.68418166323134</v>
      </c>
      <c r="E78" s="45">
        <v>-91.5450110746219</v>
      </c>
      <c r="F78" s="44">
        <v>-55.15281190189302</v>
      </c>
      <c r="G78" s="44">
        <v>-72.84246415450545</v>
      </c>
      <c r="H78" s="44">
        <v>-77.12932518240252</v>
      </c>
      <c r="I78" s="44">
        <v>-82.06091422119903</v>
      </c>
    </row>
    <row r="79" spans="1:9" ht="14.25">
      <c r="A79" s="41" t="str">
        <f>HLOOKUP(INDICE!$F$2,Nombres!$C$3:$D$636,48,FALSE)</f>
        <v>Profit/(loss) for the year</v>
      </c>
      <c r="B79" s="41">
        <f>+B77+B78</f>
        <v>67.67421475433729</v>
      </c>
      <c r="C79" s="41">
        <f aca="true" t="shared" si="12" ref="C79:I79">+C77+C78</f>
        <v>79.77085717052033</v>
      </c>
      <c r="D79" s="41">
        <f t="shared" si="12"/>
        <v>214.47717705741098</v>
      </c>
      <c r="E79" s="42">
        <f t="shared" si="12"/>
        <v>182.79407526726627</v>
      </c>
      <c r="F79" s="50">
        <f t="shared" si="12"/>
        <v>133.22354469537822</v>
      </c>
      <c r="G79" s="50">
        <f t="shared" si="12"/>
        <v>151.72236971592216</v>
      </c>
      <c r="H79" s="50">
        <f t="shared" si="12"/>
        <v>167.69630770787438</v>
      </c>
      <c r="I79" s="50">
        <f t="shared" si="12"/>
        <v>221.5437100008249</v>
      </c>
    </row>
    <row r="80" spans="1:9" ht="14.25">
      <c r="A80" s="43" t="str">
        <f>HLOOKUP(INDICE!$F$2,Nombres!$C$3:$D$636,49,FALSE)</f>
        <v>Non-controlling interests</v>
      </c>
      <c r="B80" s="44">
        <v>-23.315874698691115</v>
      </c>
      <c r="C80" s="44">
        <v>-10.788631177243925</v>
      </c>
      <c r="D80" s="44">
        <v>-61.904699813401834</v>
      </c>
      <c r="E80" s="45">
        <v>-49.7949541193089</v>
      </c>
      <c r="F80" s="44">
        <v>-36.07504811032105</v>
      </c>
      <c r="G80" s="44">
        <v>-36.67350425798628</v>
      </c>
      <c r="H80" s="44">
        <v>-45.00826975983228</v>
      </c>
      <c r="I80" s="44">
        <v>-65.86098848186039</v>
      </c>
    </row>
    <row r="81" spans="1:9" ht="14.25">
      <c r="A81" s="47" t="str">
        <f>HLOOKUP(INDICE!$F$2,Nombres!$C$3:$D$636,50,FALSE)</f>
        <v>Net attributable profit</v>
      </c>
      <c r="B81" s="47">
        <f>+B79+B80</f>
        <v>44.35834005564617</v>
      </c>
      <c r="C81" s="47">
        <f aca="true" t="shared" si="13" ref="C81:I81">+C79+C80</f>
        <v>68.9822259932764</v>
      </c>
      <c r="D81" s="47">
        <f t="shared" si="13"/>
        <v>152.57247724400915</v>
      </c>
      <c r="E81" s="47">
        <f t="shared" si="13"/>
        <v>132.99912114795737</v>
      </c>
      <c r="F81" s="51">
        <f t="shared" si="13"/>
        <v>97.14849658505717</v>
      </c>
      <c r="G81" s="51">
        <f t="shared" si="13"/>
        <v>115.04886545793588</v>
      </c>
      <c r="H81" s="51">
        <f t="shared" si="13"/>
        <v>122.68803794804211</v>
      </c>
      <c r="I81" s="51">
        <f t="shared" si="13"/>
        <v>155.6827215189645</v>
      </c>
    </row>
    <row r="82" spans="1:9" ht="14.25">
      <c r="A82" s="62"/>
      <c r="B82" s="63"/>
      <c r="C82" s="63"/>
      <c r="D82" s="63"/>
      <c r="E82" s="63"/>
      <c r="F82" s="63"/>
      <c r="G82" s="63"/>
      <c r="H82" s="63"/>
      <c r="I82" s="63"/>
    </row>
    <row r="83" spans="1:15" ht="14.25">
      <c r="A83" s="41"/>
      <c r="B83" s="41"/>
      <c r="C83" s="41"/>
      <c r="D83" s="41"/>
      <c r="E83" s="41"/>
      <c r="F83" s="50"/>
      <c r="G83" s="50"/>
      <c r="H83" s="50"/>
      <c r="I83" s="50"/>
      <c r="K83" s="163"/>
      <c r="L83" s="163"/>
      <c r="M83" s="163"/>
      <c r="N83" s="163"/>
      <c r="O83" s="163"/>
    </row>
    <row r="84" spans="1:15" ht="16.5">
      <c r="A84" s="33" t="str">
        <f>HLOOKUP(INDICE!$F$2,Nombres!$C$3:$D$636,51,FALSE)</f>
        <v>Balance sheets</v>
      </c>
      <c r="B84" s="34"/>
      <c r="C84" s="34"/>
      <c r="D84" s="34"/>
      <c r="E84" s="34"/>
      <c r="F84" s="69"/>
      <c r="G84" s="69"/>
      <c r="H84" s="69"/>
      <c r="I84" s="69"/>
      <c r="K84" s="163"/>
      <c r="L84" s="163"/>
      <c r="M84" s="163"/>
      <c r="N84" s="163"/>
      <c r="O84" s="163"/>
    </row>
    <row r="85" spans="1:15" ht="14.25">
      <c r="A85" s="35" t="str">
        <f>HLOOKUP(INDICE!$F$2,Nombres!$C$3:$D$636,73,FALSE)</f>
        <v>(Constant million euros)    </v>
      </c>
      <c r="B85" s="30"/>
      <c r="C85" s="52"/>
      <c r="D85" s="52"/>
      <c r="E85" s="52"/>
      <c r="F85" s="70"/>
      <c r="G85" s="44"/>
      <c r="H85" s="44"/>
      <c r="I85" s="44"/>
      <c r="K85" s="163"/>
      <c r="L85" s="163"/>
      <c r="M85" s="163"/>
      <c r="N85" s="163"/>
      <c r="O85" s="163"/>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43" t="str">
        <f>HLOOKUP(INDICE!$F$2,Nombres!$C$3:$D$636,52,FALSE)</f>
        <v>Cash, cash balances at central banks and other demand deposits</v>
      </c>
      <c r="B87" s="44">
        <v>6837.284842981821</v>
      </c>
      <c r="C87" s="44">
        <v>7332.747072216551</v>
      </c>
      <c r="D87" s="44">
        <v>6332.8885300282745</v>
      </c>
      <c r="E87" s="45">
        <v>6890.564015406546</v>
      </c>
      <c r="F87" s="44">
        <v>6599.440420256454</v>
      </c>
      <c r="G87" s="44">
        <v>7151.435217045987</v>
      </c>
      <c r="H87" s="44">
        <v>7992.71635945058</v>
      </c>
      <c r="I87" s="44">
        <v>8549.476</v>
      </c>
    </row>
    <row r="88" spans="1:9" ht="14.25">
      <c r="A88" s="43" t="str">
        <f>HLOOKUP(INDICE!$F$2,Nombres!$C$3:$D$636,53,FALSE)</f>
        <v>Financial assets designated at fair value </v>
      </c>
      <c r="B88" s="58">
        <v>6655.319496894518</v>
      </c>
      <c r="C88" s="58">
        <v>7208.922307694691</v>
      </c>
      <c r="D88" s="58">
        <v>7628.579946966868</v>
      </c>
      <c r="E88" s="65">
        <v>7000.839876690312</v>
      </c>
      <c r="F88" s="44">
        <v>7236.315170892562</v>
      </c>
      <c r="G88" s="44">
        <v>7307.625863367706</v>
      </c>
      <c r="H88" s="44">
        <v>7453.254289919143</v>
      </c>
      <c r="I88" s="44">
        <v>7174.592</v>
      </c>
    </row>
    <row r="89" spans="1:9" ht="14.25">
      <c r="A89" s="43" t="str">
        <f>HLOOKUP(INDICE!$F$2,Nombres!$C$3:$D$636,54,FALSE)</f>
        <v>Financial assets at amortized cost</v>
      </c>
      <c r="B89" s="44">
        <v>31747.083252137196</v>
      </c>
      <c r="C89" s="44">
        <v>34317.298989463736</v>
      </c>
      <c r="D89" s="44">
        <v>36304.87649717962</v>
      </c>
      <c r="E89" s="45">
        <v>37091.520539546415</v>
      </c>
      <c r="F89" s="44">
        <v>35332.053978198965</v>
      </c>
      <c r="G89" s="44">
        <v>36462.26735205634</v>
      </c>
      <c r="H89" s="44">
        <v>37023.87347467206</v>
      </c>
      <c r="I89" s="44">
        <v>37746.981999999996</v>
      </c>
    </row>
    <row r="90" spans="1:9" ht="14.25">
      <c r="A90" s="43" t="str">
        <f>HLOOKUP(INDICE!$F$2,Nombres!$C$3:$D$636,55,FALSE)</f>
        <v>    of which loans and advances to customers</v>
      </c>
      <c r="B90" s="44">
        <v>30039.966468594186</v>
      </c>
      <c r="C90" s="44">
        <v>31355.484971162106</v>
      </c>
      <c r="D90" s="44">
        <v>32027.270133568694</v>
      </c>
      <c r="E90" s="45">
        <v>32331.71010768986</v>
      </c>
      <c r="F90" s="44">
        <v>31505.17189946584</v>
      </c>
      <c r="G90" s="44">
        <v>32739.82517399079</v>
      </c>
      <c r="H90" s="44">
        <v>33023.80555686122</v>
      </c>
      <c r="I90" s="44">
        <v>34608.019</v>
      </c>
    </row>
    <row r="91" spans="1:9" ht="14.25">
      <c r="A91" s="43"/>
      <c r="B91" s="44"/>
      <c r="C91" s="44"/>
      <c r="D91" s="44"/>
      <c r="E91" s="45"/>
      <c r="F91" s="44"/>
      <c r="G91" s="44"/>
      <c r="H91" s="44"/>
      <c r="I91" s="44"/>
    </row>
    <row r="92" spans="1:9" ht="14.25">
      <c r="A92" s="43" t="str">
        <f>HLOOKUP(INDICE!$F$2,Nombres!$C$3:$D$636,56,FALSE)</f>
        <v>Tangible assets</v>
      </c>
      <c r="B92" s="44">
        <v>817.936350841752</v>
      </c>
      <c r="C92" s="44">
        <v>793.6503441853481</v>
      </c>
      <c r="D92" s="44">
        <v>769.3613605175934</v>
      </c>
      <c r="E92" s="45">
        <v>786.6566031310501</v>
      </c>
      <c r="F92" s="44">
        <v>789.9043506929901</v>
      </c>
      <c r="G92" s="44">
        <v>802.089690931192</v>
      </c>
      <c r="H92" s="44">
        <v>825.2120775432394</v>
      </c>
      <c r="I92" s="44">
        <v>894.5609999999999</v>
      </c>
    </row>
    <row r="93" spans="1:9" ht="14.25">
      <c r="A93" s="43" t="str">
        <f>HLOOKUP(INDICE!$F$2,Nombres!$C$3:$D$636,57,FALSE)</f>
        <v>Other assets</v>
      </c>
      <c r="B93" s="58">
        <f>+B94-B92-B89-B88-B87</f>
        <v>1622.6900343527095</v>
      </c>
      <c r="C93" s="58">
        <f aca="true" t="shared" si="15" ref="C93:I93">+C94-C92-C89-C88-C87</f>
        <v>1441.6774719296936</v>
      </c>
      <c r="D93" s="58">
        <f t="shared" si="15"/>
        <v>1434.5955675584182</v>
      </c>
      <c r="E93" s="65">
        <f t="shared" si="15"/>
        <v>1536.4502196953272</v>
      </c>
      <c r="F93" s="44">
        <f t="shared" si="15"/>
        <v>1682.9949387833376</v>
      </c>
      <c r="G93" s="44">
        <f t="shared" si="15"/>
        <v>1773.6087993721621</v>
      </c>
      <c r="H93" s="44">
        <f t="shared" si="15"/>
        <v>1751.5861131483616</v>
      </c>
      <c r="I93" s="44">
        <f t="shared" si="15"/>
        <v>1758.201612859999</v>
      </c>
    </row>
    <row r="94" spans="1:9" ht="14.25">
      <c r="A94" s="47" t="str">
        <f>HLOOKUP(INDICE!$F$2,Nombres!$C$3:$D$636,58,FALSE)</f>
        <v>Total assets / Liabilities and equity</v>
      </c>
      <c r="B94" s="47">
        <v>47680.313977207996</v>
      </c>
      <c r="C94" s="47">
        <v>51094.29618549002</v>
      </c>
      <c r="D94" s="47">
        <v>52470.30190225077</v>
      </c>
      <c r="E94" s="47">
        <v>53306.03125446965</v>
      </c>
      <c r="F94" s="51">
        <v>51640.708858824306</v>
      </c>
      <c r="G94" s="51">
        <v>53497.02692277339</v>
      </c>
      <c r="H94" s="51">
        <v>55046.642314733384</v>
      </c>
      <c r="I94" s="51">
        <v>56123.81261286</v>
      </c>
    </row>
    <row r="95" spans="1:9" ht="14.25">
      <c r="A95" s="43" t="str">
        <f>HLOOKUP(INDICE!$F$2,Nombres!$C$3:$D$636,59,FALSE)</f>
        <v>Financial liabilities held for trading and designated at fair value through profit or loss</v>
      </c>
      <c r="B95" s="58">
        <v>1940.0692668984764</v>
      </c>
      <c r="C95" s="58">
        <v>1796.9272308687648</v>
      </c>
      <c r="D95" s="58">
        <v>1613.108817881979</v>
      </c>
      <c r="E95" s="65">
        <v>1250.6358553392781</v>
      </c>
      <c r="F95" s="44">
        <v>1189.9449865892147</v>
      </c>
      <c r="G95" s="44">
        <v>1177.8641537959716</v>
      </c>
      <c r="H95" s="44">
        <v>1603.4674711860398</v>
      </c>
      <c r="I95" s="44">
        <v>1883.662</v>
      </c>
    </row>
    <row r="96" spans="1:9" ht="14.25">
      <c r="A96" s="43" t="str">
        <f>HLOOKUP(INDICE!$F$2,Nombres!$C$3:$D$636,60,FALSE)</f>
        <v>Deposits from central banks and credit institutions</v>
      </c>
      <c r="B96" s="58">
        <v>3524.387966502214</v>
      </c>
      <c r="C96" s="58">
        <v>3820.1732057817517</v>
      </c>
      <c r="D96" s="58">
        <v>5550.2664634271905</v>
      </c>
      <c r="E96" s="65">
        <v>5232.007393732942</v>
      </c>
      <c r="F96" s="44">
        <v>5048.6670218783</v>
      </c>
      <c r="G96" s="44">
        <v>5412.079703308269</v>
      </c>
      <c r="H96" s="44">
        <v>5476.663816276372</v>
      </c>
      <c r="I96" s="44">
        <v>5501.245</v>
      </c>
    </row>
    <row r="97" spans="1:9" ht="14.25">
      <c r="A97" s="43" t="str">
        <f>HLOOKUP(INDICE!$F$2,Nombres!$C$3:$D$636,61,FALSE)</f>
        <v>Deposits from customers</v>
      </c>
      <c r="B97" s="58">
        <v>31259.700453757083</v>
      </c>
      <c r="C97" s="58">
        <v>34669.448964807525</v>
      </c>
      <c r="D97" s="58">
        <v>34064.727356841766</v>
      </c>
      <c r="E97" s="65">
        <v>35528.77169079086</v>
      </c>
      <c r="F97" s="44">
        <v>34019.50758512782</v>
      </c>
      <c r="G97" s="44">
        <v>35405.459542456454</v>
      </c>
      <c r="H97" s="44">
        <v>35992.21694799233</v>
      </c>
      <c r="I97" s="44">
        <v>36340.104999999996</v>
      </c>
    </row>
    <row r="98" spans="1:9" ht="14.25">
      <c r="A98" s="43" t="str">
        <f>HLOOKUP(INDICE!$F$2,Nombres!$C$3:$D$636,62,FALSE)</f>
        <v>Debt certificates</v>
      </c>
      <c r="B98" s="44">
        <v>3730.2607143686237</v>
      </c>
      <c r="C98" s="44">
        <v>3694.444017084563</v>
      </c>
      <c r="D98" s="44">
        <v>3383.262724355891</v>
      </c>
      <c r="E98" s="45">
        <v>3098.2593220021395</v>
      </c>
      <c r="F98" s="44">
        <v>3082.350599577441</v>
      </c>
      <c r="G98" s="44">
        <v>3078.47321634675</v>
      </c>
      <c r="H98" s="44">
        <v>3197.6122044930657</v>
      </c>
      <c r="I98" s="44">
        <v>3214.71881898</v>
      </c>
    </row>
    <row r="99" spans="1:9" ht="14.25">
      <c r="A99" s="43"/>
      <c r="B99" s="44"/>
      <c r="C99" s="44"/>
      <c r="D99" s="44"/>
      <c r="E99" s="45"/>
      <c r="F99" s="44"/>
      <c r="G99" s="44"/>
      <c r="H99" s="44"/>
      <c r="I99" s="44"/>
    </row>
    <row r="100" spans="1:9" ht="14.25">
      <c r="A100" s="43" t="str">
        <f>HLOOKUP(INDICE!$F$2,Nombres!$C$3:$D$636,63,FALSE)</f>
        <v>Other liabilities</v>
      </c>
      <c r="B100" s="58">
        <f>+B94-B95-B96-B97-B98-B101</f>
        <v>2639.810860079033</v>
      </c>
      <c r="C100" s="58">
        <f aca="true" t="shared" si="16" ref="C100:I100">+C94-C95-C96-C97-C98-C101</f>
        <v>2527.90415543579</v>
      </c>
      <c r="D100" s="58">
        <f t="shared" si="16"/>
        <v>3385.6424272669365</v>
      </c>
      <c r="E100" s="65">
        <f t="shared" si="16"/>
        <v>3622.069516389476</v>
      </c>
      <c r="F100" s="44">
        <f t="shared" si="16"/>
        <v>3898.787889016533</v>
      </c>
      <c r="G100" s="44">
        <f t="shared" si="16"/>
        <v>3964.467547828701</v>
      </c>
      <c r="H100" s="44">
        <f t="shared" si="16"/>
        <v>4089.10320604144</v>
      </c>
      <c r="I100" s="44">
        <f t="shared" si="16"/>
        <v>4206.903089640003</v>
      </c>
    </row>
    <row r="101" spans="1:9" ht="14.25">
      <c r="A101" s="43" t="str">
        <f>HLOOKUP(INDICE!$F$2,Nombres!$C$3:$D$636,282,FALSE)</f>
        <v>Regulatory capital allocated</v>
      </c>
      <c r="B101" s="58">
        <v>4586.084715602568</v>
      </c>
      <c r="C101" s="58">
        <v>4585.398611511628</v>
      </c>
      <c r="D101" s="58">
        <v>4473.294112477009</v>
      </c>
      <c r="E101" s="65">
        <v>4574.287476214951</v>
      </c>
      <c r="F101" s="44">
        <v>4401.450776634988</v>
      </c>
      <c r="G101" s="44">
        <v>4458.682759037241</v>
      </c>
      <c r="H101" s="44">
        <v>4687.578668744134</v>
      </c>
      <c r="I101" s="44">
        <v>4977.17870424</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Relevant business indicators</v>
      </c>
      <c r="B104" s="34"/>
      <c r="C104" s="34"/>
      <c r="D104" s="34"/>
      <c r="E104" s="34"/>
      <c r="F104" s="69"/>
      <c r="G104" s="69"/>
      <c r="H104" s="69"/>
      <c r="I104" s="69"/>
    </row>
    <row r="105" spans="1:9" ht="14.25">
      <c r="A105" s="35" t="str">
        <f>HLOOKUP(INDICE!$F$2,Nombres!$C$3:$D$636,73,FALSE)</f>
        <v>(Constant million euros)    </v>
      </c>
      <c r="B105" s="30"/>
      <c r="C105" s="30"/>
      <c r="D105" s="30"/>
      <c r="E105" s="30"/>
      <c r="F105" s="70"/>
      <c r="G105" s="44"/>
      <c r="H105" s="44"/>
      <c r="I105" s="44"/>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43" t="str">
        <f>HLOOKUP(INDICE!$F$2,Nombres!$C$3:$D$636,66,FALSE)</f>
        <v>Loans and advances to customers (gross) (*)</v>
      </c>
      <c r="B107" s="44">
        <v>31542.58512481399</v>
      </c>
      <c r="C107" s="44">
        <v>32945.022800162216</v>
      </c>
      <c r="D107" s="44">
        <v>33750.77359746902</v>
      </c>
      <c r="E107" s="45">
        <v>34089.25343481283</v>
      </c>
      <c r="F107" s="44">
        <v>33344.998371380556</v>
      </c>
      <c r="G107" s="44">
        <v>34622.792266911965</v>
      </c>
      <c r="H107" s="44">
        <v>34866.83295651949</v>
      </c>
      <c r="I107" s="44">
        <v>36329.22122551</v>
      </c>
    </row>
    <row r="108" spans="1:9" ht="14.25">
      <c r="A108" s="43" t="str">
        <f>HLOOKUP(INDICE!$F$2,Nombres!$C$3:$D$636,67,FALSE)</f>
        <v>Customer deposits under management (*)</v>
      </c>
      <c r="B108" s="44">
        <v>31274.29395661277</v>
      </c>
      <c r="C108" s="44">
        <v>34687.18923976868</v>
      </c>
      <c r="D108" s="44">
        <v>34076.660333623186</v>
      </c>
      <c r="E108" s="45">
        <v>35540.83339519662</v>
      </c>
      <c r="F108" s="44">
        <v>34032.08751854311</v>
      </c>
      <c r="G108" s="44">
        <v>35405.28610489997</v>
      </c>
      <c r="H108" s="44">
        <v>35986.56555508122</v>
      </c>
      <c r="I108" s="44">
        <v>36364.32316639999</v>
      </c>
    </row>
    <row r="109" spans="1:9" ht="14.25">
      <c r="A109" s="43" t="str">
        <f>HLOOKUP(INDICE!$F$2,Nombres!$C$3:$D$636,68,FALSE)</f>
        <v>Mutual funds</v>
      </c>
      <c r="B109" s="44">
        <v>2810.3128685606853</v>
      </c>
      <c r="C109" s="44">
        <v>3709.665989228096</v>
      </c>
      <c r="D109" s="44">
        <v>4295.772070362981</v>
      </c>
      <c r="E109" s="45">
        <v>4447.165255261689</v>
      </c>
      <c r="F109" s="44">
        <v>4610.910557877067</v>
      </c>
      <c r="G109" s="44">
        <v>4243.936464934048</v>
      </c>
      <c r="H109" s="44">
        <v>4328.485976105885</v>
      </c>
      <c r="I109" s="44">
        <v>4261.20111652</v>
      </c>
    </row>
    <row r="110" spans="1:9" ht="14.25">
      <c r="A110" s="43" t="str">
        <f>HLOOKUP(INDICE!$F$2,Nombres!$C$3:$D$636,69,FALSE)</f>
        <v>Pension funds</v>
      </c>
      <c r="B110" s="44">
        <v>9125.757483141757</v>
      </c>
      <c r="C110" s="44">
        <v>9244.255178649308</v>
      </c>
      <c r="D110" s="44">
        <v>9489.664857255973</v>
      </c>
      <c r="E110" s="45">
        <v>9789.075732176852</v>
      </c>
      <c r="F110" s="44">
        <v>9984.024303651197</v>
      </c>
      <c r="G110" s="44">
        <v>10202.771189135437</v>
      </c>
      <c r="H110" s="44">
        <v>10365.819114625903</v>
      </c>
      <c r="I110" s="44">
        <v>10494.68899456</v>
      </c>
    </row>
    <row r="111" spans="1:9" ht="14.25">
      <c r="A111" s="43" t="str">
        <f>HLOOKUP(INDICE!$F$2,Nombres!$C$3:$D$636,70,FALSE)</f>
        <v>Other off balance-sheet funds</v>
      </c>
      <c r="B111" s="44">
        <v>0</v>
      </c>
      <c r="C111" s="44">
        <v>0</v>
      </c>
      <c r="D111" s="44">
        <v>0</v>
      </c>
      <c r="E111" s="45">
        <v>0</v>
      </c>
      <c r="F111" s="44">
        <v>0</v>
      </c>
      <c r="G111" s="44">
        <v>0</v>
      </c>
      <c r="H111" s="44">
        <v>0</v>
      </c>
      <c r="I111" s="44">
        <v>0</v>
      </c>
    </row>
    <row r="112" spans="1:9" ht="14.25">
      <c r="A112" s="62" t="str">
        <f>HLOOKUP(INDICE!$F$2,Nombres!$C$3:$D$636,71,FALSE)</f>
        <v>(*) Excluding repos. </v>
      </c>
      <c r="B112" s="58"/>
      <c r="C112" s="58"/>
      <c r="D112" s="58"/>
      <c r="E112" s="58"/>
      <c r="F112" s="58"/>
      <c r="G112" s="58"/>
      <c r="H112" s="58"/>
      <c r="I112" s="58"/>
    </row>
    <row r="113" spans="1:9" ht="14.25">
      <c r="A113" s="62">
        <f>HLOOKUP(INDICE!$F$2,Nombres!$C$3:$D$636,72,FALSE)</f>
        <v>0</v>
      </c>
      <c r="B113" s="30"/>
      <c r="C113" s="30"/>
      <c r="D113" s="30"/>
      <c r="E113" s="30"/>
      <c r="F113" s="30"/>
      <c r="G113" s="30"/>
      <c r="H113" s="30"/>
      <c r="I113" s="30"/>
    </row>
    <row r="114" spans="1:9" ht="14.25">
      <c r="A114" s="62"/>
      <c r="B114" s="58"/>
      <c r="C114" s="44"/>
      <c r="D114" s="44"/>
      <c r="E114" s="44"/>
      <c r="F114" s="44"/>
      <c r="G114" s="30"/>
      <c r="H114" s="30"/>
      <c r="I114" s="30"/>
    </row>
    <row r="120" spans="6:9" ht="14.25">
      <c r="F120" s="82"/>
      <c r="G120" s="82"/>
      <c r="H120" s="82"/>
      <c r="I120" s="82"/>
    </row>
    <row r="121" spans="6:9" ht="14.25">
      <c r="F121" s="82"/>
      <c r="G121" s="82"/>
      <c r="H121" s="82"/>
      <c r="I121" s="82"/>
    </row>
    <row r="122" spans="6:9" ht="14.25">
      <c r="F122" s="82"/>
      <c r="G122" s="82"/>
      <c r="H122" s="82"/>
      <c r="I122" s="82"/>
    </row>
    <row r="123" spans="6:9" ht="14.25">
      <c r="F123" s="82"/>
      <c r="G123" s="82"/>
      <c r="H123" s="82"/>
      <c r="I123" s="82"/>
    </row>
    <row r="124" spans="6:9" ht="14.25">
      <c r="F124" s="82"/>
      <c r="G124" s="82"/>
      <c r="H124" s="82"/>
      <c r="I124" s="82"/>
    </row>
    <row r="125" spans="6:9" ht="14.25">
      <c r="F125" s="82"/>
      <c r="G125" s="82"/>
      <c r="H125" s="82"/>
      <c r="I125" s="82"/>
    </row>
    <row r="126" spans="6:9" ht="14.25">
      <c r="F126" s="82"/>
      <c r="G126" s="82"/>
      <c r="H126" s="82"/>
      <c r="I126" s="82"/>
    </row>
    <row r="127" spans="6:9" ht="14.25">
      <c r="F127" s="82"/>
      <c r="G127" s="82"/>
      <c r="H127" s="82"/>
      <c r="I127" s="82"/>
    </row>
    <row r="128" spans="6:9" ht="14.25">
      <c r="F128" s="82"/>
      <c r="G128" s="82"/>
      <c r="H128" s="82"/>
      <c r="I128" s="82"/>
    </row>
    <row r="129" spans="6:9" ht="14.25">
      <c r="F129" s="82"/>
      <c r="G129" s="82"/>
      <c r="H129" s="82"/>
      <c r="I129" s="82"/>
    </row>
    <row r="130" spans="6:9" ht="14.25">
      <c r="F130" s="82"/>
      <c r="G130" s="82"/>
      <c r="H130" s="82"/>
      <c r="I130" s="82"/>
    </row>
    <row r="131" spans="6:9" ht="14.25">
      <c r="F131" s="82"/>
      <c r="G131" s="82"/>
      <c r="H131" s="82"/>
      <c r="I131" s="82"/>
    </row>
    <row r="132" spans="6:9" ht="14.25">
      <c r="F132" s="82"/>
      <c r="G132" s="82"/>
      <c r="H132" s="82"/>
      <c r="I132" s="82"/>
    </row>
    <row r="133" spans="6:9" ht="14.25">
      <c r="F133" s="82"/>
      <c r="G133" s="82"/>
      <c r="H133" s="82"/>
      <c r="I133" s="82"/>
    </row>
    <row r="134" spans="6:9" ht="14.25">
      <c r="F134" s="82"/>
      <c r="G134" s="82"/>
      <c r="H134" s="82"/>
      <c r="I134" s="82"/>
    </row>
    <row r="135" spans="6:9" ht="14.25">
      <c r="F135" s="82"/>
      <c r="G135" s="82"/>
      <c r="H135" s="82"/>
      <c r="I135" s="82"/>
    </row>
    <row r="136" spans="6:9" ht="14.25">
      <c r="F136" s="82"/>
      <c r="G136" s="82"/>
      <c r="H136" s="82"/>
      <c r="I136" s="82"/>
    </row>
    <row r="137" spans="6:9" ht="14.25">
      <c r="F137" s="82"/>
      <c r="G137" s="82"/>
      <c r="H137" s="82"/>
      <c r="I137" s="82"/>
    </row>
    <row r="138" spans="6:9" ht="14.25">
      <c r="F138" s="82"/>
      <c r="G138" s="82"/>
      <c r="H138" s="82"/>
      <c r="I138" s="82"/>
    </row>
    <row r="139" spans="6:9" ht="14.25">
      <c r="F139" s="82"/>
      <c r="G139" s="82"/>
      <c r="H139" s="82"/>
      <c r="I139" s="82"/>
    </row>
    <row r="140" spans="6:9" ht="14.25">
      <c r="F140" s="82"/>
      <c r="G140" s="82"/>
      <c r="H140" s="82"/>
      <c r="I140" s="82"/>
    </row>
    <row r="141" spans="6:9" ht="14.25">
      <c r="F141" s="82"/>
      <c r="G141" s="82"/>
      <c r="H141" s="82"/>
      <c r="I141" s="82"/>
    </row>
    <row r="142" spans="6:9" ht="14.25">
      <c r="F142" s="82"/>
      <c r="G142" s="82"/>
      <c r="H142" s="82"/>
      <c r="I142" s="82"/>
    </row>
    <row r="143" spans="6:9" ht="14.25">
      <c r="F143" s="82"/>
      <c r="G143" s="82"/>
      <c r="H143" s="82"/>
      <c r="I143" s="82"/>
    </row>
    <row r="144" spans="6:9" ht="14.25">
      <c r="F144" s="82"/>
      <c r="G144" s="82"/>
      <c r="H144" s="82"/>
      <c r="I144" s="82"/>
    </row>
    <row r="145" spans="6:9" ht="14.25">
      <c r="F145" s="82"/>
      <c r="G145" s="82"/>
      <c r="H145" s="82"/>
      <c r="I145" s="82"/>
    </row>
    <row r="146" spans="6:9" ht="14.25">
      <c r="F146" s="82"/>
      <c r="G146" s="82"/>
      <c r="H146" s="82"/>
      <c r="I146" s="82"/>
    </row>
    <row r="147" spans="6:9" ht="14.25">
      <c r="F147" s="82"/>
      <c r="G147" s="82"/>
      <c r="H147" s="82"/>
      <c r="I147" s="82"/>
    </row>
    <row r="148" spans="6:9" ht="14.25">
      <c r="F148" s="82"/>
      <c r="G148" s="82"/>
      <c r="H148" s="82"/>
      <c r="I148" s="82"/>
    </row>
    <row r="149" spans="6:9" ht="14.25">
      <c r="F149" s="82"/>
      <c r="G149" s="82"/>
      <c r="H149" s="82"/>
      <c r="I149" s="82"/>
    </row>
    <row r="150" spans="6:9" ht="14.25">
      <c r="F150" s="82"/>
      <c r="G150" s="82"/>
      <c r="H150" s="82"/>
      <c r="I150" s="82"/>
    </row>
    <row r="151" spans="6:9" ht="14.25">
      <c r="F151" s="82"/>
      <c r="G151" s="82"/>
      <c r="H151" s="82"/>
      <c r="I151" s="82"/>
    </row>
    <row r="152" spans="6:9" ht="14.25">
      <c r="F152" s="82"/>
      <c r="G152" s="82"/>
      <c r="H152" s="82"/>
      <c r="I152" s="82"/>
    </row>
    <row r="153" spans="6:9" ht="14.25">
      <c r="F153" s="82"/>
      <c r="G153" s="82"/>
      <c r="H153" s="82"/>
      <c r="I153" s="82"/>
    </row>
    <row r="154" spans="6:9" ht="14.25">
      <c r="F154" s="82"/>
      <c r="G154" s="82"/>
      <c r="H154" s="82"/>
      <c r="I154" s="82"/>
    </row>
    <row r="155" spans="6:9" ht="14.25">
      <c r="F155" s="82"/>
      <c r="G155" s="82"/>
      <c r="H155" s="82"/>
      <c r="I155" s="82"/>
    </row>
    <row r="156" spans="6:9" ht="14.25">
      <c r="F156" s="82"/>
      <c r="G156" s="82"/>
      <c r="H156" s="82"/>
      <c r="I156" s="82"/>
    </row>
    <row r="157" spans="6:9" ht="14.25">
      <c r="F157" s="82"/>
      <c r="G157" s="82"/>
      <c r="H157" s="82"/>
      <c r="I157" s="82"/>
    </row>
    <row r="158" spans="6:9" ht="14.25">
      <c r="F158" s="82"/>
      <c r="G158" s="82"/>
      <c r="H158" s="82"/>
      <c r="I158" s="82"/>
    </row>
    <row r="159" spans="6:9" ht="14.25">
      <c r="F159" s="82"/>
      <c r="G159" s="82"/>
      <c r="H159" s="82"/>
      <c r="I159" s="82"/>
    </row>
    <row r="160" spans="6:9" ht="14.25">
      <c r="F160" s="82"/>
      <c r="G160" s="82"/>
      <c r="H160" s="82"/>
      <c r="I160" s="82"/>
    </row>
    <row r="161" spans="6:9" ht="14.25">
      <c r="F161" s="82"/>
      <c r="G161" s="82"/>
      <c r="H161" s="82"/>
      <c r="I161" s="82"/>
    </row>
    <row r="162" spans="6:9" ht="14.25">
      <c r="F162" s="82"/>
      <c r="G162" s="82"/>
      <c r="H162" s="82"/>
      <c r="I162" s="82"/>
    </row>
    <row r="163" spans="6:9" ht="14.25">
      <c r="F163" s="82"/>
      <c r="G163" s="82"/>
      <c r="H163" s="82"/>
      <c r="I163" s="82"/>
    </row>
    <row r="164" spans="6:9" ht="14.25">
      <c r="F164" s="82"/>
      <c r="G164" s="82"/>
      <c r="H164" s="82"/>
      <c r="I164" s="82"/>
    </row>
    <row r="165" spans="6:9" ht="14.25">
      <c r="F165" s="82"/>
      <c r="G165" s="82"/>
      <c r="H165" s="82"/>
      <c r="I165" s="82"/>
    </row>
    <row r="166" spans="6:9" ht="14.25">
      <c r="F166" s="82"/>
      <c r="G166" s="82"/>
      <c r="H166" s="82"/>
      <c r="I166" s="82"/>
    </row>
    <row r="998" ht="14.25">
      <c r="A998" s="31" t="s">
        <v>396</v>
      </c>
    </row>
  </sheetData>
  <sheetProtection/>
  <mergeCells count="4">
    <mergeCell ref="B6:E6"/>
    <mergeCell ref="F6:I6"/>
    <mergeCell ref="B62:E62"/>
    <mergeCell ref="F62:I62"/>
  </mergeCells>
  <conditionalFormatting sqref="B26:I26 B82:I82">
    <cfRule type="cellIs" priority="1" dxfId="114" operator="notBetween">
      <formula>0.5</formula>
      <formula>-0.5</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 sqref="A1"/>
    </sheetView>
  </sheetViews>
  <sheetFormatPr defaultColWidth="11.421875" defaultRowHeight="15"/>
  <cols>
    <col min="1" max="1" width="62.00390625" style="31" customWidth="1"/>
    <col min="2" max="16384" width="11.421875" style="31" customWidth="1"/>
  </cols>
  <sheetData>
    <row r="1" spans="1:9" ht="16.5">
      <c r="A1" s="29" t="str">
        <f>HLOOKUP(INDICE!$F$2,Nombres!$C$3:$D$636,14,FALSE)</f>
        <v>Argentina</v>
      </c>
      <c r="B1" s="30"/>
      <c r="C1" s="30"/>
      <c r="D1" s="30"/>
      <c r="E1" s="30"/>
      <c r="F1" s="30"/>
      <c r="G1" s="30"/>
      <c r="H1" s="30"/>
      <c r="I1" s="30"/>
    </row>
    <row r="2" spans="1:9" ht="19.5">
      <c r="A2" s="32"/>
      <c r="B2" s="30"/>
      <c r="C2" s="30"/>
      <c r="D2" s="30"/>
      <c r="E2" s="30"/>
      <c r="F2" s="30"/>
      <c r="G2" s="30"/>
      <c r="H2" s="30"/>
      <c r="I2" s="30"/>
    </row>
    <row r="3" spans="1:9" ht="16.5">
      <c r="A3" s="33" t="str">
        <f>HLOOKUP(INDICE!$F$2,Nombres!$C$3:$D$636,31,FALSE)</f>
        <v>Income statement  </v>
      </c>
      <c r="B3" s="34"/>
      <c r="C3" s="34"/>
      <c r="D3" s="34"/>
      <c r="E3" s="34"/>
      <c r="F3" s="34"/>
      <c r="G3" s="34"/>
      <c r="H3" s="34"/>
      <c r="I3" s="34"/>
    </row>
    <row r="4" spans="1:9" ht="14.25">
      <c r="A4" s="35"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6">
        <f>+España!B6</f>
        <v>2020</v>
      </c>
      <c r="C6" s="306"/>
      <c r="D6" s="306"/>
      <c r="E6" s="307"/>
      <c r="F6" s="306">
        <f>+España!F6</f>
        <v>2021</v>
      </c>
      <c r="G6" s="306"/>
      <c r="H6" s="306"/>
      <c r="I6" s="306"/>
    </row>
    <row r="7" spans="1:9" ht="14.2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4.25">
      <c r="A8" s="41" t="str">
        <f>HLOOKUP(INDICE!$F$2,Nombres!$C$3:$D$636,33,FALSE)</f>
        <v>Net interest income</v>
      </c>
      <c r="B8" s="41">
        <v>241.80299999999994</v>
      </c>
      <c r="C8" s="41">
        <v>199.958</v>
      </c>
      <c r="D8" s="41">
        <v>170.69600000000008</v>
      </c>
      <c r="E8" s="42">
        <v>166.394</v>
      </c>
      <c r="F8" s="50">
        <v>201.59000000000003</v>
      </c>
      <c r="G8" s="50">
        <v>224.785</v>
      </c>
      <c r="H8" s="50">
        <v>282.751</v>
      </c>
      <c r="I8" s="50">
        <v>342.65200000000004</v>
      </c>
    </row>
    <row r="9" spans="1:9" ht="14.25">
      <c r="A9" s="43" t="str">
        <f>HLOOKUP(INDICE!$F$2,Nombres!$C$3:$D$636,34,FALSE)</f>
        <v>Net fees and commissions</v>
      </c>
      <c r="B9" s="44">
        <v>26.540583739999988</v>
      </c>
      <c r="C9" s="44">
        <v>39.096000000000004</v>
      </c>
      <c r="D9" s="44">
        <v>35.084584660000004</v>
      </c>
      <c r="E9" s="45">
        <v>20.095286379999997</v>
      </c>
      <c r="F9" s="44">
        <v>31.211</v>
      </c>
      <c r="G9" s="44">
        <v>52.53021648</v>
      </c>
      <c r="H9" s="44">
        <v>60.98599999999999</v>
      </c>
      <c r="I9" s="44">
        <v>57.870948999999996</v>
      </c>
    </row>
    <row r="10" spans="1:9" ht="14.25">
      <c r="A10" s="43" t="str">
        <f>HLOOKUP(INDICE!$F$2,Nombres!$C$3:$D$636,35,FALSE)</f>
        <v>Net trading income</v>
      </c>
      <c r="B10" s="44">
        <v>25.751163390000002</v>
      </c>
      <c r="C10" s="44">
        <v>22.934605</v>
      </c>
      <c r="D10" s="44">
        <v>20.087802110000002</v>
      </c>
      <c r="E10" s="45">
        <v>73.11913341</v>
      </c>
      <c r="F10" s="44">
        <v>25.746997999999998</v>
      </c>
      <c r="G10" s="44">
        <v>24.615463</v>
      </c>
      <c r="H10" s="44">
        <v>25.485568999999998</v>
      </c>
      <c r="I10" s="44">
        <v>16.042649509999997</v>
      </c>
    </row>
    <row r="11" spans="1:9" ht="14.25">
      <c r="A11" s="43" t="str">
        <f>HLOOKUP(INDICE!$F$2,Nombres!$C$3:$D$636,36,FALSE)</f>
        <v>Other operating income and expenses</v>
      </c>
      <c r="B11" s="44">
        <v>-84.321</v>
      </c>
      <c r="C11" s="44">
        <v>-65.797</v>
      </c>
      <c r="D11" s="44">
        <v>-67.18100000000001</v>
      </c>
      <c r="E11" s="45">
        <v>-84.75499999999997</v>
      </c>
      <c r="F11" s="44">
        <v>-121.00899999999999</v>
      </c>
      <c r="G11" s="44">
        <v>-125.608</v>
      </c>
      <c r="H11" s="44">
        <v>-119.70800000000001</v>
      </c>
      <c r="I11" s="44">
        <v>-161.60999999999999</v>
      </c>
    </row>
    <row r="12" spans="1:9" ht="14.25">
      <c r="A12" s="41" t="str">
        <f>HLOOKUP(INDICE!$F$2,Nombres!$C$3:$D$636,37,FALSE)</f>
        <v>Gross income</v>
      </c>
      <c r="B12" s="41">
        <f>+SUM(B8:B11)</f>
        <v>209.77374712999992</v>
      </c>
      <c r="C12" s="41">
        <f aca="true" t="shared" si="0" ref="C12:I12">+SUM(C8:C11)</f>
        <v>196.191605</v>
      </c>
      <c r="D12" s="41">
        <f t="shared" si="0"/>
        <v>158.6873867700001</v>
      </c>
      <c r="E12" s="42">
        <f t="shared" si="0"/>
        <v>174.85341979000006</v>
      </c>
      <c r="F12" s="50">
        <f t="shared" si="0"/>
        <v>137.53899800000008</v>
      </c>
      <c r="G12" s="50">
        <f t="shared" si="0"/>
        <v>176.32267947999998</v>
      </c>
      <c r="H12" s="50">
        <f t="shared" si="0"/>
        <v>249.51456899999994</v>
      </c>
      <c r="I12" s="50">
        <f t="shared" si="0"/>
        <v>254.95559851000004</v>
      </c>
    </row>
    <row r="13" spans="1:9" ht="14.25">
      <c r="A13" s="43" t="str">
        <f>HLOOKUP(INDICE!$F$2,Nombres!$C$3:$D$636,38,FALSE)</f>
        <v>Operating expenses</v>
      </c>
      <c r="B13" s="44">
        <v>-117.91999933</v>
      </c>
      <c r="C13" s="44">
        <v>-98.427</v>
      </c>
      <c r="D13" s="44">
        <v>-93.79025886999997</v>
      </c>
      <c r="E13" s="45">
        <v>-85.97375296000001</v>
      </c>
      <c r="F13" s="44">
        <v>-104.51766264000001</v>
      </c>
      <c r="G13" s="44">
        <v>-116.44870464000002</v>
      </c>
      <c r="H13" s="44">
        <v>-161.02685164000002</v>
      </c>
      <c r="I13" s="44">
        <v>-175.94468664</v>
      </c>
    </row>
    <row r="14" spans="1:9" ht="14.25">
      <c r="A14" s="43" t="str">
        <f>HLOOKUP(INDICE!$F$2,Nombres!$C$3:$D$636,39,FALSE)</f>
        <v>  Administration expenses</v>
      </c>
      <c r="B14" s="44">
        <v>-105.94299932999999</v>
      </c>
      <c r="C14" s="44">
        <v>-88.497</v>
      </c>
      <c r="D14" s="44">
        <v>-85.48925886999999</v>
      </c>
      <c r="E14" s="45">
        <v>-77.74175296000001</v>
      </c>
      <c r="F14" s="44">
        <v>-97.09966263999999</v>
      </c>
      <c r="G14" s="44">
        <v>-106.72070464000001</v>
      </c>
      <c r="H14" s="44">
        <v>-149.69685164</v>
      </c>
      <c r="I14" s="44">
        <v>-162.82868664</v>
      </c>
    </row>
    <row r="15" spans="1:9" ht="14.25">
      <c r="A15" s="46" t="str">
        <f>HLOOKUP(INDICE!$F$2,Nombres!$C$3:$D$636,40,FALSE)</f>
        <v>  Personnel expenses</v>
      </c>
      <c r="B15" s="44">
        <v>-64.475</v>
      </c>
      <c r="C15" s="44">
        <v>-48.109</v>
      </c>
      <c r="D15" s="44">
        <v>-47.056</v>
      </c>
      <c r="E15" s="45">
        <v>-40.538</v>
      </c>
      <c r="F15" s="44">
        <v>-55.644999999999996</v>
      </c>
      <c r="G15" s="44">
        <v>-59.501</v>
      </c>
      <c r="H15" s="44">
        <v>-75.02199999999999</v>
      </c>
      <c r="I15" s="44">
        <v>-82.89559500000001</v>
      </c>
    </row>
    <row r="16" spans="1:9" ht="14.25">
      <c r="A16" s="46" t="str">
        <f>HLOOKUP(INDICE!$F$2,Nombres!$C$3:$D$636,41,FALSE)</f>
        <v>  General and administrative expenses</v>
      </c>
      <c r="B16" s="44">
        <v>-41.46799932999999</v>
      </c>
      <c r="C16" s="44">
        <v>-40.388000000000005</v>
      </c>
      <c r="D16" s="44">
        <v>-38.43325886999999</v>
      </c>
      <c r="E16" s="45">
        <v>-37.20375296000001</v>
      </c>
      <c r="F16" s="44">
        <v>-41.45466264000001</v>
      </c>
      <c r="G16" s="44">
        <v>-47.21970464000002</v>
      </c>
      <c r="H16" s="44">
        <v>-74.67485164000001</v>
      </c>
      <c r="I16" s="44">
        <v>-79.93309163999999</v>
      </c>
    </row>
    <row r="17" spans="1:9" ht="14.25">
      <c r="A17" s="43" t="str">
        <f>HLOOKUP(INDICE!$F$2,Nombres!$C$3:$D$636,42,FALSE)</f>
        <v>  Depreciation</v>
      </c>
      <c r="B17" s="44">
        <v>-11.977</v>
      </c>
      <c r="C17" s="44">
        <v>-9.93</v>
      </c>
      <c r="D17" s="44">
        <v>-8.300999999999998</v>
      </c>
      <c r="E17" s="45">
        <v>-8.232000000000003</v>
      </c>
      <c r="F17" s="44">
        <v>-7.418000000000002</v>
      </c>
      <c r="G17" s="44">
        <v>-9.728</v>
      </c>
      <c r="H17" s="44">
        <v>-11.33</v>
      </c>
      <c r="I17" s="44">
        <v>-13.116</v>
      </c>
    </row>
    <row r="18" spans="1:9" ht="14.25">
      <c r="A18" s="41" t="str">
        <f>HLOOKUP(INDICE!$F$2,Nombres!$C$3:$D$636,43,FALSE)</f>
        <v>Operating income</v>
      </c>
      <c r="B18" s="41">
        <f>+B12+B13</f>
        <v>91.85374779999992</v>
      </c>
      <c r="C18" s="41">
        <f aca="true" t="shared" si="1" ref="C18:I18">+C12+C13</f>
        <v>97.764605</v>
      </c>
      <c r="D18" s="41">
        <f t="shared" si="1"/>
        <v>64.89712790000013</v>
      </c>
      <c r="E18" s="42">
        <f t="shared" si="1"/>
        <v>88.87966683000005</v>
      </c>
      <c r="F18" s="50">
        <f t="shared" si="1"/>
        <v>33.021335360000066</v>
      </c>
      <c r="G18" s="50">
        <f t="shared" si="1"/>
        <v>59.87397483999996</v>
      </c>
      <c r="H18" s="50">
        <f t="shared" si="1"/>
        <v>88.48771735999992</v>
      </c>
      <c r="I18" s="50">
        <f t="shared" si="1"/>
        <v>79.01091187000006</v>
      </c>
    </row>
    <row r="19" spans="1:9" ht="14.25">
      <c r="A19" s="43" t="str">
        <f>HLOOKUP(INDICE!$F$2,Nombres!$C$3:$D$636,44,FALSE)</f>
        <v>Impaiment on financial assets not measured at fair value through profit or loss</v>
      </c>
      <c r="B19" s="44">
        <v>-63.730999999999995</v>
      </c>
      <c r="C19" s="44">
        <v>-24.230000000000004</v>
      </c>
      <c r="D19" s="44">
        <v>35.42999999999999</v>
      </c>
      <c r="E19" s="45">
        <v>-52.36900000000003</v>
      </c>
      <c r="F19" s="44">
        <v>-20.544000000000004</v>
      </c>
      <c r="G19" s="44">
        <v>-32.67099999999999</v>
      </c>
      <c r="H19" s="44">
        <v>-33.587999999999994</v>
      </c>
      <c r="I19" s="44">
        <v>-26.778</v>
      </c>
    </row>
    <row r="20" spans="1:9" ht="14.25">
      <c r="A20" s="43" t="str">
        <f>HLOOKUP(INDICE!$F$2,Nombres!$C$3:$D$636,45,FALSE)</f>
        <v>Provisions or reversal of provisions and other results</v>
      </c>
      <c r="B20" s="44">
        <v>-10.753</v>
      </c>
      <c r="C20" s="44">
        <v>5.590000000000004</v>
      </c>
      <c r="D20" s="44">
        <v>-6.144</v>
      </c>
      <c r="E20" s="45">
        <v>-18.327999999999996</v>
      </c>
      <c r="F20" s="44">
        <v>-1.9580000000000004</v>
      </c>
      <c r="G20" s="44">
        <v>-4.7379999999999995</v>
      </c>
      <c r="H20" s="44">
        <v>-3.2439999999999998</v>
      </c>
      <c r="I20" s="44">
        <v>-9.539999999999997</v>
      </c>
    </row>
    <row r="21" spans="1:9" ht="14.25">
      <c r="A21" s="41" t="str">
        <f>HLOOKUP(INDICE!$F$2,Nombres!$C$3:$D$636,46,FALSE)</f>
        <v>Profit/(loss) before tax</v>
      </c>
      <c r="B21" s="41">
        <f>+B18+B19+B20</f>
        <v>17.369747799999928</v>
      </c>
      <c r="C21" s="41">
        <f aca="true" t="shared" si="2" ref="C21:I21">+C18+C19+C20</f>
        <v>79.124605</v>
      </c>
      <c r="D21" s="41">
        <f t="shared" si="2"/>
        <v>94.18312790000012</v>
      </c>
      <c r="E21" s="42">
        <f t="shared" si="2"/>
        <v>18.182666830000024</v>
      </c>
      <c r="F21" s="50">
        <f t="shared" si="2"/>
        <v>10.519335360000062</v>
      </c>
      <c r="G21" s="50">
        <f t="shared" si="2"/>
        <v>22.464974839999968</v>
      </c>
      <c r="H21" s="50">
        <f t="shared" si="2"/>
        <v>51.655717359999926</v>
      </c>
      <c r="I21" s="50">
        <f t="shared" si="2"/>
        <v>42.69291187000006</v>
      </c>
    </row>
    <row r="22" spans="1:9" ht="14.25">
      <c r="A22" s="43" t="str">
        <f>HLOOKUP(INDICE!$F$2,Nombres!$C$3:$D$636,47,FALSE)</f>
        <v>Income tax</v>
      </c>
      <c r="B22" s="44">
        <v>-6.893724329999993</v>
      </c>
      <c r="C22" s="44">
        <v>-28.55778150999999</v>
      </c>
      <c r="D22" s="44">
        <v>-34.22763836</v>
      </c>
      <c r="E22" s="45">
        <v>-12.646800050000007</v>
      </c>
      <c r="F22" s="44">
        <v>-3.917300609999997</v>
      </c>
      <c r="G22" s="44">
        <v>-10.442892440000008</v>
      </c>
      <c r="H22" s="44">
        <v>-11.09661523</v>
      </c>
      <c r="I22" s="44">
        <v>-12.754652060000003</v>
      </c>
    </row>
    <row r="23" spans="1:9" ht="14.25">
      <c r="A23" s="41" t="str">
        <f>HLOOKUP(INDICE!$F$2,Nombres!$C$3:$D$636,48,FALSE)</f>
        <v>Profit/(loss) for the year</v>
      </c>
      <c r="B23" s="41">
        <f>+B21+B22</f>
        <v>10.476023469999934</v>
      </c>
      <c r="C23" s="41">
        <f aca="true" t="shared" si="3" ref="C23:I23">+C21+C22</f>
        <v>50.56682349000001</v>
      </c>
      <c r="D23" s="41">
        <f t="shared" si="3"/>
        <v>59.955489540000116</v>
      </c>
      <c r="E23" s="42">
        <f t="shared" si="3"/>
        <v>5.535866780000017</v>
      </c>
      <c r="F23" s="50">
        <f t="shared" si="3"/>
        <v>6.6020347500000645</v>
      </c>
      <c r="G23" s="50">
        <f t="shared" si="3"/>
        <v>12.02208239999996</v>
      </c>
      <c r="H23" s="50">
        <f t="shared" si="3"/>
        <v>40.55910212999993</v>
      </c>
      <c r="I23" s="50">
        <f t="shared" si="3"/>
        <v>29.938259810000055</v>
      </c>
    </row>
    <row r="24" spans="1:9" ht="14.25">
      <c r="A24" s="43" t="str">
        <f>HLOOKUP(INDICE!$F$2,Nombres!$C$3:$D$636,49,FALSE)</f>
        <v>Non-controlling interests</v>
      </c>
      <c r="B24" s="44">
        <v>-2.6900366600000076</v>
      </c>
      <c r="C24" s="44">
        <v>-15.640754219999994</v>
      </c>
      <c r="D24" s="44">
        <v>-18.49806356</v>
      </c>
      <c r="E24" s="45">
        <v>-0.8040582000000036</v>
      </c>
      <c r="F24" s="44">
        <v>-1.0705837599999972</v>
      </c>
      <c r="G24" s="44">
        <v>-2.3194256900000028</v>
      </c>
      <c r="H24" s="44">
        <v>-13.459307979999993</v>
      </c>
      <c r="I24" s="44">
        <v>-9.535898540000012</v>
      </c>
    </row>
    <row r="25" spans="1:9" ht="14.25">
      <c r="A25" s="47" t="str">
        <f>HLOOKUP(INDICE!$F$2,Nombres!$C$3:$D$636,50,FALSE)</f>
        <v>Net attributable profit</v>
      </c>
      <c r="B25" s="47">
        <f>+B23+B24</f>
        <v>7.785986809999926</v>
      </c>
      <c r="C25" s="47">
        <f aca="true" t="shared" si="4" ref="C25:I25">+C23+C24</f>
        <v>34.92606927000001</v>
      </c>
      <c r="D25" s="47">
        <f t="shared" si="4"/>
        <v>41.45742598000012</v>
      </c>
      <c r="E25" s="47">
        <f t="shared" si="4"/>
        <v>4.731808580000013</v>
      </c>
      <c r="F25" s="51">
        <f t="shared" si="4"/>
        <v>5.531450990000067</v>
      </c>
      <c r="G25" s="51">
        <f t="shared" si="4"/>
        <v>9.702656709999957</v>
      </c>
      <c r="H25" s="51">
        <f t="shared" si="4"/>
        <v>27.099794149999937</v>
      </c>
      <c r="I25" s="51">
        <f t="shared" si="4"/>
        <v>20.402361270000043</v>
      </c>
    </row>
    <row r="26" spans="1:9" ht="14.25">
      <c r="A26" s="62"/>
      <c r="B26" s="63">
        <v>-6.394884621840902E-14</v>
      </c>
      <c r="C26" s="63">
        <v>0</v>
      </c>
      <c r="D26" s="63">
        <v>9.237055564881302E-14</v>
      </c>
      <c r="E26" s="63">
        <v>1.7763568394002505E-14</v>
      </c>
      <c r="F26" s="63">
        <v>3.730349362740526E-14</v>
      </c>
      <c r="G26" s="63">
        <v>0</v>
      </c>
      <c r="H26" s="63">
        <v>-2.842170943040401E-14</v>
      </c>
      <c r="I26" s="63">
        <v>0</v>
      </c>
    </row>
    <row r="27" spans="1:9" ht="14.25">
      <c r="A27" s="41"/>
      <c r="B27" s="41"/>
      <c r="C27" s="41"/>
      <c r="D27" s="41"/>
      <c r="E27" s="41"/>
      <c r="F27" s="41"/>
      <c r="G27" s="41"/>
      <c r="H27" s="41"/>
      <c r="I27" s="41"/>
    </row>
    <row r="28" spans="1:9" ht="16.5">
      <c r="A28" s="33" t="str">
        <f>HLOOKUP(INDICE!$F$2,Nombres!$C$3:$D$636,51,FALSE)</f>
        <v>Balance sheets</v>
      </c>
      <c r="B28" s="34"/>
      <c r="C28" s="34"/>
      <c r="D28" s="34"/>
      <c r="E28" s="34"/>
      <c r="F28" s="34"/>
      <c r="G28" s="34"/>
      <c r="H28" s="34"/>
      <c r="I28" s="34"/>
    </row>
    <row r="29" spans="1:9" ht="14.25">
      <c r="A29" s="35" t="str">
        <f>HLOOKUP(INDICE!$F$2,Nombres!$C$3:$D$636,32,FALSE)</f>
        <v>(Million euros)</v>
      </c>
      <c r="B29" s="30"/>
      <c r="C29" s="52"/>
      <c r="D29" s="52"/>
      <c r="E29" s="52"/>
      <c r="F29" s="30"/>
      <c r="G29" s="58"/>
      <c r="H29" s="58"/>
      <c r="I29" s="58"/>
    </row>
    <row r="30" spans="1:9" ht="14.25">
      <c r="A30" s="30"/>
      <c r="B30" s="53">
        <f>+España!B30</f>
        <v>43921</v>
      </c>
      <c r="C30" s="53">
        <f>+España!C30</f>
        <v>44012</v>
      </c>
      <c r="D30" s="53">
        <f>+España!D30</f>
        <v>44104</v>
      </c>
      <c r="E30" s="68">
        <f>+España!E30</f>
        <v>44196</v>
      </c>
      <c r="F30" s="76">
        <f>+España!F30</f>
        <v>44286</v>
      </c>
      <c r="G30" s="76">
        <f>+España!G30</f>
        <v>44377</v>
      </c>
      <c r="H30" s="76">
        <f>+España!H30</f>
        <v>44469</v>
      </c>
      <c r="I30" s="76">
        <f>+España!I30</f>
        <v>44561</v>
      </c>
    </row>
    <row r="31" spans="1:9" ht="14.25">
      <c r="A31" s="43" t="str">
        <f>HLOOKUP(INDICE!$F$2,Nombres!$C$3:$D$636,52,FALSE)</f>
        <v>Cash, cash balances at central banks and other demand deposits</v>
      </c>
      <c r="B31" s="44">
        <v>2075.984</v>
      </c>
      <c r="C31" s="44">
        <v>1429.8010000000002</v>
      </c>
      <c r="D31" s="44">
        <v>1496.7959999999998</v>
      </c>
      <c r="E31" s="45">
        <v>1474.656</v>
      </c>
      <c r="F31" s="44">
        <v>1814.7499999999998</v>
      </c>
      <c r="G31" s="44">
        <v>1743.115</v>
      </c>
      <c r="H31" s="44">
        <v>1725.562</v>
      </c>
      <c r="I31" s="44">
        <v>1883.8760000000002</v>
      </c>
    </row>
    <row r="32" spans="1:9" ht="14.25">
      <c r="A32" s="43" t="str">
        <f>HLOOKUP(INDICE!$F$2,Nombres!$C$3:$D$636,53,FALSE)</f>
        <v>Financial assets designated at fair value </v>
      </c>
      <c r="B32" s="58">
        <v>1172.92</v>
      </c>
      <c r="C32" s="58">
        <v>1286.2289999999998</v>
      </c>
      <c r="D32" s="58">
        <v>1421.06</v>
      </c>
      <c r="E32" s="65">
        <v>1389.639</v>
      </c>
      <c r="F32" s="44">
        <v>1347.5679999999998</v>
      </c>
      <c r="G32" s="44">
        <v>1426.29</v>
      </c>
      <c r="H32" s="44">
        <v>1574.5140000000001</v>
      </c>
      <c r="I32" s="44">
        <v>1590.261</v>
      </c>
    </row>
    <row r="33" spans="1:9" ht="14.25">
      <c r="A33" s="43" t="str">
        <f>HLOOKUP(INDICE!$F$2,Nombres!$C$3:$D$636,54,FALSE)</f>
        <v>Financial assets at amortized cost</v>
      </c>
      <c r="B33" s="44">
        <v>3307.5209999999993</v>
      </c>
      <c r="C33" s="44">
        <v>3680.711999999999</v>
      </c>
      <c r="D33" s="44">
        <v>3188.999</v>
      </c>
      <c r="E33" s="45">
        <v>3360.505</v>
      </c>
      <c r="F33" s="44">
        <v>3214.4900000000002</v>
      </c>
      <c r="G33" s="44">
        <v>3911.3070000000002</v>
      </c>
      <c r="H33" s="44">
        <v>4157.168</v>
      </c>
      <c r="I33" s="44">
        <v>4826.938999999999</v>
      </c>
    </row>
    <row r="34" spans="1:9" ht="14.25">
      <c r="A34" s="43" t="str">
        <f>HLOOKUP(INDICE!$F$2,Nombres!$C$3:$D$636,55,FALSE)</f>
        <v>    of which loans and advances to customers</v>
      </c>
      <c r="B34" s="44">
        <v>3089.0679999999993</v>
      </c>
      <c r="C34" s="44">
        <v>3103.6030000000005</v>
      </c>
      <c r="D34" s="44">
        <v>2833.8469999999993</v>
      </c>
      <c r="E34" s="45">
        <v>2742.2390000000005</v>
      </c>
      <c r="F34" s="44">
        <v>2678.9059999999995</v>
      </c>
      <c r="G34" s="44">
        <v>2718.075</v>
      </c>
      <c r="H34" s="44">
        <v>2908.585</v>
      </c>
      <c r="I34" s="44">
        <v>3296.4390000000003</v>
      </c>
    </row>
    <row r="35" spans="1:9" ht="14.25">
      <c r="A35" s="43"/>
      <c r="B35" s="44"/>
      <c r="C35" s="44"/>
      <c r="D35" s="44"/>
      <c r="E35" s="45"/>
      <c r="F35" s="44"/>
      <c r="G35" s="44"/>
      <c r="H35" s="44"/>
      <c r="I35" s="44"/>
    </row>
    <row r="36" spans="1:9" ht="14.25">
      <c r="A36" s="43" t="str">
        <f>HLOOKUP(INDICE!$F$2,Nombres!$C$3:$D$636,56,FALSE)</f>
        <v>Tangible assets</v>
      </c>
      <c r="B36" s="44">
        <v>399.99144176000004</v>
      </c>
      <c r="C36" s="44">
        <v>365.42600000000004</v>
      </c>
      <c r="D36" s="44">
        <v>336.80591768</v>
      </c>
      <c r="E36" s="45">
        <v>340.05147284</v>
      </c>
      <c r="F36" s="44">
        <v>358.37536584</v>
      </c>
      <c r="G36" s="44">
        <v>374.83600000000007</v>
      </c>
      <c r="H36" s="44">
        <v>399.10699999999997</v>
      </c>
      <c r="I36" s="44">
        <v>451.578</v>
      </c>
    </row>
    <row r="37" spans="1:9" ht="14.25">
      <c r="A37" s="43" t="str">
        <f>HLOOKUP(INDICE!$F$2,Nombres!$C$3:$D$636,57,FALSE)</f>
        <v>Other assets</v>
      </c>
      <c r="B37" s="58">
        <f>+B38-B36-B33-B32-B31</f>
        <v>292.6261178899995</v>
      </c>
      <c r="C37" s="58">
        <f aca="true" t="shared" si="5" ref="C37:I37">+C38-C36-C33-C32-C31</f>
        <v>256.9794490300012</v>
      </c>
      <c r="D37" s="58">
        <f t="shared" si="5"/>
        <v>248.7959577800002</v>
      </c>
      <c r="E37" s="65">
        <f t="shared" si="5"/>
        <v>297.40743339000096</v>
      </c>
      <c r="F37" s="44">
        <f t="shared" si="5"/>
        <v>295.51088900000036</v>
      </c>
      <c r="G37" s="44">
        <f t="shared" si="5"/>
        <v>294.76199999999994</v>
      </c>
      <c r="H37" s="44">
        <f t="shared" si="5"/>
        <v>270.47804455999994</v>
      </c>
      <c r="I37" s="44">
        <f t="shared" si="5"/>
        <v>284.7910000200004</v>
      </c>
    </row>
    <row r="38" spans="1:9" ht="14.25">
      <c r="A38" s="47" t="str">
        <f>HLOOKUP(INDICE!$F$2,Nombres!$C$3:$D$636,58,FALSE)</f>
        <v>Total assets / Liabilities and equity</v>
      </c>
      <c r="B38" s="47">
        <v>7249.042559649999</v>
      </c>
      <c r="C38" s="47">
        <v>7019.147449030001</v>
      </c>
      <c r="D38" s="47">
        <v>6692.4568754599995</v>
      </c>
      <c r="E38" s="47">
        <v>6862.258906230001</v>
      </c>
      <c r="F38" s="51">
        <v>7030.69425484</v>
      </c>
      <c r="G38" s="51">
        <v>7750.31</v>
      </c>
      <c r="H38" s="51">
        <v>8126.82904456</v>
      </c>
      <c r="I38" s="51">
        <v>9037.44500002</v>
      </c>
    </row>
    <row r="39" spans="1:9" ht="14.25">
      <c r="A39" s="43" t="str">
        <f>HLOOKUP(INDICE!$F$2,Nombres!$C$3:$D$636,59,FALSE)</f>
        <v>Financial liabilities held for trading and designated at fair value through profit or loss</v>
      </c>
      <c r="B39" s="58">
        <v>4.695</v>
      </c>
      <c r="C39" s="58">
        <v>2.9130000000000003</v>
      </c>
      <c r="D39" s="58">
        <v>0.403</v>
      </c>
      <c r="E39" s="65">
        <v>1.827</v>
      </c>
      <c r="F39" s="44">
        <v>3.699</v>
      </c>
      <c r="G39" s="44">
        <v>1.248</v>
      </c>
      <c r="H39" s="44">
        <v>3.49</v>
      </c>
      <c r="I39" s="44">
        <v>2.7</v>
      </c>
    </row>
    <row r="40" spans="1:9" ht="15.75" customHeight="1">
      <c r="A40" s="43" t="str">
        <f>HLOOKUP(INDICE!$F$2,Nombres!$C$3:$D$636,60,FALSE)</f>
        <v>Deposits from central banks and credit institutions</v>
      </c>
      <c r="B40" s="58">
        <v>109.653</v>
      </c>
      <c r="C40" s="58">
        <v>83.065</v>
      </c>
      <c r="D40" s="58">
        <v>51.71700000000002</v>
      </c>
      <c r="E40" s="65">
        <v>115.65699999999998</v>
      </c>
      <c r="F40" s="44">
        <v>120.434</v>
      </c>
      <c r="G40" s="44">
        <v>106.03899999999999</v>
      </c>
      <c r="H40" s="44">
        <v>107.00999999999998</v>
      </c>
      <c r="I40" s="44">
        <v>112.35500000000002</v>
      </c>
    </row>
    <row r="41" spans="1:9" ht="14.25">
      <c r="A41" s="43" t="str">
        <f>HLOOKUP(INDICE!$F$2,Nombres!$C$3:$D$636,61,FALSE)</f>
        <v>Deposits from customers</v>
      </c>
      <c r="B41" s="58">
        <v>4638.339</v>
      </c>
      <c r="C41" s="58">
        <v>4730.674000000001</v>
      </c>
      <c r="D41" s="58">
        <v>4477.334000000001</v>
      </c>
      <c r="E41" s="65">
        <v>4622.5419999999995</v>
      </c>
      <c r="F41" s="44">
        <v>4706.075999999999</v>
      </c>
      <c r="G41" s="44">
        <v>5349.341</v>
      </c>
      <c r="H41" s="44">
        <v>5515.021</v>
      </c>
      <c r="I41" s="44">
        <v>6082.594</v>
      </c>
    </row>
    <row r="42" spans="1:9" ht="14.25">
      <c r="A42" s="43" t="str">
        <f>HLOOKUP(INDICE!$F$2,Nombres!$C$3:$D$636,62,FALSE)</f>
        <v>Debt certificates</v>
      </c>
      <c r="B42" s="44">
        <v>334.08897606</v>
      </c>
      <c r="C42" s="44">
        <v>259.66729038</v>
      </c>
      <c r="D42" s="44">
        <v>242.87376404</v>
      </c>
      <c r="E42" s="45">
        <v>206.52914403999998</v>
      </c>
      <c r="F42" s="44">
        <v>193.7862963</v>
      </c>
      <c r="G42" s="44">
        <v>182.45249046</v>
      </c>
      <c r="H42" s="44">
        <v>199.47880386000003</v>
      </c>
      <c r="I42" s="44">
        <v>228.56989066</v>
      </c>
    </row>
    <row r="43" spans="1:9" ht="14.25">
      <c r="A43" s="43"/>
      <c r="B43" s="44"/>
      <c r="C43" s="44"/>
      <c r="D43" s="44"/>
      <c r="E43" s="45"/>
      <c r="F43" s="44"/>
      <c r="G43" s="44"/>
      <c r="H43" s="44"/>
      <c r="I43" s="44"/>
    </row>
    <row r="44" spans="1:9" ht="14.25">
      <c r="A44" s="43" t="str">
        <f>HLOOKUP(INDICE!$F$2,Nombres!$C$3:$D$636,63,FALSE)</f>
        <v>Other liabilities</v>
      </c>
      <c r="B44" s="58">
        <f>+B38-B39-B40-B41-B42-B45</f>
        <v>1319.8365268699993</v>
      </c>
      <c r="C44" s="58">
        <f aca="true" t="shared" si="6" ref="C44:I44">+C38-C39-C40-C41-C42-C45</f>
        <v>1169.3500227400007</v>
      </c>
      <c r="D44" s="58">
        <f t="shared" si="6"/>
        <v>1212.304100499999</v>
      </c>
      <c r="E44" s="65">
        <f t="shared" si="6"/>
        <v>1215.4345030200016</v>
      </c>
      <c r="F44" s="44">
        <f t="shared" si="6"/>
        <v>1345.4178921300013</v>
      </c>
      <c r="G44" s="44">
        <f t="shared" si="6"/>
        <v>1465.610611580001</v>
      </c>
      <c r="H44" s="44">
        <f t="shared" si="6"/>
        <v>1590.59636955</v>
      </c>
      <c r="I44" s="44">
        <f t="shared" si="6"/>
        <v>1844.5041247199993</v>
      </c>
    </row>
    <row r="45" spans="1:9" ht="14.25">
      <c r="A45" s="43" t="str">
        <f>HLOOKUP(INDICE!$F$2,Nombres!$C$3:$D$636,282,FALSE)</f>
        <v>Regulatory capital allocated</v>
      </c>
      <c r="B45" s="58">
        <v>842.43005672</v>
      </c>
      <c r="C45" s="58">
        <v>773.47813591</v>
      </c>
      <c r="D45" s="58">
        <v>707.82501092</v>
      </c>
      <c r="E45" s="65">
        <v>700.2692591699999</v>
      </c>
      <c r="F45" s="44">
        <v>661.28106641</v>
      </c>
      <c r="G45" s="44">
        <v>645.6188979599999</v>
      </c>
      <c r="H45" s="44">
        <v>711.23287115</v>
      </c>
      <c r="I45" s="44">
        <v>766.72198464</v>
      </c>
    </row>
    <row r="46" spans="1:9" ht="14.25">
      <c r="A46" s="62"/>
      <c r="B46" s="58"/>
      <c r="C46" s="58"/>
      <c r="D46" s="58"/>
      <c r="E46" s="58"/>
      <c r="F46" s="44"/>
      <c r="G46" s="44"/>
      <c r="H46" s="44"/>
      <c r="I46" s="44"/>
    </row>
    <row r="47" spans="1:9" ht="14.25">
      <c r="A47" s="43"/>
      <c r="B47" s="58"/>
      <c r="C47" s="58"/>
      <c r="D47" s="58"/>
      <c r="E47" s="58"/>
      <c r="F47" s="44"/>
      <c r="G47" s="44"/>
      <c r="H47" s="44"/>
      <c r="I47" s="44"/>
    </row>
    <row r="48" spans="1:9" ht="16.5">
      <c r="A48" s="33" t="str">
        <f>HLOOKUP(INDICE!$F$2,Nombres!$C$3:$D$636,65,FALSE)</f>
        <v>Relevant business indicators</v>
      </c>
      <c r="B48" s="34"/>
      <c r="C48" s="34"/>
      <c r="D48" s="34"/>
      <c r="E48" s="34"/>
      <c r="F48" s="69"/>
      <c r="G48" s="69"/>
      <c r="H48" s="69"/>
      <c r="I48" s="69"/>
    </row>
    <row r="49" spans="1:9" ht="14.25">
      <c r="A49" s="35" t="str">
        <f>HLOOKUP(INDICE!$F$2,Nombres!$C$3:$D$636,32,FALSE)</f>
        <v>(Million euros)</v>
      </c>
      <c r="B49" s="30"/>
      <c r="C49" s="30"/>
      <c r="D49" s="30"/>
      <c r="E49" s="30"/>
      <c r="F49" s="70"/>
      <c r="G49" s="44"/>
      <c r="H49" s="44"/>
      <c r="I49" s="44"/>
    </row>
    <row r="50" spans="1:9" ht="14.25">
      <c r="A50" s="30"/>
      <c r="B50" s="53">
        <f aca="true" t="shared" si="7" ref="B50:I50">+B$30</f>
        <v>43921</v>
      </c>
      <c r="C50" s="53">
        <f t="shared" si="7"/>
        <v>44012</v>
      </c>
      <c r="D50" s="53">
        <f t="shared" si="7"/>
        <v>44104</v>
      </c>
      <c r="E50" s="68">
        <f t="shared" si="7"/>
        <v>44196</v>
      </c>
      <c r="F50" s="53">
        <f t="shared" si="7"/>
        <v>44286</v>
      </c>
      <c r="G50" s="53">
        <f t="shared" si="7"/>
        <v>44377</v>
      </c>
      <c r="H50" s="53">
        <f t="shared" si="7"/>
        <v>44469</v>
      </c>
      <c r="I50" s="53">
        <f t="shared" si="7"/>
        <v>44561</v>
      </c>
    </row>
    <row r="51" spans="1:9" ht="14.25">
      <c r="A51" s="43" t="str">
        <f>HLOOKUP(INDICE!$F$2,Nombres!$C$3:$D$636,66,FALSE)</f>
        <v>Loans and advances to customers (gross) (*)</v>
      </c>
      <c r="B51" s="44">
        <v>3256.68866218</v>
      </c>
      <c r="C51" s="44">
        <v>3239.52912875</v>
      </c>
      <c r="D51" s="44">
        <v>2953.827407529999</v>
      </c>
      <c r="E51" s="45">
        <v>2864.2089997900002</v>
      </c>
      <c r="F51" s="44">
        <v>2810.1806310599995</v>
      </c>
      <c r="G51" s="44">
        <v>2853.1629853199997</v>
      </c>
      <c r="H51" s="44">
        <v>3049.04189683</v>
      </c>
      <c r="I51" s="44">
        <v>3414.34292927</v>
      </c>
    </row>
    <row r="52" spans="1:9" ht="14.25">
      <c r="A52" s="43" t="str">
        <f>HLOOKUP(INDICE!$F$2,Nombres!$C$3:$D$636,67,FALSE)</f>
        <v>Customer deposits under management (*)</v>
      </c>
      <c r="B52" s="44">
        <v>4638.36020785</v>
      </c>
      <c r="C52" s="44">
        <v>4730.67369239</v>
      </c>
      <c r="D52" s="44">
        <v>4477.33311385</v>
      </c>
      <c r="E52" s="45">
        <v>4622.2055273000005</v>
      </c>
      <c r="F52" s="44">
        <v>4706.07777928</v>
      </c>
      <c r="G52" s="44">
        <v>5349.3398651200005</v>
      </c>
      <c r="H52" s="44">
        <v>5515.0211831999995</v>
      </c>
      <c r="I52" s="44">
        <v>6082.59164753</v>
      </c>
    </row>
    <row r="53" spans="1:9" ht="14.25">
      <c r="A53" s="43" t="str">
        <f>HLOOKUP(INDICE!$F$2,Nombres!$C$3:$D$636,68,FALSE)</f>
        <v>Mutual funds</v>
      </c>
      <c r="B53" s="44">
        <v>945.89799169</v>
      </c>
      <c r="C53" s="44">
        <v>1455.18131032</v>
      </c>
      <c r="D53" s="44">
        <v>1125.3281869900002</v>
      </c>
      <c r="E53" s="45">
        <v>969.3644559700001</v>
      </c>
      <c r="F53" s="44">
        <v>1327.07892138</v>
      </c>
      <c r="G53" s="44">
        <v>1346.10370657</v>
      </c>
      <c r="H53" s="44">
        <v>1673.9364056799998</v>
      </c>
      <c r="I53" s="44">
        <v>1716.11286795</v>
      </c>
    </row>
    <row r="54" spans="1:9" ht="14.25">
      <c r="A54" s="43" t="str">
        <f>HLOOKUP(INDICE!$F$2,Nombres!$C$3:$D$636,69,FALSE)</f>
        <v>Pension funds</v>
      </c>
      <c r="B54" s="44">
        <v>0</v>
      </c>
      <c r="C54" s="44">
        <v>0</v>
      </c>
      <c r="D54" s="44">
        <v>0</v>
      </c>
      <c r="E54" s="45">
        <v>0</v>
      </c>
      <c r="F54" s="44">
        <v>0</v>
      </c>
      <c r="G54" s="44">
        <v>0</v>
      </c>
      <c r="H54" s="44">
        <v>0</v>
      </c>
      <c r="I54" s="44">
        <v>0</v>
      </c>
    </row>
    <row r="55" spans="1:9" ht="14.25">
      <c r="A55" s="43" t="str">
        <f>HLOOKUP(INDICE!$F$2,Nombres!$C$3:$D$636,70,FALSE)</f>
        <v>Other off balance-sheet funds</v>
      </c>
      <c r="B55" s="44">
        <v>0</v>
      </c>
      <c r="C55" s="44">
        <v>0</v>
      </c>
      <c r="D55" s="44">
        <v>0</v>
      </c>
      <c r="E55" s="45">
        <v>0</v>
      </c>
      <c r="F55" s="44">
        <v>0</v>
      </c>
      <c r="G55" s="44">
        <v>0</v>
      </c>
      <c r="H55" s="44">
        <v>0</v>
      </c>
      <c r="I55" s="44">
        <v>0</v>
      </c>
    </row>
    <row r="56" spans="1:9" ht="14.25">
      <c r="A56" s="62" t="str">
        <f>HLOOKUP(INDICE!$F$2,Nombres!$C$3:$D$636,71,FALSE)</f>
        <v>(*) Excluding repos. </v>
      </c>
      <c r="B56" s="58"/>
      <c r="C56" s="58"/>
      <c r="D56" s="58"/>
      <c r="E56" s="58"/>
      <c r="F56" s="58"/>
      <c r="G56" s="58"/>
      <c r="H56" s="58"/>
      <c r="I56" s="58"/>
    </row>
    <row r="57" spans="1:9" ht="14.25">
      <c r="A57" s="62">
        <f>HLOOKUP(INDICE!$F$2,Nombres!$C$3:$D$636,72,FALSE)</f>
        <v>0</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Income statement  </v>
      </c>
      <c r="B59" s="34"/>
      <c r="C59" s="34"/>
      <c r="D59" s="34"/>
      <c r="E59" s="34"/>
      <c r="F59" s="34"/>
      <c r="G59" s="34"/>
      <c r="H59" s="34"/>
      <c r="I59" s="34"/>
    </row>
    <row r="60" spans="1:9" ht="14.25">
      <c r="A60" s="35" t="str">
        <f>HLOOKUP(INDICE!$F$2,Nombres!$C$3:$D$636,73,FALSE)</f>
        <v>(Constant million euros)    </v>
      </c>
      <c r="B60" s="30"/>
      <c r="C60" s="36"/>
      <c r="D60" s="36"/>
      <c r="E60" s="36"/>
      <c r="F60" s="30"/>
      <c r="G60" s="30"/>
      <c r="H60" s="30"/>
      <c r="I60" s="30"/>
    </row>
    <row r="61" spans="1:9" ht="14.25">
      <c r="A61" s="37"/>
      <c r="B61" s="30"/>
      <c r="C61" s="36"/>
      <c r="D61" s="36"/>
      <c r="E61" s="36"/>
      <c r="F61" s="30"/>
      <c r="G61" s="30"/>
      <c r="H61" s="30"/>
      <c r="I61" s="30"/>
    </row>
    <row r="62" spans="1:9" ht="14.25">
      <c r="A62" s="38"/>
      <c r="B62" s="306">
        <f>+B$6</f>
        <v>2020</v>
      </c>
      <c r="C62" s="306"/>
      <c r="D62" s="306"/>
      <c r="E62" s="307"/>
      <c r="F62" s="306">
        <f>+F$6</f>
        <v>2021</v>
      </c>
      <c r="G62" s="306"/>
      <c r="H62" s="306"/>
      <c r="I62" s="306"/>
    </row>
    <row r="63" spans="1:9" ht="14.25">
      <c r="A63" s="38"/>
      <c r="B63" s="39" t="str">
        <f>+B$7</f>
        <v>1Q</v>
      </c>
      <c r="C63" s="39" t="str">
        <f aca="true" t="shared" si="8" ref="C63:I63">+C$7</f>
        <v>2Q</v>
      </c>
      <c r="D63" s="39" t="str">
        <f t="shared" si="8"/>
        <v>3Q</v>
      </c>
      <c r="E63" s="40" t="str">
        <f t="shared" si="8"/>
        <v>4Q</v>
      </c>
      <c r="F63" s="39" t="str">
        <f t="shared" si="8"/>
        <v>1Q</v>
      </c>
      <c r="G63" s="39" t="str">
        <f t="shared" si="8"/>
        <v>2Q</v>
      </c>
      <c r="H63" s="39" t="str">
        <f t="shared" si="8"/>
        <v>3Q</v>
      </c>
      <c r="I63" s="39" t="str">
        <f t="shared" si="8"/>
        <v>4Q</v>
      </c>
    </row>
    <row r="64" spans="1:9" ht="14.25">
      <c r="A64" s="41" t="str">
        <f>HLOOKUP(INDICE!$F$2,Nombres!$C$3:$D$636,33,FALSE)</f>
        <v>Net interest income</v>
      </c>
      <c r="B64" s="41">
        <v>149.15333407927483</v>
      </c>
      <c r="C64" s="41">
        <v>157.67538944691887</v>
      </c>
      <c r="D64" s="41">
        <v>174.39579342724437</v>
      </c>
      <c r="E64" s="42">
        <v>222.05181947626596</v>
      </c>
      <c r="F64" s="50">
        <v>187.26803857469133</v>
      </c>
      <c r="G64" s="50">
        <v>230.18540383506465</v>
      </c>
      <c r="H64" s="50">
        <v>280.22993543025797</v>
      </c>
      <c r="I64" s="50">
        <v>354.0946221599861</v>
      </c>
    </row>
    <row r="65" spans="1:9" ht="14.25">
      <c r="A65" s="43" t="str">
        <f>HLOOKUP(INDICE!$F$2,Nombres!$C$3:$D$636,34,FALSE)</f>
        <v>Net fees and commissions</v>
      </c>
      <c r="B65" s="44">
        <v>16.31811309229152</v>
      </c>
      <c r="C65" s="44">
        <v>28.84354207006193</v>
      </c>
      <c r="D65" s="44">
        <v>33.39407724616669</v>
      </c>
      <c r="E65" s="45">
        <v>30.179007198123745</v>
      </c>
      <c r="F65" s="44">
        <v>28.97036373570525</v>
      </c>
      <c r="G65" s="44">
        <v>52.97554080433294</v>
      </c>
      <c r="H65" s="44">
        <v>60.38808939046001</v>
      </c>
      <c r="I65" s="44">
        <v>60.2641715495018</v>
      </c>
    </row>
    <row r="66" spans="1:9" ht="14.25">
      <c r="A66" s="43" t="str">
        <f>HLOOKUP(INDICE!$F$2,Nombres!$C$3:$D$636,35,FALSE)</f>
        <v>Net trading income</v>
      </c>
      <c r="B66" s="44">
        <v>15.869412040401809</v>
      </c>
      <c r="C66" s="44">
        <v>17.944614850543495</v>
      </c>
      <c r="D66" s="44">
        <v>20.042074363531107</v>
      </c>
      <c r="E66" s="45">
        <v>73.24806514351056</v>
      </c>
      <c r="F66" s="44">
        <v>23.924463639279608</v>
      </c>
      <c r="G66" s="44">
        <v>25.390201176235877</v>
      </c>
      <c r="H66" s="44">
        <v>25.32542775181932</v>
      </c>
      <c r="I66" s="44">
        <v>17.25058694266519</v>
      </c>
    </row>
    <row r="67" spans="1:9" ht="14.25">
      <c r="A67" s="43" t="str">
        <f>HLOOKUP(INDICE!$F$2,Nombres!$C$3:$D$636,36,FALSE)</f>
        <v>Other operating income and expenses</v>
      </c>
      <c r="B67" s="44">
        <v>-76.14440757811971</v>
      </c>
      <c r="C67" s="44">
        <v>-62.333083467206855</v>
      </c>
      <c r="D67" s="44">
        <v>-67.83090636678767</v>
      </c>
      <c r="E67" s="45">
        <v>-89.07051276607996</v>
      </c>
      <c r="F67" s="44">
        <v>-118.96135506875311</v>
      </c>
      <c r="G67" s="44">
        <v>-126.35238373692586</v>
      </c>
      <c r="H67" s="44">
        <v>-119.31007083800117</v>
      </c>
      <c r="I67" s="44">
        <v>-163.31119035631988</v>
      </c>
    </row>
    <row r="68" spans="1:9" ht="14.25">
      <c r="A68" s="41" t="str">
        <f>HLOOKUP(INDICE!$F$2,Nombres!$C$3:$D$636,37,FALSE)</f>
        <v>Gross income</v>
      </c>
      <c r="B68" s="41">
        <f>+SUM(B64:B67)</f>
        <v>105.19645163384845</v>
      </c>
      <c r="C68" s="41">
        <f aca="true" t="shared" si="9" ref="C68:I68">+SUM(C64:C67)</f>
        <v>142.13046290031744</v>
      </c>
      <c r="D68" s="41">
        <f t="shared" si="9"/>
        <v>160.0010386701545</v>
      </c>
      <c r="E68" s="42">
        <f t="shared" si="9"/>
        <v>236.4083790518203</v>
      </c>
      <c r="F68" s="50">
        <f t="shared" si="9"/>
        <v>121.20151088092308</v>
      </c>
      <c r="G68" s="50">
        <f t="shared" si="9"/>
        <v>182.19876207870766</v>
      </c>
      <c r="H68" s="50">
        <f t="shared" si="9"/>
        <v>246.6333817345362</v>
      </c>
      <c r="I68" s="50">
        <f t="shared" si="9"/>
        <v>268.29819029583314</v>
      </c>
    </row>
    <row r="69" spans="1:9" ht="14.25">
      <c r="A69" s="43" t="str">
        <f>HLOOKUP(INDICE!$F$2,Nombres!$C$3:$D$636,38,FALSE)</f>
        <v>Operating expenses</v>
      </c>
      <c r="B69" s="44">
        <v>-75.04075808822313</v>
      </c>
      <c r="C69" s="44">
        <v>-78.7327175577926</v>
      </c>
      <c r="D69" s="44">
        <v>-93.3901388643967</v>
      </c>
      <c r="E69" s="45">
        <v>-112.72161155934214</v>
      </c>
      <c r="F69" s="44">
        <v>-97.31986601402872</v>
      </c>
      <c r="G69" s="44">
        <v>-119.24650255337126</v>
      </c>
      <c r="H69" s="44">
        <v>-159.55802487297728</v>
      </c>
      <c r="I69" s="44">
        <v>-181.81351211962277</v>
      </c>
    </row>
    <row r="70" spans="1:9" ht="14.25">
      <c r="A70" s="43" t="str">
        <f>HLOOKUP(INDICE!$F$2,Nombres!$C$3:$D$636,39,FALSE)</f>
        <v>  Administration expenses</v>
      </c>
      <c r="B70" s="44">
        <v>-65.45498725920112</v>
      </c>
      <c r="C70" s="44">
        <v>-69.89979884926672</v>
      </c>
      <c r="D70" s="44">
        <v>-85.00810496374876</v>
      </c>
      <c r="E70" s="45">
        <v>-103.07159021586907</v>
      </c>
      <c r="F70" s="44">
        <v>-90.226508400478</v>
      </c>
      <c r="G70" s="44">
        <v>-109.3886295016132</v>
      </c>
      <c r="H70" s="44">
        <v>-148.26753663168972</v>
      </c>
      <c r="I70" s="44">
        <v>-168.46323102621915</v>
      </c>
    </row>
    <row r="71" spans="1:9" ht="14.25">
      <c r="A71" s="46" t="str">
        <f>HLOOKUP(INDICE!$F$2,Nombres!$C$3:$D$636,40,FALSE)</f>
        <v>  Personnel expenses</v>
      </c>
      <c r="B71" s="44">
        <v>-39.79204520105789</v>
      </c>
      <c r="C71" s="44">
        <v>-38.535984643244205</v>
      </c>
      <c r="D71" s="44">
        <v>-47.29296184851458</v>
      </c>
      <c r="E71" s="45">
        <v>-55.37065001292375</v>
      </c>
      <c r="F71" s="44">
        <v>-51.70702148182198</v>
      </c>
      <c r="G71" s="44">
        <v>-61.05590841933174</v>
      </c>
      <c r="H71" s="44">
        <v>-74.37684830774229</v>
      </c>
      <c r="I71" s="44">
        <v>-85.92381679110397</v>
      </c>
    </row>
    <row r="72" spans="1:9" ht="14.25">
      <c r="A72" s="46" t="str">
        <f>HLOOKUP(INDICE!$F$2,Nombres!$C$3:$D$636,41,FALSE)</f>
        <v>  General and administrative expenses</v>
      </c>
      <c r="B72" s="44">
        <v>-25.662942058143223</v>
      </c>
      <c r="C72" s="44">
        <v>-31.363814206022504</v>
      </c>
      <c r="D72" s="44">
        <v>-37.71514311523418</v>
      </c>
      <c r="E72" s="45">
        <v>-47.70094020294533</v>
      </c>
      <c r="F72" s="44">
        <v>-38.51948691865602</v>
      </c>
      <c r="G72" s="44">
        <v>-48.33272108228144</v>
      </c>
      <c r="H72" s="44">
        <v>-73.89068832394742</v>
      </c>
      <c r="I72" s="44">
        <v>-82.53941423511513</v>
      </c>
    </row>
    <row r="73" spans="1:9" ht="14.25">
      <c r="A73" s="43" t="str">
        <f>HLOOKUP(INDICE!$F$2,Nombres!$C$3:$D$636,42,FALSE)</f>
        <v>  Depreciation</v>
      </c>
      <c r="B73" s="44">
        <v>-9.585770829022016</v>
      </c>
      <c r="C73" s="44">
        <v>-8.832918708525892</v>
      </c>
      <c r="D73" s="44">
        <v>-8.382033900647958</v>
      </c>
      <c r="E73" s="45">
        <v>-9.650021343473082</v>
      </c>
      <c r="F73" s="44">
        <v>-7.093357613550728</v>
      </c>
      <c r="G73" s="44">
        <v>-9.857873051758062</v>
      </c>
      <c r="H73" s="44">
        <v>-11.290488241287568</v>
      </c>
      <c r="I73" s="44">
        <v>-13.350281093403641</v>
      </c>
    </row>
    <row r="74" spans="1:9" ht="14.25">
      <c r="A74" s="41" t="str">
        <f>HLOOKUP(INDICE!$F$2,Nombres!$C$3:$D$636,43,FALSE)</f>
        <v>Operating income</v>
      </c>
      <c r="B74" s="41">
        <f>+B68+B69</f>
        <v>30.155693545625326</v>
      </c>
      <c r="C74" s="41">
        <f aca="true" t="shared" si="10" ref="C74:I74">+C68+C69</f>
        <v>63.39774534252484</v>
      </c>
      <c r="D74" s="41">
        <f t="shared" si="10"/>
        <v>66.61089980575778</v>
      </c>
      <c r="E74" s="42">
        <f t="shared" si="10"/>
        <v>123.68676749247817</v>
      </c>
      <c r="F74" s="50">
        <f t="shared" si="10"/>
        <v>23.881644866894362</v>
      </c>
      <c r="G74" s="50">
        <f t="shared" si="10"/>
        <v>62.9522595253364</v>
      </c>
      <c r="H74" s="50">
        <f t="shared" si="10"/>
        <v>87.0753568615589</v>
      </c>
      <c r="I74" s="50">
        <f t="shared" si="10"/>
        <v>86.48467817621037</v>
      </c>
    </row>
    <row r="75" spans="1:9" ht="14.25">
      <c r="A75" s="43" t="str">
        <f>HLOOKUP(INDICE!$F$2,Nombres!$C$3:$D$636,44,FALSE)</f>
        <v>Impaiment on financial assets not measured at fair value through profit or loss</v>
      </c>
      <c r="B75" s="44">
        <v>-38.853658531446605</v>
      </c>
      <c r="C75" s="44">
        <v>-22.773103114442662</v>
      </c>
      <c r="D75" s="44">
        <v>19.062707757433092</v>
      </c>
      <c r="E75" s="45">
        <v>-51.61027507552227</v>
      </c>
      <c r="F75" s="44">
        <v>-19.083346413311</v>
      </c>
      <c r="G75" s="44">
        <v>-33.04807265943462</v>
      </c>
      <c r="H75" s="44">
        <v>-33.36762631842646</v>
      </c>
      <c r="I75" s="44">
        <v>-28.081954608827907</v>
      </c>
    </row>
    <row r="76" spans="1:9" ht="14.25">
      <c r="A76" s="43" t="str">
        <f>HLOOKUP(INDICE!$F$2,Nombres!$C$3:$D$636,45,FALSE)</f>
        <v>Provisions or reversal of provisions and other results</v>
      </c>
      <c r="B76" s="44">
        <v>-6.5616778038440895</v>
      </c>
      <c r="C76" s="44">
        <v>2.906492487111123</v>
      </c>
      <c r="D76" s="44">
        <v>-5.2549614100529825</v>
      </c>
      <c r="E76" s="45">
        <v>-17.615511885923215</v>
      </c>
      <c r="F76" s="44">
        <v>-1.7941628843412607</v>
      </c>
      <c r="G76" s="44">
        <v>-4.742589693183282</v>
      </c>
      <c r="H76" s="44">
        <v>-3.2289923508765184</v>
      </c>
      <c r="I76" s="44">
        <v>-9.71425507159894</v>
      </c>
    </row>
    <row r="77" spans="1:9" ht="14.25">
      <c r="A77" s="41" t="str">
        <f>HLOOKUP(INDICE!$F$2,Nombres!$C$3:$D$636,46,FALSE)</f>
        <v>Profit/(loss) before tax</v>
      </c>
      <c r="B77" s="41">
        <f>+B74+B75+B76</f>
        <v>-15.259642789665369</v>
      </c>
      <c r="C77" s="41">
        <f aca="true" t="shared" si="11" ref="C77:I77">+C74+C75+C76</f>
        <v>43.5311347151933</v>
      </c>
      <c r="D77" s="41">
        <f t="shared" si="11"/>
        <v>80.41864615313789</v>
      </c>
      <c r="E77" s="42">
        <f t="shared" si="11"/>
        <v>54.46098053103269</v>
      </c>
      <c r="F77" s="50">
        <f t="shared" si="11"/>
        <v>3.004135569242103</v>
      </c>
      <c r="G77" s="50">
        <f t="shared" si="11"/>
        <v>25.1615971727185</v>
      </c>
      <c r="H77" s="50">
        <f t="shared" si="11"/>
        <v>50.478738192255925</v>
      </c>
      <c r="I77" s="50">
        <f t="shared" si="11"/>
        <v>48.68846849578352</v>
      </c>
    </row>
    <row r="78" spans="1:9" ht="14.25">
      <c r="A78" s="43" t="str">
        <f>HLOOKUP(INDICE!$F$2,Nombres!$C$3:$D$636,47,FALSE)</f>
        <v>Income tax</v>
      </c>
      <c r="B78" s="44">
        <v>1.718858488942928</v>
      </c>
      <c r="C78" s="44">
        <v>-16.801732217494806</v>
      </c>
      <c r="D78" s="44">
        <v>-29.860250463419135</v>
      </c>
      <c r="E78" s="45">
        <v>-23.647700104208567</v>
      </c>
      <c r="F78" s="44">
        <v>-1.7327226020695905</v>
      </c>
      <c r="G78" s="44">
        <v>-11.575122764293031</v>
      </c>
      <c r="H78" s="44">
        <v>-10.587675875756975</v>
      </c>
      <c r="I78" s="44">
        <v>-14.315939097880413</v>
      </c>
    </row>
    <row r="79" spans="1:9" ht="14.25">
      <c r="A79" s="41" t="str">
        <f>HLOOKUP(INDICE!$F$2,Nombres!$C$3:$D$636,48,FALSE)</f>
        <v>Profit/(loss) for the year</v>
      </c>
      <c r="B79" s="41">
        <f>+B77+B78</f>
        <v>-13.540784300722441</v>
      </c>
      <c r="C79" s="41">
        <f aca="true" t="shared" si="12" ref="C79:I79">+C77+C78</f>
        <v>26.729402497698498</v>
      </c>
      <c r="D79" s="41">
        <f t="shared" si="12"/>
        <v>50.55839568971875</v>
      </c>
      <c r="E79" s="42">
        <f t="shared" si="12"/>
        <v>30.81328042682412</v>
      </c>
      <c r="F79" s="50">
        <f t="shared" si="12"/>
        <v>1.2714129671725125</v>
      </c>
      <c r="G79" s="50">
        <f t="shared" si="12"/>
        <v>13.58647440842547</v>
      </c>
      <c r="H79" s="50">
        <f t="shared" si="12"/>
        <v>39.891062316498946</v>
      </c>
      <c r="I79" s="50">
        <f t="shared" si="12"/>
        <v>34.37252939790311</v>
      </c>
    </row>
    <row r="80" spans="1:9" ht="14.25">
      <c r="A80" s="43" t="str">
        <f>HLOOKUP(INDICE!$F$2,Nombres!$C$3:$D$636,49,FALSE)</f>
        <v>Non-controlling interests</v>
      </c>
      <c r="B80" s="44">
        <v>4.98148211849804</v>
      </c>
      <c r="C80" s="44">
        <v>-7.867090300937132</v>
      </c>
      <c r="D80" s="44">
        <v>-15.515817528589958</v>
      </c>
      <c r="E80" s="45">
        <v>-8.966847241798376</v>
      </c>
      <c r="F80" s="44">
        <v>0.6597834475315869</v>
      </c>
      <c r="G80" s="44">
        <v>-2.834400703659637</v>
      </c>
      <c r="H80" s="44">
        <v>-13.232677998601423</v>
      </c>
      <c r="I80" s="44">
        <v>-10.977920715270534</v>
      </c>
    </row>
    <row r="81" spans="1:9" ht="14.25">
      <c r="A81" s="47" t="str">
        <f>HLOOKUP(INDICE!$F$2,Nombres!$C$3:$D$636,50,FALSE)</f>
        <v>Net attributable profit</v>
      </c>
      <c r="B81" s="47">
        <f>+B79+B80</f>
        <v>-8.559302182224402</v>
      </c>
      <c r="C81" s="47">
        <f aca="true" t="shared" si="13" ref="C81:I81">+C79+C80</f>
        <v>18.862312196761366</v>
      </c>
      <c r="D81" s="47">
        <f t="shared" si="13"/>
        <v>35.042578161128795</v>
      </c>
      <c r="E81" s="47">
        <f t="shared" si="13"/>
        <v>21.846433185025745</v>
      </c>
      <c r="F81" s="51">
        <f t="shared" si="13"/>
        <v>1.9311964147040994</v>
      </c>
      <c r="G81" s="51">
        <f t="shared" si="13"/>
        <v>10.752073704765834</v>
      </c>
      <c r="H81" s="51">
        <f t="shared" si="13"/>
        <v>26.65838431789752</v>
      </c>
      <c r="I81" s="51">
        <f t="shared" si="13"/>
        <v>23.394608682632573</v>
      </c>
    </row>
    <row r="82" spans="1:9" ht="14.25">
      <c r="A82" s="62"/>
      <c r="B82" s="63">
        <v>0</v>
      </c>
      <c r="C82" s="63">
        <v>0</v>
      </c>
      <c r="D82" s="63">
        <v>0</v>
      </c>
      <c r="E82" s="63">
        <v>0</v>
      </c>
      <c r="F82" s="63">
        <v>1.3322676295501878E-14</v>
      </c>
      <c r="G82" s="63">
        <v>5.3290705182007514E-14</v>
      </c>
      <c r="H82" s="63">
        <v>0</v>
      </c>
      <c r="I82" s="63">
        <v>-1.0658141036401503E-13</v>
      </c>
    </row>
    <row r="83" spans="1:9" ht="14.25">
      <c r="A83" s="41"/>
      <c r="B83" s="41"/>
      <c r="C83" s="41"/>
      <c r="D83" s="41"/>
      <c r="E83" s="41"/>
      <c r="F83" s="50"/>
      <c r="G83" s="50"/>
      <c r="H83" s="50"/>
      <c r="I83" s="50"/>
    </row>
    <row r="84" spans="1:9" ht="16.5">
      <c r="A84" s="33" t="str">
        <f>HLOOKUP(INDICE!$F$2,Nombres!$C$3:$D$636,51,FALSE)</f>
        <v>Balance sheets</v>
      </c>
      <c r="B84" s="34"/>
      <c r="C84" s="34"/>
      <c r="D84" s="34"/>
      <c r="E84" s="34"/>
      <c r="F84" s="69"/>
      <c r="G84" s="69"/>
      <c r="H84" s="69"/>
      <c r="I84" s="69"/>
    </row>
    <row r="85" spans="1:9" ht="14.25">
      <c r="A85" s="35" t="str">
        <f>HLOOKUP(INDICE!$F$2,Nombres!$C$3:$D$636,73,FALSE)</f>
        <v>(Constant million euros)    </v>
      </c>
      <c r="B85" s="30"/>
      <c r="C85" s="52"/>
      <c r="D85" s="52"/>
      <c r="E85" s="52"/>
      <c r="F85" s="70"/>
      <c r="G85" s="44"/>
      <c r="H85" s="44"/>
      <c r="I85" s="44"/>
    </row>
    <row r="86" spans="1:9" ht="14.25">
      <c r="A86" s="30"/>
      <c r="B86" s="53">
        <f aca="true" t="shared" si="14" ref="B86:I86">+B$30</f>
        <v>43921</v>
      </c>
      <c r="C86" s="53">
        <f t="shared" si="14"/>
        <v>44012</v>
      </c>
      <c r="D86" s="53">
        <f t="shared" si="14"/>
        <v>44104</v>
      </c>
      <c r="E86" s="68">
        <f t="shared" si="14"/>
        <v>44196</v>
      </c>
      <c r="F86" s="53">
        <f t="shared" si="14"/>
        <v>44286</v>
      </c>
      <c r="G86" s="53">
        <f t="shared" si="14"/>
        <v>44377</v>
      </c>
      <c r="H86" s="53">
        <f t="shared" si="14"/>
        <v>44469</v>
      </c>
      <c r="I86" s="53">
        <f t="shared" si="14"/>
        <v>44561</v>
      </c>
    </row>
    <row r="87" spans="1:9" ht="14.25">
      <c r="A87" s="43" t="str">
        <f>HLOOKUP(INDICE!$F$2,Nombres!$C$3:$D$636,52,FALSE)</f>
        <v>Cash, cash balances at central banks and other demand deposits</v>
      </c>
      <c r="B87" s="44">
        <v>1260.0079493591797</v>
      </c>
      <c r="C87" s="44">
        <v>968.4996877983294</v>
      </c>
      <c r="D87" s="44">
        <v>1146.1915212939248</v>
      </c>
      <c r="E87" s="45">
        <v>1308.4002038934273</v>
      </c>
      <c r="F87" s="44">
        <v>1681.365777851249</v>
      </c>
      <c r="G87" s="44">
        <v>1703.5893758262682</v>
      </c>
      <c r="H87" s="44">
        <v>1694.6592601765972</v>
      </c>
      <c r="I87" s="44">
        <v>1883.8760000000002</v>
      </c>
    </row>
    <row r="88" spans="1:9" ht="14.25">
      <c r="A88" s="43" t="str">
        <f>HLOOKUP(INDICE!$F$2,Nombres!$C$3:$D$636,53,FALSE)</f>
        <v>Financial assets designated at fair value </v>
      </c>
      <c r="B88" s="58">
        <v>711.8978392715787</v>
      </c>
      <c r="C88" s="58">
        <v>871.2487856262217</v>
      </c>
      <c r="D88" s="58">
        <v>1088.1956681137208</v>
      </c>
      <c r="E88" s="65">
        <v>1232.9681979649886</v>
      </c>
      <c r="F88" s="44">
        <v>1248.521679860836</v>
      </c>
      <c r="G88" s="44">
        <v>1393.9484720441558</v>
      </c>
      <c r="H88" s="44">
        <v>1546.31634816813</v>
      </c>
      <c r="I88" s="44">
        <v>1590.261</v>
      </c>
    </row>
    <row r="89" spans="1:9" ht="14.25">
      <c r="A89" s="43" t="str">
        <f>HLOOKUP(INDICE!$F$2,Nombres!$C$3:$D$636,54,FALSE)</f>
        <v>Financial assets at amortized cost</v>
      </c>
      <c r="B89" s="44">
        <v>2007.4830791915658</v>
      </c>
      <c r="C89" s="44">
        <v>2493.1920056536283</v>
      </c>
      <c r="D89" s="44">
        <v>2442.0185617911893</v>
      </c>
      <c r="E89" s="45">
        <v>2981.634650511633</v>
      </c>
      <c r="F89" s="44">
        <v>2978.2248129191694</v>
      </c>
      <c r="G89" s="44">
        <v>3822.617010808188</v>
      </c>
      <c r="H89" s="44">
        <v>4082.7181215799974</v>
      </c>
      <c r="I89" s="44">
        <v>4826.938999999999</v>
      </c>
    </row>
    <row r="90" spans="1:9" ht="14.25">
      <c r="A90" s="43" t="str">
        <f>HLOOKUP(INDICE!$F$2,Nombres!$C$3:$D$636,55,FALSE)</f>
        <v>    of which loans and advances to customers</v>
      </c>
      <c r="B90" s="44">
        <v>1874.8941398927266</v>
      </c>
      <c r="C90" s="44">
        <v>2102.2775453017293</v>
      </c>
      <c r="D90" s="44">
        <v>2170.056176021465</v>
      </c>
      <c r="E90" s="45">
        <v>2433.0732501169823</v>
      </c>
      <c r="F90" s="44">
        <v>2482.006265590511</v>
      </c>
      <c r="G90" s="44">
        <v>2656.4418828929724</v>
      </c>
      <c r="H90" s="44">
        <v>2856.495741248791</v>
      </c>
      <c r="I90" s="44">
        <v>3296.4390000000003</v>
      </c>
    </row>
    <row r="91" spans="1:9" ht="14.25">
      <c r="A91" s="43"/>
      <c r="B91" s="44"/>
      <c r="C91" s="44"/>
      <c r="D91" s="44"/>
      <c r="E91" s="45"/>
      <c r="F91" s="44"/>
      <c r="G91" s="44"/>
      <c r="H91" s="44"/>
      <c r="I91" s="44"/>
    </row>
    <row r="92" spans="1:9" ht="14.25">
      <c r="A92" s="43" t="str">
        <f>HLOOKUP(INDICE!$F$2,Nombres!$C$3:$D$636,56,FALSE)</f>
        <v>Tangible assets</v>
      </c>
      <c r="B92" s="44">
        <v>351.852904273218</v>
      </c>
      <c r="C92" s="44">
        <v>330.2705936342848</v>
      </c>
      <c r="D92" s="44">
        <v>313.4729483466508</v>
      </c>
      <c r="E92" s="45">
        <v>329.4647767465979</v>
      </c>
      <c r="F92" s="44">
        <v>351.6866154768612</v>
      </c>
      <c r="G92" s="44">
        <v>372.88794018878554</v>
      </c>
      <c r="H92" s="44">
        <v>397.5226852037604</v>
      </c>
      <c r="I92" s="44">
        <v>451.578</v>
      </c>
    </row>
    <row r="93" spans="1:9" ht="14.25">
      <c r="A93" s="43" t="str">
        <f>HLOOKUP(INDICE!$F$2,Nombres!$C$3:$D$636,57,FALSE)</f>
        <v>Other assets</v>
      </c>
      <c r="B93" s="58">
        <f>+B94-B92-B89-B88-B87</f>
        <v>173.2715999597565</v>
      </c>
      <c r="C93" s="58">
        <f aca="true" t="shared" si="15" ref="C93:I93">+C94-C92-C89-C88-C87</f>
        <v>170.96889154362339</v>
      </c>
      <c r="D93" s="58">
        <f t="shared" si="15"/>
        <v>188.6399769556374</v>
      </c>
      <c r="E93" s="65">
        <f t="shared" si="15"/>
        <v>263.38384210575623</v>
      </c>
      <c r="F93" s="44">
        <f t="shared" si="15"/>
        <v>273.6029994916544</v>
      </c>
      <c r="G93" s="44">
        <f t="shared" si="15"/>
        <v>288.13739149825165</v>
      </c>
      <c r="H93" s="44">
        <f t="shared" si="15"/>
        <v>265.751720197188</v>
      </c>
      <c r="I93" s="44">
        <f t="shared" si="15"/>
        <v>284.7910000200004</v>
      </c>
    </row>
    <row r="94" spans="1:9" ht="14.25">
      <c r="A94" s="47" t="str">
        <f>HLOOKUP(INDICE!$F$2,Nombres!$C$3:$D$636,58,FALSE)</f>
        <v>Total assets / Liabilities and equity</v>
      </c>
      <c r="B94" s="47">
        <v>4504.5133720552985</v>
      </c>
      <c r="C94" s="47">
        <v>4834.179964256087</v>
      </c>
      <c r="D94" s="47">
        <v>5178.518676501123</v>
      </c>
      <c r="E94" s="47">
        <v>6115.851671222403</v>
      </c>
      <c r="F94" s="51">
        <v>6533.40188559977</v>
      </c>
      <c r="G94" s="51">
        <v>7581.180190365649</v>
      </c>
      <c r="H94" s="51">
        <v>7986.968135325673</v>
      </c>
      <c r="I94" s="51">
        <v>9037.44500002</v>
      </c>
    </row>
    <row r="95" spans="1:9" ht="14.25">
      <c r="A95" s="43" t="str">
        <f>HLOOKUP(INDICE!$F$2,Nombres!$C$3:$D$636,59,FALSE)</f>
        <v>Financial liabilities held for trading and designated at fair value through profit or loss</v>
      </c>
      <c r="B95" s="58">
        <v>2.8496064142312028</v>
      </c>
      <c r="C95" s="58">
        <v>1.973169406481415</v>
      </c>
      <c r="D95" s="58">
        <v>0.3086026306066102</v>
      </c>
      <c r="E95" s="65">
        <v>1.6210202057383496</v>
      </c>
      <c r="F95" s="44">
        <v>3.427123301981965</v>
      </c>
      <c r="G95" s="44">
        <v>1.2197012480709437</v>
      </c>
      <c r="H95" s="44">
        <v>3.427498297955289</v>
      </c>
      <c r="I95" s="44">
        <v>2.7</v>
      </c>
    </row>
    <row r="96" spans="1:9" ht="14.25">
      <c r="A96" s="43" t="str">
        <f>HLOOKUP(INDICE!$F$2,Nombres!$C$3:$D$636,60,FALSE)</f>
        <v>Deposits from central banks and credit institutions</v>
      </c>
      <c r="B96" s="58">
        <v>66.55333165914678</v>
      </c>
      <c r="C96" s="58">
        <v>56.265470906068906</v>
      </c>
      <c r="D96" s="58">
        <v>39.6029832433798</v>
      </c>
      <c r="E96" s="65">
        <v>102.61758836074453</v>
      </c>
      <c r="F96" s="44">
        <v>111.58209455282397</v>
      </c>
      <c r="G96" s="44">
        <v>103.634535772592</v>
      </c>
      <c r="H96" s="44">
        <v>105.09357961724797</v>
      </c>
      <c r="I96" s="44">
        <v>112.35500000000002</v>
      </c>
    </row>
    <row r="97" spans="1:9" ht="14.25">
      <c r="A97" s="43" t="str">
        <f>HLOOKUP(INDICE!$F$2,Nombres!$C$3:$D$636,61,FALSE)</f>
        <v>Deposits from customers</v>
      </c>
      <c r="B97" s="58">
        <v>2815.216307940094</v>
      </c>
      <c r="C97" s="58">
        <v>3204.401376188486</v>
      </c>
      <c r="D97" s="58">
        <v>3428.578289092845</v>
      </c>
      <c r="E97" s="65">
        <v>4101.386964353674</v>
      </c>
      <c r="F97" s="44">
        <v>4360.17916207031</v>
      </c>
      <c r="G97" s="44">
        <v>5228.0431843406</v>
      </c>
      <c r="H97" s="44">
        <v>5416.253607646899</v>
      </c>
      <c r="I97" s="44">
        <v>6082.594</v>
      </c>
    </row>
    <row r="98" spans="1:9" ht="14.25">
      <c r="A98" s="43" t="str">
        <f>HLOOKUP(INDICE!$F$2,Nombres!$C$3:$D$636,62,FALSE)</f>
        <v>Debt certificates</v>
      </c>
      <c r="B98" s="44">
        <v>202.77360790298414</v>
      </c>
      <c r="C98" s="44">
        <v>175.88999424707922</v>
      </c>
      <c r="D98" s="44">
        <v>185.98382751382906</v>
      </c>
      <c r="E98" s="45">
        <v>183.24461716622113</v>
      </c>
      <c r="F98" s="44">
        <v>179.5429931480161</v>
      </c>
      <c r="G98" s="44">
        <v>178.31532878823234</v>
      </c>
      <c r="H98" s="44">
        <v>195.90637842644898</v>
      </c>
      <c r="I98" s="44">
        <v>228.56989066</v>
      </c>
    </row>
    <row r="99" spans="1:9" ht="14.25">
      <c r="A99" s="43"/>
      <c r="B99" s="44"/>
      <c r="C99" s="44"/>
      <c r="D99" s="44"/>
      <c r="E99" s="45"/>
      <c r="F99" s="44"/>
      <c r="G99" s="44"/>
      <c r="H99" s="44"/>
      <c r="I99" s="44"/>
    </row>
    <row r="100" spans="1:9" ht="14.25">
      <c r="A100" s="43" t="str">
        <f>HLOOKUP(INDICE!$F$2,Nombres!$C$3:$D$636,63,FALSE)</f>
        <v>Other liabilities</v>
      </c>
      <c r="B100" s="58">
        <f>+B94-B95-B96-B97-B98-B101</f>
        <v>905.7248103966248</v>
      </c>
      <c r="C100" s="58">
        <f aca="true" t="shared" si="16" ref="C100:I100">+C94-C95-C96-C97-C98-C101</f>
        <v>871.6577841053221</v>
      </c>
      <c r="D100" s="58">
        <f t="shared" si="16"/>
        <v>981.9773473488588</v>
      </c>
      <c r="E100" s="65">
        <f t="shared" si="16"/>
        <v>1105.6427410204712</v>
      </c>
      <c r="F100" s="44">
        <f t="shared" si="16"/>
        <v>1265.9816086742749</v>
      </c>
      <c r="G100" s="44">
        <f t="shared" si="16"/>
        <v>1438.984327916014</v>
      </c>
      <c r="H100" s="44">
        <f t="shared" si="16"/>
        <v>1567.7883559022494</v>
      </c>
      <c r="I100" s="44">
        <f t="shared" si="16"/>
        <v>1844.5041247199993</v>
      </c>
    </row>
    <row r="101" spans="1:9" ht="14.25">
      <c r="A101" s="43" t="str">
        <f>HLOOKUP(INDICE!$F$2,Nombres!$C$3:$D$636,282,FALSE)</f>
        <v>Regulatory capital allocated</v>
      </c>
      <c r="B101" s="58">
        <v>511.3957077422184</v>
      </c>
      <c r="C101" s="58">
        <v>523.9921694026497</v>
      </c>
      <c r="D101" s="58">
        <v>542.0676266716043</v>
      </c>
      <c r="E101" s="65">
        <v>621.3387401155537</v>
      </c>
      <c r="F101" s="44">
        <v>612.6889038523635</v>
      </c>
      <c r="G101" s="44">
        <v>630.9831123001386</v>
      </c>
      <c r="H101" s="44">
        <v>698.4987154348729</v>
      </c>
      <c r="I101" s="44">
        <v>766.72198464</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Relevant business indicators</v>
      </c>
      <c r="B104" s="34"/>
      <c r="C104" s="34"/>
      <c r="D104" s="34"/>
      <c r="E104" s="34"/>
      <c r="F104" s="69"/>
      <c r="G104" s="69"/>
      <c r="H104" s="69"/>
      <c r="I104" s="69"/>
    </row>
    <row r="105" spans="1:9" ht="14.25">
      <c r="A105" s="35" t="str">
        <f>HLOOKUP(INDICE!$F$2,Nombres!$C$3:$D$636,73,FALSE)</f>
        <v>(Constant million euros)    </v>
      </c>
      <c r="B105" s="30"/>
      <c r="C105" s="30"/>
      <c r="D105" s="30"/>
      <c r="E105" s="30"/>
      <c r="F105" s="70"/>
      <c r="G105" s="44"/>
      <c r="H105" s="44"/>
      <c r="I105" s="44"/>
    </row>
    <row r="106" spans="1:9" ht="14.25">
      <c r="A106" s="30"/>
      <c r="B106" s="53">
        <f aca="true" t="shared" si="17" ref="B106:I106">+B$30</f>
        <v>43921</v>
      </c>
      <c r="C106" s="53">
        <f t="shared" si="17"/>
        <v>44012</v>
      </c>
      <c r="D106" s="53">
        <f t="shared" si="17"/>
        <v>44104</v>
      </c>
      <c r="E106" s="68">
        <f t="shared" si="17"/>
        <v>44196</v>
      </c>
      <c r="F106" s="53">
        <f t="shared" si="17"/>
        <v>44286</v>
      </c>
      <c r="G106" s="53">
        <f t="shared" si="17"/>
        <v>44377</v>
      </c>
      <c r="H106" s="53">
        <f t="shared" si="17"/>
        <v>44469</v>
      </c>
      <c r="I106" s="53">
        <f t="shared" si="17"/>
        <v>44561</v>
      </c>
    </row>
    <row r="107" spans="1:9" ht="14.25">
      <c r="A107" s="43" t="str">
        <f>HLOOKUP(INDICE!$F$2,Nombres!$C$3:$D$636,66,FALSE)</f>
        <v>Loans and advances to customers (gross) (*)</v>
      </c>
      <c r="B107" s="44">
        <v>1976.630649819417</v>
      </c>
      <c r="C107" s="44">
        <v>2194.3493883470273</v>
      </c>
      <c r="D107" s="44">
        <v>2261.932774991716</v>
      </c>
      <c r="E107" s="45">
        <v>2541.2920974916356</v>
      </c>
      <c r="F107" s="44">
        <v>2603.6322042400943</v>
      </c>
      <c r="G107" s="44">
        <v>2788.466710051782</v>
      </c>
      <c r="H107" s="44">
        <v>2994.4372240054986</v>
      </c>
      <c r="I107" s="44">
        <v>3414.34292927</v>
      </c>
    </row>
    <row r="108" spans="1:9" ht="14.25">
      <c r="A108" s="43" t="str">
        <f>HLOOKUP(INDICE!$F$2,Nombres!$C$3:$D$636,67,FALSE)</f>
        <v>Customer deposits under management (*)</v>
      </c>
      <c r="B108" s="44">
        <v>2815.2291799369823</v>
      </c>
      <c r="C108" s="44">
        <v>3204.4011678236934</v>
      </c>
      <c r="D108" s="44">
        <v>3428.577610511651</v>
      </c>
      <c r="E108" s="45">
        <v>4101.088426288332</v>
      </c>
      <c r="F108" s="44">
        <v>4360.180810573135</v>
      </c>
      <c r="G108" s="44">
        <v>5228.042075194325</v>
      </c>
      <c r="H108" s="44">
        <v>5416.253787566007</v>
      </c>
      <c r="I108" s="44">
        <v>6082.59164753</v>
      </c>
    </row>
    <row r="109" spans="1:9" ht="14.25">
      <c r="A109" s="43" t="str">
        <f>HLOOKUP(INDICE!$F$2,Nombres!$C$3:$D$636,68,FALSE)</f>
        <v>Mutual funds</v>
      </c>
      <c r="B109" s="44">
        <v>574.1079838824785</v>
      </c>
      <c r="C109" s="44">
        <v>985.6914666690565</v>
      </c>
      <c r="D109" s="44">
        <v>861.7350838731545</v>
      </c>
      <c r="E109" s="45">
        <v>860.0762834438601</v>
      </c>
      <c r="F109" s="44">
        <v>1229.538549616245</v>
      </c>
      <c r="G109" s="44">
        <v>1315.5804254297695</v>
      </c>
      <c r="H109" s="44">
        <v>1643.9582181528922</v>
      </c>
      <c r="I109" s="44">
        <v>1716.11286795</v>
      </c>
    </row>
    <row r="110" spans="1:9" ht="14.25">
      <c r="A110" s="43" t="str">
        <f>HLOOKUP(INDICE!$F$2,Nombres!$C$3:$D$636,69,FALSE)</f>
        <v>Pension funds</v>
      </c>
      <c r="B110" s="44">
        <v>0</v>
      </c>
      <c r="C110" s="44">
        <v>0</v>
      </c>
      <c r="D110" s="44">
        <v>0</v>
      </c>
      <c r="E110" s="45">
        <v>0</v>
      </c>
      <c r="F110" s="44">
        <v>0</v>
      </c>
      <c r="G110" s="44">
        <v>0</v>
      </c>
      <c r="H110" s="44">
        <v>0</v>
      </c>
      <c r="I110" s="44">
        <v>0</v>
      </c>
    </row>
    <row r="111" spans="1:9" ht="14.25">
      <c r="A111" s="43" t="str">
        <f>HLOOKUP(INDICE!$F$2,Nombres!$C$3:$D$636,70,FALSE)</f>
        <v>Other off balance-sheet funds</v>
      </c>
      <c r="B111" s="44">
        <v>0</v>
      </c>
      <c r="C111" s="44">
        <v>0</v>
      </c>
      <c r="D111" s="44">
        <v>0</v>
      </c>
      <c r="E111" s="45">
        <v>0</v>
      </c>
      <c r="F111" s="44">
        <v>0</v>
      </c>
      <c r="G111" s="44">
        <v>0</v>
      </c>
      <c r="H111" s="44">
        <v>0</v>
      </c>
      <c r="I111" s="44">
        <v>0</v>
      </c>
    </row>
    <row r="112" spans="1:9" ht="14.25">
      <c r="A112" s="62" t="str">
        <f>HLOOKUP(INDICE!$F$2,Nombres!$C$3:$D$636,71,FALSE)</f>
        <v>(*) Excluding repos. </v>
      </c>
      <c r="B112" s="58"/>
      <c r="C112" s="58"/>
      <c r="D112" s="58"/>
      <c r="E112" s="58"/>
      <c r="F112" s="58"/>
      <c r="G112" s="58"/>
      <c r="H112" s="58"/>
      <c r="I112" s="58"/>
    </row>
    <row r="113" spans="1:9" ht="14.25">
      <c r="A113" s="62">
        <f>HLOOKUP(INDICE!$F$2,Nombres!$C$3:$D$636,72,FALSE)</f>
        <v>0</v>
      </c>
      <c r="B113" s="30"/>
      <c r="C113" s="30"/>
      <c r="D113" s="30"/>
      <c r="E113" s="30"/>
      <c r="F113" s="30"/>
      <c r="G113" s="30"/>
      <c r="H113" s="30"/>
      <c r="I113" s="30"/>
    </row>
    <row r="114" spans="1:9" ht="14.25">
      <c r="A114" s="62"/>
      <c r="B114" s="58"/>
      <c r="C114" s="44"/>
      <c r="D114" s="44"/>
      <c r="E114" s="44"/>
      <c r="F114" s="44"/>
      <c r="G114" s="30"/>
      <c r="H114" s="30"/>
      <c r="I114" s="30"/>
    </row>
    <row r="115" spans="1:9" ht="16.5">
      <c r="A115" s="33" t="str">
        <f>HLOOKUP(INDICE!$F$2,Nombres!$C$3:$D$636,31,FALSE)</f>
        <v>Income statement  </v>
      </c>
      <c r="B115" s="34"/>
      <c r="C115" s="34"/>
      <c r="D115" s="34"/>
      <c r="E115" s="34"/>
      <c r="F115" s="34"/>
      <c r="G115" s="34"/>
      <c r="H115" s="34"/>
      <c r="I115" s="34"/>
    </row>
    <row r="116" spans="1:9" ht="14.25">
      <c r="A116" s="35" t="str">
        <f>HLOOKUP(INDICE!$F$2,Nombres!$C$3:$D$636,78,FALSE)</f>
        <v>(Million Argentinian pesos)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6">
        <f>+B$6</f>
        <v>2020</v>
      </c>
      <c r="C118" s="306"/>
      <c r="D118" s="306"/>
      <c r="E118" s="307"/>
      <c r="F118" s="306">
        <f>+F$6</f>
        <v>2021</v>
      </c>
      <c r="G118" s="306"/>
      <c r="H118" s="306"/>
      <c r="I118" s="306"/>
    </row>
    <row r="119" spans="1:9" ht="14.25">
      <c r="A119" s="38"/>
      <c r="B119" s="39" t="str">
        <f>+B$7</f>
        <v>1Q</v>
      </c>
      <c r="C119" s="39" t="str">
        <f aca="true" t="shared" si="18" ref="C119:I119">+C$7</f>
        <v>2Q</v>
      </c>
      <c r="D119" s="39" t="str">
        <f t="shared" si="18"/>
        <v>3Q</v>
      </c>
      <c r="E119" s="40" t="str">
        <f t="shared" si="18"/>
        <v>4Q</v>
      </c>
      <c r="F119" s="39" t="str">
        <f t="shared" si="18"/>
        <v>1Q</v>
      </c>
      <c r="G119" s="39" t="str">
        <f t="shared" si="18"/>
        <v>2Q</v>
      </c>
      <c r="H119" s="39" t="str">
        <f t="shared" si="18"/>
        <v>3Q</v>
      </c>
      <c r="I119" s="39" t="str">
        <f t="shared" si="18"/>
        <v>4Q</v>
      </c>
    </row>
    <row r="120" spans="1:9" ht="14.25">
      <c r="A120" s="41" t="str">
        <f>HLOOKUP(INDICE!$F$2,Nombres!$C$3:$D$636,33,FALSE)</f>
        <v>Net interest income</v>
      </c>
      <c r="B120" s="41">
        <v>17079.272024805472</v>
      </c>
      <c r="C120" s="41">
        <v>17744.005887890522</v>
      </c>
      <c r="D120" s="41">
        <v>19756.098347982188</v>
      </c>
      <c r="E120" s="42">
        <v>25840.3611361698</v>
      </c>
      <c r="F120" s="50">
        <v>21735.656959069278</v>
      </c>
      <c r="G120" s="50">
        <v>26758.454143550065</v>
      </c>
      <c r="H120" s="50">
        <v>32552.26818263314</v>
      </c>
      <c r="I120" s="50">
        <v>41353.91734199981</v>
      </c>
    </row>
    <row r="121" spans="1:9" ht="14.25">
      <c r="A121" s="43" t="str">
        <f>HLOOKUP(INDICE!$F$2,Nombres!$C$3:$D$636,34,FALSE)</f>
        <v>Net fees and commissions</v>
      </c>
      <c r="B121" s="44">
        <v>1874.6411309726877</v>
      </c>
      <c r="C121" s="44">
        <v>3299.380561340492</v>
      </c>
      <c r="D121" s="44">
        <v>3801.789748357312</v>
      </c>
      <c r="E121" s="45">
        <v>3499.0105299320453</v>
      </c>
      <c r="F121" s="44">
        <v>3365.2045704127745</v>
      </c>
      <c r="G121" s="44">
        <v>6159.171520703305</v>
      </c>
      <c r="H121" s="44">
        <v>7016.5727384810925</v>
      </c>
      <c r="I121" s="44">
        <v>7036.341768693674</v>
      </c>
    </row>
    <row r="122" spans="1:9" ht="14.25">
      <c r="A122" s="43" t="str">
        <f>HLOOKUP(INDICE!$F$2,Nombres!$C$3:$D$636,35,FALSE)</f>
        <v>Net trading income</v>
      </c>
      <c r="B122" s="44">
        <v>1818.8820010215834</v>
      </c>
      <c r="C122" s="44">
        <v>2018.9353776925182</v>
      </c>
      <c r="D122" s="44">
        <v>2290.969754276095</v>
      </c>
      <c r="E122" s="45">
        <v>8522.248799390842</v>
      </c>
      <c r="F122" s="44">
        <v>2776.0698261513107</v>
      </c>
      <c r="G122" s="44">
        <v>2951.9460733159035</v>
      </c>
      <c r="H122" s="44">
        <v>2940.694890179773</v>
      </c>
      <c r="I122" s="44">
        <v>2025.0348765523192</v>
      </c>
    </row>
    <row r="123" spans="1:9" ht="14.25">
      <c r="A123" s="43" t="str">
        <f>HLOOKUP(INDICE!$F$2,Nombres!$C$3:$D$636,36,FALSE)</f>
        <v>Other operating income and expenses</v>
      </c>
      <c r="B123" s="44">
        <v>-5955.845446101257</v>
      </c>
      <c r="C123" s="44">
        <v>-5877.704445577949</v>
      </c>
      <c r="D123" s="44">
        <v>-7531.146539366742</v>
      </c>
      <c r="E123" s="45">
        <v>-11823.686661057054</v>
      </c>
      <c r="F123" s="44">
        <v>-13047.324336326277</v>
      </c>
      <c r="G123" s="44">
        <v>-15001.86287632614</v>
      </c>
      <c r="H123" s="44">
        <v>-13818.287526209393</v>
      </c>
      <c r="I123" s="44">
        <v>-19570.77610866346</v>
      </c>
    </row>
    <row r="124" spans="1:9" ht="14.25">
      <c r="A124" s="41" t="str">
        <f>HLOOKUP(INDICE!$F$2,Nombres!$C$3:$D$636,37,FALSE)</f>
        <v>Gross income</v>
      </c>
      <c r="B124" s="41">
        <f>+SUM(B120:B123)</f>
        <v>14816.949710698484</v>
      </c>
      <c r="C124" s="41">
        <f aca="true" t="shared" si="19" ref="C124:I124">+SUM(C120:C123)</f>
        <v>17184.617381345583</v>
      </c>
      <c r="D124" s="41">
        <f t="shared" si="19"/>
        <v>18317.71131124885</v>
      </c>
      <c r="E124" s="42">
        <f t="shared" si="19"/>
        <v>26037.93380443563</v>
      </c>
      <c r="F124" s="50">
        <f t="shared" si="19"/>
        <v>14829.607019307085</v>
      </c>
      <c r="G124" s="50">
        <f t="shared" si="19"/>
        <v>20867.708861243136</v>
      </c>
      <c r="H124" s="50">
        <f t="shared" si="19"/>
        <v>28691.248285084606</v>
      </c>
      <c r="I124" s="50">
        <f t="shared" si="19"/>
        <v>30844.51787858234</v>
      </c>
    </row>
    <row r="125" spans="1:9" ht="14.25">
      <c r="A125" s="43" t="str">
        <f>HLOOKUP(INDICE!$F$2,Nombres!$C$3:$D$636,38,FALSE)</f>
        <v>Operating expenses</v>
      </c>
      <c r="B125" s="44">
        <v>-8329.043666629235</v>
      </c>
      <c r="C125" s="44">
        <v>-8725.22704365629</v>
      </c>
      <c r="D125" s="44">
        <v>-10583.748134715668</v>
      </c>
      <c r="E125" s="45">
        <v>-13262.157822278059</v>
      </c>
      <c r="F125" s="44">
        <v>-11269.210086347393</v>
      </c>
      <c r="G125" s="44">
        <v>-13862.581329233988</v>
      </c>
      <c r="H125" s="44">
        <v>-18526.41221111516</v>
      </c>
      <c r="I125" s="44">
        <v>-21271.624854344016</v>
      </c>
    </row>
    <row r="126" spans="1:9" ht="14.25">
      <c r="A126" s="43" t="str">
        <f>HLOOKUP(INDICE!$F$2,Nombres!$C$3:$D$636,39,FALSE)</f>
        <v>  Administration expenses</v>
      </c>
      <c r="B126" s="44">
        <v>-7483.072189678596</v>
      </c>
      <c r="C126" s="44">
        <v>-7844.306492488938</v>
      </c>
      <c r="D126" s="44">
        <v>-9618.640890913235</v>
      </c>
      <c r="E126" s="45">
        <v>-11985.060687395595</v>
      </c>
      <c r="F126" s="44">
        <v>-10469.393114660426</v>
      </c>
      <c r="G126" s="44">
        <v>-12712.283897014744</v>
      </c>
      <c r="H126" s="44">
        <v>-17221.98976751211</v>
      </c>
      <c r="I126" s="44">
        <v>-19685.907259070977</v>
      </c>
    </row>
    <row r="127" spans="1:9" ht="14.25">
      <c r="A127" s="46" t="str">
        <f>HLOOKUP(INDICE!$F$2,Nombres!$C$3:$D$636,40,FALSE)</f>
        <v>  Personnel expenses</v>
      </c>
      <c r="B127" s="44">
        <v>-4554.062868530717</v>
      </c>
      <c r="C127" s="44">
        <v>-4320.744822784194</v>
      </c>
      <c r="D127" s="44">
        <v>-5351.581469482768</v>
      </c>
      <c r="E127" s="45">
        <v>-6442.855909987664</v>
      </c>
      <c r="F127" s="44">
        <v>-5999.705498722209</v>
      </c>
      <c r="G127" s="44">
        <v>-7096.519460579362</v>
      </c>
      <c r="H127" s="44">
        <v>-8638.174647986692</v>
      </c>
      <c r="I127" s="44">
        <v>-10043.280688462253</v>
      </c>
    </row>
    <row r="128" spans="1:9" ht="14.25">
      <c r="A128" s="46" t="str">
        <f>HLOOKUP(INDICE!$F$2,Nombres!$C$3:$D$636,41,FALSE)</f>
        <v>  General and administrative expenses</v>
      </c>
      <c r="B128" s="44">
        <v>-2929.0093211478807</v>
      </c>
      <c r="C128" s="44">
        <v>-3523.5616697047453</v>
      </c>
      <c r="D128" s="44">
        <v>-4267.059421430467</v>
      </c>
      <c r="E128" s="45">
        <v>-5542.204777407933</v>
      </c>
      <c r="F128" s="44">
        <v>-4469.687615938218</v>
      </c>
      <c r="G128" s="44">
        <v>-5615.764436435383</v>
      </c>
      <c r="H128" s="44">
        <v>-8583.815119525421</v>
      </c>
      <c r="I128" s="44">
        <v>-9642.626570608725</v>
      </c>
    </row>
    <row r="129" spans="1:9" ht="14.25">
      <c r="A129" s="43" t="str">
        <f>HLOOKUP(INDICE!$F$2,Nombres!$C$3:$D$636,42,FALSE)</f>
        <v>  Depreciation</v>
      </c>
      <c r="B129" s="44">
        <v>-845.9714769506381</v>
      </c>
      <c r="C129" s="44">
        <v>-880.9205511673514</v>
      </c>
      <c r="D129" s="44">
        <v>-965.107243802433</v>
      </c>
      <c r="E129" s="45">
        <v>-1277.0971348824653</v>
      </c>
      <c r="F129" s="44">
        <v>-799.8169716869681</v>
      </c>
      <c r="G129" s="44">
        <v>-1150.297432219244</v>
      </c>
      <c r="H129" s="44">
        <v>-1304.4224436030456</v>
      </c>
      <c r="I129" s="44">
        <v>-1585.7175952730377</v>
      </c>
    </row>
    <row r="130" spans="1:9" ht="14.25">
      <c r="A130" s="41" t="str">
        <f>HLOOKUP(INDICE!$F$2,Nombres!$C$3:$D$636,43,FALSE)</f>
        <v>Operating income</v>
      </c>
      <c r="B130" s="41">
        <f>+B124+B125</f>
        <v>6487.906044069248</v>
      </c>
      <c r="C130" s="41">
        <f aca="true" t="shared" si="20" ref="C130:I130">+C124+C125</f>
        <v>8459.390337689292</v>
      </c>
      <c r="D130" s="41">
        <f t="shared" si="20"/>
        <v>7733.963176533183</v>
      </c>
      <c r="E130" s="42">
        <f t="shared" si="20"/>
        <v>12775.775982157571</v>
      </c>
      <c r="F130" s="50">
        <f t="shared" si="20"/>
        <v>3560.396932959691</v>
      </c>
      <c r="G130" s="50">
        <f t="shared" si="20"/>
        <v>7005.127532009148</v>
      </c>
      <c r="H130" s="50">
        <f t="shared" si="20"/>
        <v>10164.836073969447</v>
      </c>
      <c r="I130" s="50">
        <f t="shared" si="20"/>
        <v>9572.893024238325</v>
      </c>
    </row>
    <row r="131" spans="1:9" ht="14.25">
      <c r="A131" s="43" t="str">
        <f>HLOOKUP(INDICE!$F$2,Nombres!$C$3:$D$636,44,FALSE)</f>
        <v>Impaiment on financial assets not measured at fair value through profit or loss</v>
      </c>
      <c r="B131" s="44">
        <v>-4501.511914297497</v>
      </c>
      <c r="C131" s="44">
        <v>-2432.306029067025</v>
      </c>
      <c r="D131" s="44">
        <v>2252.4946596896057</v>
      </c>
      <c r="E131" s="45">
        <v>-6150.055828542127</v>
      </c>
      <c r="F131" s="44">
        <v>-2215.0768220999025</v>
      </c>
      <c r="G131" s="44">
        <v>-3837.3749453017717</v>
      </c>
      <c r="H131" s="44">
        <v>-3868.3082401255815</v>
      </c>
      <c r="I131" s="44">
        <v>-3297.189114074396</v>
      </c>
    </row>
    <row r="132" spans="1:9" ht="14.25">
      <c r="A132" s="43" t="str">
        <f>HLOOKUP(INDICE!$F$2,Nombres!$C$3:$D$636,45,FALSE)</f>
        <v>Provisions or reversal of provisions and other results</v>
      </c>
      <c r="B132" s="44">
        <v>-759.5166812766311</v>
      </c>
      <c r="C132" s="44">
        <v>352.5260599604685</v>
      </c>
      <c r="D132" s="44">
        <v>-600.6376813720062</v>
      </c>
      <c r="E132" s="45">
        <v>-2052.3137372598944</v>
      </c>
      <c r="F132" s="44">
        <v>-211.11372749569747</v>
      </c>
      <c r="G132" s="44">
        <v>-550.4613365749893</v>
      </c>
      <c r="H132" s="44">
        <v>-374.4727047255634</v>
      </c>
      <c r="I132" s="44">
        <v>-1130.9304131954575</v>
      </c>
    </row>
    <row r="133" spans="1:9" ht="14.25">
      <c r="A133" s="41" t="str">
        <f>HLOOKUP(INDICE!$F$2,Nombres!$C$3:$D$636,46,FALSE)</f>
        <v>Profit/(loss) before tax</v>
      </c>
      <c r="B133" s="41">
        <f>+B130+B131+B132</f>
        <v>1226.87744849512</v>
      </c>
      <c r="C133" s="41">
        <f aca="true" t="shared" si="21" ref="C133:I133">+C130+C131+C132</f>
        <v>6379.610368582735</v>
      </c>
      <c r="D133" s="41">
        <f t="shared" si="21"/>
        <v>9385.820154850782</v>
      </c>
      <c r="E133" s="42">
        <f t="shared" si="21"/>
        <v>4573.40641635555</v>
      </c>
      <c r="F133" s="50">
        <f t="shared" si="21"/>
        <v>1134.2063833640912</v>
      </c>
      <c r="G133" s="50">
        <f t="shared" si="21"/>
        <v>2617.291250132387</v>
      </c>
      <c r="H133" s="50">
        <f t="shared" si="21"/>
        <v>5922.055129118302</v>
      </c>
      <c r="I133" s="50">
        <f t="shared" si="21"/>
        <v>5144.773496968472</v>
      </c>
    </row>
    <row r="134" spans="1:9" ht="14.25">
      <c r="A134" s="43" t="str">
        <f>HLOOKUP(INDICE!$F$2,Nombres!$C$3:$D$636,47,FALSE)</f>
        <v>Income tax</v>
      </c>
      <c r="B134" s="44">
        <v>-486.9244512933663</v>
      </c>
      <c r="C134" s="44">
        <v>-2307.6582309485807</v>
      </c>
      <c r="D134" s="44">
        <v>-3414.9050512868575</v>
      </c>
      <c r="E134" s="45">
        <v>-2291.0223993882064</v>
      </c>
      <c r="F134" s="44">
        <v>-422.3676882013634</v>
      </c>
      <c r="G134" s="44">
        <v>-1210.9006723304751</v>
      </c>
      <c r="H134" s="44">
        <v>-1276.2034953200668</v>
      </c>
      <c r="I134" s="44">
        <v>-1537.373467188212</v>
      </c>
    </row>
    <row r="135" spans="1:9" ht="14.25">
      <c r="A135" s="41" t="str">
        <f>HLOOKUP(INDICE!$F$2,Nombres!$C$3:$D$636,48,FALSE)</f>
        <v>Profit/(loss) for the year</v>
      </c>
      <c r="B135" s="41">
        <f>+B133+B134</f>
        <v>739.9529972017538</v>
      </c>
      <c r="C135" s="41">
        <f aca="true" t="shared" si="22" ref="C135:I135">+C133+C134</f>
        <v>4071.952137634154</v>
      </c>
      <c r="D135" s="41">
        <f t="shared" si="22"/>
        <v>5970.915103563924</v>
      </c>
      <c r="E135" s="42">
        <f t="shared" si="22"/>
        <v>2282.384016967344</v>
      </c>
      <c r="F135" s="50">
        <f t="shared" si="22"/>
        <v>711.8386951627277</v>
      </c>
      <c r="G135" s="50">
        <f t="shared" si="22"/>
        <v>1406.390577801912</v>
      </c>
      <c r="H135" s="50">
        <f t="shared" si="22"/>
        <v>4645.851633798235</v>
      </c>
      <c r="I135" s="50">
        <f t="shared" si="22"/>
        <v>3607.4000297802595</v>
      </c>
    </row>
    <row r="136" spans="1:9" ht="14.25">
      <c r="A136" s="43" t="str">
        <f>HLOOKUP(INDICE!$F$2,Nombres!$C$3:$D$636,49,FALSE)</f>
        <v>Non-controlling interests</v>
      </c>
      <c r="B136" s="44">
        <v>-190.00536748030083</v>
      </c>
      <c r="C136" s="44">
        <v>-1254.980100167937</v>
      </c>
      <c r="D136" s="44">
        <v>-1837.0341741070333</v>
      </c>
      <c r="E136" s="45">
        <v>-603.7415012455351</v>
      </c>
      <c r="F136" s="44">
        <v>-115.43152613378948</v>
      </c>
      <c r="G136" s="44">
        <v>-270.1339852288121</v>
      </c>
      <c r="H136" s="44">
        <v>-1540.1517393508057</v>
      </c>
      <c r="I136" s="44">
        <v>-1144.853022958522</v>
      </c>
    </row>
    <row r="137" spans="1:9" ht="14.25">
      <c r="A137" s="47" t="str">
        <f>HLOOKUP(INDICE!$F$2,Nombres!$C$3:$D$636,50,FALSE)</f>
        <v>Net attributable profit</v>
      </c>
      <c r="B137" s="47">
        <f>+B135+B136</f>
        <v>549.9476297214529</v>
      </c>
      <c r="C137" s="47">
        <f aca="true" t="shared" si="23" ref="C137:I137">+C135+C136</f>
        <v>2816.972037466217</v>
      </c>
      <c r="D137" s="47">
        <f t="shared" si="23"/>
        <v>4133.880929456891</v>
      </c>
      <c r="E137" s="47">
        <f t="shared" si="23"/>
        <v>1678.6425157218089</v>
      </c>
      <c r="F137" s="51">
        <f t="shared" si="23"/>
        <v>596.4071690289383</v>
      </c>
      <c r="G137" s="51">
        <f t="shared" si="23"/>
        <v>1136.2565925731</v>
      </c>
      <c r="H137" s="51">
        <f t="shared" si="23"/>
        <v>3105.699894447429</v>
      </c>
      <c r="I137" s="51">
        <f t="shared" si="23"/>
        <v>2462.5470068217373</v>
      </c>
    </row>
    <row r="138" spans="1:9" ht="14.25">
      <c r="A138" s="62"/>
      <c r="B138" s="63">
        <v>-4.888534022029489E-12</v>
      </c>
      <c r="C138" s="63">
        <v>0</v>
      </c>
      <c r="D138" s="63">
        <v>0</v>
      </c>
      <c r="E138" s="63">
        <v>5.4569682106375694E-12</v>
      </c>
      <c r="F138" s="63">
        <v>1.7053025658242404E-12</v>
      </c>
      <c r="G138" s="63">
        <v>1.8189894035458565E-12</v>
      </c>
      <c r="H138" s="63">
        <v>-1.0913936421275139E-11</v>
      </c>
      <c r="I138" s="63">
        <v>4.547473508864641E-12</v>
      </c>
    </row>
    <row r="139" spans="1:9" ht="14.25">
      <c r="A139" s="41"/>
      <c r="B139" s="41"/>
      <c r="C139" s="41"/>
      <c r="D139" s="41"/>
      <c r="E139" s="41"/>
      <c r="F139" s="50"/>
      <c r="G139" s="50"/>
      <c r="H139" s="50"/>
      <c r="I139" s="50"/>
    </row>
    <row r="140" spans="1:9" ht="16.5">
      <c r="A140" s="33" t="str">
        <f>HLOOKUP(INDICE!$F$2,Nombres!$C$3:$D$636,51,FALSE)</f>
        <v>Balance sheets</v>
      </c>
      <c r="B140" s="34"/>
      <c r="C140" s="34"/>
      <c r="D140" s="34"/>
      <c r="E140" s="34"/>
      <c r="F140" s="69"/>
      <c r="G140" s="69"/>
      <c r="H140" s="69"/>
      <c r="I140" s="69"/>
    </row>
    <row r="141" spans="1:9" ht="14.25">
      <c r="A141" s="35" t="str">
        <f>HLOOKUP(INDICE!$F$2,Nombres!$C$3:$D$636,78,FALSE)</f>
        <v>(Million Argentinian pesos)</v>
      </c>
      <c r="B141" s="30"/>
      <c r="C141" s="52"/>
      <c r="D141" s="52"/>
      <c r="E141" s="52"/>
      <c r="F141" s="70"/>
      <c r="G141" s="44"/>
      <c r="H141" s="44"/>
      <c r="I141" s="44"/>
    </row>
    <row r="142" spans="1:9" ht="14.25">
      <c r="A142" s="30"/>
      <c r="B142" s="53">
        <f aca="true" t="shared" si="24" ref="B142:I142">+B$30</f>
        <v>43921</v>
      </c>
      <c r="C142" s="53">
        <f t="shared" si="24"/>
        <v>44012</v>
      </c>
      <c r="D142" s="53">
        <f t="shared" si="24"/>
        <v>44104</v>
      </c>
      <c r="E142" s="68">
        <f t="shared" si="24"/>
        <v>44196</v>
      </c>
      <c r="F142" s="53">
        <f t="shared" si="24"/>
        <v>44286</v>
      </c>
      <c r="G142" s="53">
        <f t="shared" si="24"/>
        <v>44377</v>
      </c>
      <c r="H142" s="53">
        <f t="shared" si="24"/>
        <v>44469</v>
      </c>
      <c r="I142" s="53">
        <f t="shared" si="24"/>
        <v>44561</v>
      </c>
    </row>
    <row r="143" spans="1:9" ht="14.25">
      <c r="A143" s="43" t="str">
        <f>HLOOKUP(INDICE!$F$2,Nombres!$C$3:$D$636,52,FALSE)</f>
        <v>Cash, cash balances at central banks and other demand deposits</v>
      </c>
      <c r="B143" s="44">
        <v>146632.9841033559</v>
      </c>
      <c r="C143" s="44">
        <v>112708.81219222759</v>
      </c>
      <c r="D143" s="44">
        <v>133387.63712306015</v>
      </c>
      <c r="E143" s="45">
        <v>152264.6157874693</v>
      </c>
      <c r="F143" s="44">
        <v>195668.35391870118</v>
      </c>
      <c r="G143" s="44">
        <v>198254.61735477528</v>
      </c>
      <c r="H143" s="44">
        <v>197215.37827158908</v>
      </c>
      <c r="I143" s="44">
        <v>219235.4101425981</v>
      </c>
    </row>
    <row r="144" spans="1:9" ht="14.25">
      <c r="A144" s="43" t="str">
        <f>HLOOKUP(INDICE!$F$2,Nombres!$C$3:$D$636,53,FALSE)</f>
        <v>Financial assets designated at fair value </v>
      </c>
      <c r="B144" s="58">
        <v>82846.8618806832</v>
      </c>
      <c r="C144" s="58">
        <v>101391.27248980572</v>
      </c>
      <c r="D144" s="58">
        <v>126638.39000778718</v>
      </c>
      <c r="E144" s="65">
        <v>143486.24249878142</v>
      </c>
      <c r="F144" s="44">
        <v>145296.2735106854</v>
      </c>
      <c r="G144" s="44">
        <v>162220.26555158006</v>
      </c>
      <c r="H144" s="44">
        <v>179952.02380668602</v>
      </c>
      <c r="I144" s="44">
        <v>185066.0672829731</v>
      </c>
    </row>
    <row r="145" spans="1:9" ht="14.25">
      <c r="A145" s="43" t="str">
        <f>HLOOKUP(INDICE!$F$2,Nombres!$C$3:$D$636,54,FALSE)</f>
        <v>Financial assets at amortized cost</v>
      </c>
      <c r="B145" s="44">
        <v>233620.14072098615</v>
      </c>
      <c r="C145" s="44">
        <v>290144.3470396778</v>
      </c>
      <c r="D145" s="44">
        <v>284189.0554209135</v>
      </c>
      <c r="E145" s="45">
        <v>346986.6888798944</v>
      </c>
      <c r="F145" s="44">
        <v>346589.8702235161</v>
      </c>
      <c r="G145" s="44">
        <v>444855.71671522193</v>
      </c>
      <c r="H145" s="44">
        <v>475124.89244579175</v>
      </c>
      <c r="I145" s="44">
        <v>561733.3366942953</v>
      </c>
    </row>
    <row r="146" spans="1:9" ht="14.25">
      <c r="A146" s="43" t="str">
        <f>HLOOKUP(INDICE!$F$2,Nombres!$C$3:$D$636,55,FALSE)</f>
        <v>    of which loans and advances to customers</v>
      </c>
      <c r="B146" s="44">
        <v>218190.14931626903</v>
      </c>
      <c r="C146" s="44">
        <v>244651.81353645306</v>
      </c>
      <c r="D146" s="44">
        <v>252539.5279639127</v>
      </c>
      <c r="E146" s="45">
        <v>283148.04790569056</v>
      </c>
      <c r="F146" s="44">
        <v>288842.6104548462</v>
      </c>
      <c r="G146" s="44">
        <v>309142.49436588</v>
      </c>
      <c r="H146" s="44">
        <v>332423.6921131029</v>
      </c>
      <c r="I146" s="44">
        <v>383621.9348699468</v>
      </c>
    </row>
    <row r="147" spans="1:9" ht="14.25">
      <c r="A147" s="43"/>
      <c r="B147" s="44"/>
      <c r="C147" s="44"/>
      <c r="D147" s="44"/>
      <c r="E147" s="45"/>
      <c r="F147" s="44"/>
      <c r="G147" s="44"/>
      <c r="H147" s="44"/>
      <c r="I147" s="44"/>
    </row>
    <row r="148" spans="1:9" ht="14.25">
      <c r="A148" s="43" t="str">
        <f>HLOOKUP(INDICE!$F$2,Nombres!$C$3:$D$636,56,FALSE)</f>
        <v>Tangible assets</v>
      </c>
      <c r="B148" s="44">
        <v>28252.596706464254</v>
      </c>
      <c r="C148" s="44">
        <v>28805.918029262084</v>
      </c>
      <c r="D148" s="44">
        <v>30014.608222095136</v>
      </c>
      <c r="E148" s="45">
        <v>35111.78665393532</v>
      </c>
      <c r="F148" s="44">
        <v>38640.428664513085</v>
      </c>
      <c r="G148" s="44">
        <v>42632.280572879325</v>
      </c>
      <c r="H148" s="44">
        <v>45614.14656548944</v>
      </c>
      <c r="I148" s="44">
        <v>52552.231697507785</v>
      </c>
    </row>
    <row r="149" spans="1:9" ht="14.25">
      <c r="A149" s="43" t="str">
        <f>HLOOKUP(INDICE!$F$2,Nombres!$C$3:$D$636,57,FALSE)</f>
        <v>Other assets</v>
      </c>
      <c r="B149" s="58">
        <f>+B150-B148-B145-B144-B143</f>
        <v>20669.06146328256</v>
      </c>
      <c r="C149" s="58">
        <f aca="true" t="shared" si="25" ref="C149:H149">+C150-C148-C145-C144-C143</f>
        <v>20257.258498199735</v>
      </c>
      <c r="D149" s="58">
        <f t="shared" si="25"/>
        <v>22171.561745249783</v>
      </c>
      <c r="E149" s="65">
        <f t="shared" si="25"/>
        <v>30708.604974628513</v>
      </c>
      <c r="F149" s="44">
        <f t="shared" si="25"/>
        <v>31862.311180979334</v>
      </c>
      <c r="G149" s="44">
        <f t="shared" si="25"/>
        <v>33524.998362545535</v>
      </c>
      <c r="H149" s="44">
        <f t="shared" si="25"/>
        <v>30913.076361243497</v>
      </c>
      <c r="I149" s="44">
        <f>+I150-I148-I145-I144-I143</f>
        <v>33142.452950356295</v>
      </c>
    </row>
    <row r="150" spans="1:9" ht="14.25">
      <c r="A150" s="47" t="str">
        <f>HLOOKUP(INDICE!$F$2,Nombres!$C$3:$D$636,58,FALSE)</f>
        <v>Total assets / Liabilities and equity</v>
      </c>
      <c r="B150" s="47">
        <v>512021.64487477206</v>
      </c>
      <c r="C150" s="47">
        <v>553307.6082491729</v>
      </c>
      <c r="D150" s="47">
        <v>596401.2525191058</v>
      </c>
      <c r="E150" s="47">
        <v>708557.9387947089</v>
      </c>
      <c r="F150" s="51">
        <v>758057.237498395</v>
      </c>
      <c r="G150" s="51">
        <v>881487.8785570022</v>
      </c>
      <c r="H150" s="51">
        <v>928819.5174507998</v>
      </c>
      <c r="I150" s="51">
        <v>1051729.4987677305</v>
      </c>
    </row>
    <row r="151" spans="1:9" ht="14.25">
      <c r="A151" s="43" t="str">
        <f>HLOOKUP(INDICE!$F$2,Nombres!$C$3:$D$636,59,FALSE)</f>
        <v>Financial liabilities held for trading and designated at fair value through profit or loss</v>
      </c>
      <c r="B151" s="58">
        <v>331.62194909269823</v>
      </c>
      <c r="C151" s="58">
        <v>229.62689906914247</v>
      </c>
      <c r="D151" s="58">
        <v>35.91352312579219</v>
      </c>
      <c r="E151" s="65">
        <v>188.6456590850384</v>
      </c>
      <c r="F151" s="44">
        <v>398.83027477353664</v>
      </c>
      <c r="G151" s="44">
        <v>141.94230584830007</v>
      </c>
      <c r="H151" s="44">
        <v>398.8739147986835</v>
      </c>
      <c r="I151" s="44">
        <v>314.2115549988507</v>
      </c>
    </row>
    <row r="152" spans="1:9" ht="14.25">
      <c r="A152" s="43" t="str">
        <f>HLOOKUP(INDICE!$F$2,Nombres!$C$3:$D$636,60,FALSE)</f>
        <v>Deposits from central banks and credit institutions</v>
      </c>
      <c r="B152" s="58">
        <v>7745.120678138793</v>
      </c>
      <c r="C152" s="58">
        <v>6547.874483755001</v>
      </c>
      <c r="D152" s="58">
        <v>4608.783313887331</v>
      </c>
      <c r="E152" s="65">
        <v>11942.085929282037</v>
      </c>
      <c r="F152" s="44">
        <v>12985.327199804304</v>
      </c>
      <c r="G152" s="44">
        <v>12060.43282840376</v>
      </c>
      <c r="H152" s="44">
        <v>12230.228545159633</v>
      </c>
      <c r="I152" s="44">
        <v>13075.273800702174</v>
      </c>
    </row>
    <row r="153" spans="1:9" ht="14.25">
      <c r="A153" s="43" t="str">
        <f>HLOOKUP(INDICE!$F$2,Nombres!$C$3:$D$636,61,FALSE)</f>
        <v>Deposits from customers</v>
      </c>
      <c r="B153" s="58">
        <v>327619.8125096223</v>
      </c>
      <c r="C153" s="58">
        <v>372911.0886120894</v>
      </c>
      <c r="D153" s="58">
        <v>398999.59838931914</v>
      </c>
      <c r="E153" s="65">
        <v>477297.4724894754</v>
      </c>
      <c r="F153" s="44">
        <v>507414.3239213696</v>
      </c>
      <c r="G153" s="44">
        <v>608411.6957602976</v>
      </c>
      <c r="H153" s="44">
        <v>630314.6178988395</v>
      </c>
      <c r="I153" s="44">
        <v>707859.7478395109</v>
      </c>
    </row>
    <row r="154" spans="1:9" ht="14.25">
      <c r="A154" s="43" t="str">
        <f>HLOOKUP(INDICE!$F$2,Nombres!$C$3:$D$636,62,FALSE)</f>
        <v>Debt certificates</v>
      </c>
      <c r="B154" s="44">
        <v>23597.707648860698</v>
      </c>
      <c r="C154" s="44">
        <v>20469.136518930987</v>
      </c>
      <c r="D154" s="44">
        <v>21643.802832503065</v>
      </c>
      <c r="E154" s="45">
        <v>21325.028187024975</v>
      </c>
      <c r="F154" s="44">
        <v>20894.252987476346</v>
      </c>
      <c r="G154" s="44">
        <v>20751.38397728956</v>
      </c>
      <c r="H154" s="44">
        <v>22798.536222062157</v>
      </c>
      <c r="I154" s="44">
        <v>26599.74102599847</v>
      </c>
    </row>
    <row r="155" spans="1:9" ht="14.25">
      <c r="A155" s="43"/>
      <c r="B155" s="44"/>
      <c r="C155" s="44"/>
      <c r="D155" s="44"/>
      <c r="E155" s="45"/>
      <c r="F155" s="44"/>
      <c r="G155" s="44"/>
      <c r="H155" s="44"/>
      <c r="I155" s="44"/>
    </row>
    <row r="156" spans="1:9" ht="15.75" customHeight="1">
      <c r="A156" s="43" t="str">
        <f>HLOOKUP(INDICE!$F$2,Nombres!$C$3:$D$636,63,FALSE)</f>
        <v>Other liabilities</v>
      </c>
      <c r="B156" s="58">
        <f>+B150-B151-B152-B153-B154-B157</f>
        <v>93224.0173640823</v>
      </c>
      <c r="C156" s="58">
        <f aca="true" t="shared" si="26" ref="C156:I156">+C150-C151-C152-C153-C154-C157</f>
        <v>92177.89895235756</v>
      </c>
      <c r="D156" s="58">
        <f t="shared" si="26"/>
        <v>108035.01575384483</v>
      </c>
      <c r="E156" s="65">
        <f t="shared" si="26"/>
        <v>125498.87405413478</v>
      </c>
      <c r="F156" s="44">
        <f t="shared" si="26"/>
        <v>145064.44649998407</v>
      </c>
      <c r="G156" s="44">
        <f t="shared" si="26"/>
        <v>166692.42763093155</v>
      </c>
      <c r="H156" s="44">
        <f t="shared" si="26"/>
        <v>181790.08618538157</v>
      </c>
      <c r="I156" s="44">
        <f t="shared" si="26"/>
        <v>214653.5219370612</v>
      </c>
    </row>
    <row r="157" spans="1:9" ht="15.75" customHeight="1">
      <c r="A157" s="43" t="str">
        <f>HLOOKUP(INDICE!$F$2,Nombres!$C$3:$D$636,282,FALSE)</f>
        <v>Regulatory capital allocated</v>
      </c>
      <c r="B157" s="58">
        <v>59503.364724975225</v>
      </c>
      <c r="C157" s="58">
        <v>60971.98278297082</v>
      </c>
      <c r="D157" s="58">
        <v>63078.13870642563</v>
      </c>
      <c r="E157" s="65">
        <v>72305.83247570675</v>
      </c>
      <c r="F157" s="44">
        <v>71300.0566149872</v>
      </c>
      <c r="G157" s="44">
        <v>73429.99605423138</v>
      </c>
      <c r="H157" s="44">
        <v>81287.1746845582</v>
      </c>
      <c r="I157" s="44">
        <v>89227.00260945901</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Relevant business indicators</v>
      </c>
      <c r="B160" s="34"/>
      <c r="C160" s="34"/>
      <c r="D160" s="34"/>
      <c r="E160" s="34"/>
      <c r="F160" s="69"/>
      <c r="G160" s="69"/>
      <c r="H160" s="69"/>
      <c r="I160" s="69"/>
    </row>
    <row r="161" spans="1:9" ht="14.25">
      <c r="A161" s="35" t="str">
        <f>HLOOKUP(INDICE!$F$2,Nombres!$C$3:$D$636,78,FALSE)</f>
        <v>(Million Argentinian pesos)</v>
      </c>
      <c r="B161" s="30"/>
      <c r="C161" s="30"/>
      <c r="D161" s="30"/>
      <c r="E161" s="30"/>
      <c r="F161" s="70"/>
      <c r="G161" s="44"/>
      <c r="H161" s="44"/>
      <c r="I161" s="44"/>
    </row>
    <row r="162" spans="1:9" ht="14.25">
      <c r="A162" s="30"/>
      <c r="B162" s="53">
        <f aca="true" t="shared" si="27" ref="B162:I162">+B$30</f>
        <v>43921</v>
      </c>
      <c r="C162" s="53">
        <f t="shared" si="27"/>
        <v>44012</v>
      </c>
      <c r="D162" s="53">
        <f t="shared" si="27"/>
        <v>44104</v>
      </c>
      <c r="E162" s="68">
        <f t="shared" si="27"/>
        <v>44196</v>
      </c>
      <c r="F162" s="53">
        <f t="shared" si="27"/>
        <v>44286</v>
      </c>
      <c r="G162" s="53">
        <f t="shared" si="27"/>
        <v>44377</v>
      </c>
      <c r="H162" s="53">
        <f t="shared" si="27"/>
        <v>44469</v>
      </c>
      <c r="I162" s="53">
        <f t="shared" si="27"/>
        <v>44561</v>
      </c>
    </row>
    <row r="163" spans="1:9" ht="14.25">
      <c r="A163" s="43" t="str">
        <f>HLOOKUP(INDICE!$F$2,Nombres!$C$3:$D$636,66,FALSE)</f>
        <v>Loans and advances to customers (gross) (*)</v>
      </c>
      <c r="B163" s="44">
        <v>230029.70005116577</v>
      </c>
      <c r="C163" s="44">
        <v>255366.6420456654</v>
      </c>
      <c r="D163" s="44">
        <v>263231.63501222694</v>
      </c>
      <c r="E163" s="45">
        <v>295741.97839227325</v>
      </c>
      <c r="F163" s="44">
        <v>302996.7864960612</v>
      </c>
      <c r="G163" s="44">
        <v>324506.83741774067</v>
      </c>
      <c r="H163" s="44">
        <v>348476.5838893369</v>
      </c>
      <c r="I163" s="44">
        <v>397342.9633723176</v>
      </c>
    </row>
    <row r="164" spans="1:9" ht="14.25">
      <c r="A164" s="43" t="str">
        <f>HLOOKUP(INDICE!$F$2,Nombres!$C$3:$D$636,67,FALSE)</f>
        <v>Customer deposits under management (*)</v>
      </c>
      <c r="B164" s="44">
        <v>327621.310483755</v>
      </c>
      <c r="C164" s="44">
        <v>372911.0643637096</v>
      </c>
      <c r="D164" s="44">
        <v>398999.5194196703</v>
      </c>
      <c r="E164" s="45">
        <v>477262.73022660974</v>
      </c>
      <c r="F164" s="44">
        <v>507414.515765309</v>
      </c>
      <c r="G164" s="44">
        <v>608411.566683788</v>
      </c>
      <c r="H164" s="44">
        <v>630314.6388368629</v>
      </c>
      <c r="I164" s="44">
        <v>707859.4740716382</v>
      </c>
    </row>
    <row r="165" spans="1:9" ht="14.25">
      <c r="A165" s="43" t="str">
        <f>HLOOKUP(INDICE!$F$2,Nombres!$C$3:$D$636,68,FALSE)</f>
        <v>Mutual funds</v>
      </c>
      <c r="B165" s="44">
        <v>66811.6156862847</v>
      </c>
      <c r="C165" s="44">
        <v>114709.49944117854</v>
      </c>
      <c r="D165" s="44">
        <v>100284.1187780922</v>
      </c>
      <c r="E165" s="45">
        <v>100091.07645871393</v>
      </c>
      <c r="F165" s="44">
        <v>143087.1183725748</v>
      </c>
      <c r="G165" s="44">
        <v>153100.21155568052</v>
      </c>
      <c r="H165" s="44">
        <v>191315.06225146668</v>
      </c>
      <c r="I165" s="44">
        <v>199712.03436744696</v>
      </c>
    </row>
    <row r="166" spans="1:9" ht="14.25">
      <c r="A166" s="43" t="str">
        <f>HLOOKUP(INDICE!$F$2,Nombres!$C$3:$D$636,69,FALSE)</f>
        <v>Pension funds</v>
      </c>
      <c r="B166" s="44">
        <v>0</v>
      </c>
      <c r="C166" s="44">
        <v>0</v>
      </c>
      <c r="D166" s="44">
        <v>0</v>
      </c>
      <c r="E166" s="45">
        <v>0</v>
      </c>
      <c r="F166" s="44">
        <v>0</v>
      </c>
      <c r="G166" s="44">
        <v>0</v>
      </c>
      <c r="H166" s="44">
        <v>0</v>
      </c>
      <c r="I166" s="44">
        <v>0</v>
      </c>
    </row>
    <row r="167" spans="1:15" ht="14.25">
      <c r="A167" s="43" t="str">
        <f>HLOOKUP(INDICE!$F$2,Nombres!$C$3:$D$636,70,FALSE)</f>
        <v>Other off balance-sheet funds</v>
      </c>
      <c r="B167" s="44">
        <v>0</v>
      </c>
      <c r="C167" s="44">
        <v>0</v>
      </c>
      <c r="D167" s="44">
        <v>0</v>
      </c>
      <c r="E167" s="45">
        <v>0</v>
      </c>
      <c r="F167" s="44">
        <v>0</v>
      </c>
      <c r="G167" s="44">
        <v>0</v>
      </c>
      <c r="H167" s="44">
        <v>0</v>
      </c>
      <c r="I167" s="44">
        <v>0</v>
      </c>
      <c r="K167" s="74"/>
      <c r="L167" s="74"/>
      <c r="M167" s="74"/>
      <c r="N167" s="74"/>
      <c r="O167" s="74"/>
    </row>
    <row r="168" spans="1:15" ht="14.25">
      <c r="A168" s="62" t="str">
        <f>HLOOKUP(INDICE!$F$2,Nombres!$C$3:$D$636,71,FALSE)</f>
        <v>(*) Excluding repos. </v>
      </c>
      <c r="B168" s="58"/>
      <c r="C168" s="58"/>
      <c r="D168" s="58"/>
      <c r="E168" s="58"/>
      <c r="F168" s="58"/>
      <c r="G168" s="58"/>
      <c r="H168" s="58"/>
      <c r="I168" s="58"/>
      <c r="K168" s="74"/>
      <c r="L168" s="74"/>
      <c r="M168" s="74"/>
      <c r="N168" s="74"/>
      <c r="O168" s="74"/>
    </row>
    <row r="169" spans="1:15" ht="14.25">
      <c r="A169" s="62">
        <f>HLOOKUP(INDICE!$F$2,Nombres!$C$3:$D$636,72,FALSE)</f>
        <v>0</v>
      </c>
      <c r="B169" s="30"/>
      <c r="C169" s="30"/>
      <c r="D169" s="30"/>
      <c r="E169" s="30"/>
      <c r="F169" s="30"/>
      <c r="G169" s="30"/>
      <c r="H169" s="30"/>
      <c r="I169" s="30"/>
      <c r="K169" s="74"/>
      <c r="L169" s="74"/>
      <c r="M169" s="74"/>
      <c r="N169" s="74"/>
      <c r="O169" s="74"/>
    </row>
    <row r="170" spans="1:15" ht="14.25">
      <c r="A170" s="30"/>
      <c r="B170" s="30"/>
      <c r="C170" s="30"/>
      <c r="D170" s="30"/>
      <c r="E170" s="30"/>
      <c r="F170" s="30"/>
      <c r="G170" s="30"/>
      <c r="H170" s="30"/>
      <c r="I170" s="30"/>
      <c r="K170" s="74"/>
      <c r="L170" s="74"/>
      <c r="M170" s="74"/>
      <c r="N170" s="74"/>
      <c r="O170" s="74"/>
    </row>
    <row r="171" spans="1:15" ht="14.25">
      <c r="A171" s="30"/>
      <c r="B171" s="30"/>
      <c r="C171" s="30"/>
      <c r="D171" s="30"/>
      <c r="E171" s="30"/>
      <c r="F171" s="30"/>
      <c r="G171" s="30"/>
      <c r="H171" s="30"/>
      <c r="I171" s="30"/>
      <c r="K171" s="74"/>
      <c r="L171" s="74"/>
      <c r="M171" s="74"/>
      <c r="N171" s="74"/>
      <c r="O171" s="74"/>
    </row>
    <row r="172" spans="1:15" ht="14.25">
      <c r="A172" s="73"/>
      <c r="B172" s="74"/>
      <c r="C172" s="75"/>
      <c r="D172" s="75"/>
      <c r="E172" s="75"/>
      <c r="F172" s="74"/>
      <c r="G172" s="74"/>
      <c r="H172" s="74"/>
      <c r="I172" s="74"/>
      <c r="K172" s="74"/>
      <c r="L172" s="74"/>
      <c r="M172" s="74"/>
      <c r="N172" s="74"/>
      <c r="O172" s="74"/>
    </row>
    <row r="173" spans="1:15" ht="14.25">
      <c r="A173" s="73"/>
      <c r="B173" s="74"/>
      <c r="C173" s="75"/>
      <c r="D173" s="75"/>
      <c r="E173" s="75"/>
      <c r="F173" s="74"/>
      <c r="G173" s="74"/>
      <c r="H173" s="74"/>
      <c r="I173" s="74"/>
      <c r="J173" s="74"/>
      <c r="K173" s="74"/>
      <c r="L173" s="74"/>
      <c r="M173" s="74"/>
      <c r="N173" s="74"/>
      <c r="O173" s="74"/>
    </row>
    <row r="174" spans="1:15" ht="14.25">
      <c r="A174" s="74"/>
      <c r="B174" s="74"/>
      <c r="C174" s="74"/>
      <c r="D174" s="74"/>
      <c r="E174" s="74"/>
      <c r="F174" s="74"/>
      <c r="G174" s="74"/>
      <c r="H174" s="74"/>
      <c r="I174" s="74"/>
      <c r="J174" s="74"/>
      <c r="K174" s="74"/>
      <c r="L174" s="74"/>
      <c r="M174" s="74"/>
      <c r="N174" s="74"/>
      <c r="O174" s="74"/>
    </row>
    <row r="175" spans="1:10" ht="14.25">
      <c r="A175" s="74"/>
      <c r="B175" s="74"/>
      <c r="C175" s="74"/>
      <c r="D175" s="74"/>
      <c r="E175" s="74"/>
      <c r="F175" s="74"/>
      <c r="G175" s="74"/>
      <c r="H175" s="74"/>
      <c r="I175" s="74"/>
      <c r="J175" s="74"/>
    </row>
    <row r="176" spans="1:10" ht="14.25">
      <c r="A176" s="74"/>
      <c r="B176" s="74"/>
      <c r="C176" s="74"/>
      <c r="D176" s="74"/>
      <c r="E176" s="74"/>
      <c r="F176" s="74"/>
      <c r="G176" s="74"/>
      <c r="H176" s="74"/>
      <c r="I176" s="74"/>
      <c r="J176" s="74"/>
    </row>
    <row r="177" spans="1:10" ht="14.25">
      <c r="A177" s="74"/>
      <c r="B177" s="74"/>
      <c r="C177" s="74"/>
      <c r="D177" s="74"/>
      <c r="E177" s="74"/>
      <c r="F177" s="74"/>
      <c r="G177" s="74"/>
      <c r="H177" s="74"/>
      <c r="I177" s="74"/>
      <c r="J177" s="74"/>
    </row>
    <row r="178" spans="1:10" ht="14.25">
      <c r="A178" s="74"/>
      <c r="B178" s="74"/>
      <c r="C178" s="74"/>
      <c r="D178" s="74"/>
      <c r="E178" s="74"/>
      <c r="F178" s="74"/>
      <c r="G178" s="74"/>
      <c r="H178" s="74"/>
      <c r="I178" s="74"/>
      <c r="J178" s="74"/>
    </row>
    <row r="179" spans="1:10" ht="14.25">
      <c r="A179" s="74"/>
      <c r="B179" s="74"/>
      <c r="C179" s="74"/>
      <c r="D179" s="74"/>
      <c r="E179" s="74"/>
      <c r="F179" s="74"/>
      <c r="G179" s="74"/>
      <c r="H179" s="74"/>
      <c r="I179" s="74"/>
      <c r="J179" s="74"/>
    </row>
    <row r="180" spans="1:10" ht="14.25">
      <c r="A180" s="74"/>
      <c r="B180" s="74"/>
      <c r="C180" s="74"/>
      <c r="D180" s="74"/>
      <c r="E180" s="74"/>
      <c r="F180" s="74"/>
      <c r="G180" s="74"/>
      <c r="H180" s="74"/>
      <c r="I180" s="74"/>
      <c r="J180" s="74"/>
    </row>
    <row r="1006" ht="14.25">
      <c r="A1006" s="31" t="s">
        <v>396</v>
      </c>
    </row>
  </sheetData>
  <sheetProtection/>
  <mergeCells count="6">
    <mergeCell ref="B118:E118"/>
    <mergeCell ref="F118:I118"/>
    <mergeCell ref="B6:E6"/>
    <mergeCell ref="F6:I6"/>
    <mergeCell ref="B62:E62"/>
    <mergeCell ref="F62:I62"/>
  </mergeCells>
  <conditionalFormatting sqref="B26:I26">
    <cfRule type="cellIs" priority="3" dxfId="114" operator="notBetween">
      <formula>0.5</formula>
      <formula>-0.5</formula>
    </cfRule>
  </conditionalFormatting>
  <conditionalFormatting sqref="B82:I82">
    <cfRule type="cellIs" priority="2" dxfId="114" operator="notBetween">
      <formula>0.5</formula>
      <formula>-0.5</formula>
    </cfRule>
  </conditionalFormatting>
  <conditionalFormatting sqref="B138:I138">
    <cfRule type="cellIs" priority="1" dxfId="114" operator="notBetween">
      <formula>0.5</formula>
      <formula>-0.5</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LERCHUNDI LIZASO ,ION</dc:creator>
  <cp:keywords/>
  <dc:description/>
  <cp:lastModifiedBy>GONZALEZ SOBRADO, SONIA</cp:lastModifiedBy>
  <dcterms:created xsi:type="dcterms:W3CDTF">2019-04-26T12:12:53Z</dcterms:created>
  <dcterms:modified xsi:type="dcterms:W3CDTF">2022-02-01T08:32:41Z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